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C:\Users\Haha\Desktop\"/>
    </mc:Choice>
  </mc:AlternateContent>
  <bookViews>
    <workbookView xWindow="9555" yWindow="-45" windowWidth="12195" windowHeight="11640" tabRatio="751" firstSheet="4" activeTab="21"/>
  </bookViews>
  <sheets>
    <sheet name="分解" sheetId="5" state="hidden" r:id="rId1"/>
    <sheet name="贷款-pending" sheetId="27" r:id="rId2"/>
    <sheet name="Sheet1" sheetId="25" state="hidden" r:id="rId3"/>
    <sheet name="存款-7.5" sheetId="26" r:id="rId4"/>
    <sheet name="金融市场-7.5" sheetId="28" r:id="rId5"/>
    <sheet name="汇总-7.5" sheetId="17" r:id="rId6"/>
    <sheet name="三因素分析" sheetId="4" r:id="rId7"/>
    <sheet name="调整表" sheetId="8" state="hidden" r:id="rId8"/>
    <sheet name="口径" sheetId="7" state="hidden" r:id="rId9"/>
    <sheet name="利息收支变动" sheetId="15" state="hidden" r:id="rId10"/>
    <sheet name="等比增长" sheetId="11" state="hidden" r:id="rId11"/>
    <sheet name="结构调整" sheetId="12" state="hidden" r:id="rId12"/>
    <sheet name="利率变动" sheetId="13" state="hidden" r:id="rId13"/>
    <sheet name="收支变动汇总" sheetId="16" state="hidden" r:id="rId14"/>
    <sheet name="重要业务" sheetId="14" state="hidden" r:id="rId15"/>
    <sheet name="2015.09.30" sheetId="29" state="hidden" r:id="rId16"/>
    <sheet name="2017.06.30" sheetId="10" r:id="rId17"/>
    <sheet name="2017.06.30ftp" sheetId="33" r:id="rId18"/>
    <sheet name="2016.12.31" sheetId="40" r:id="rId19"/>
    <sheet name="2016.06.30" sheetId="38" r:id="rId20"/>
    <sheet name="2016.06.30ftp" sheetId="36" r:id="rId21"/>
    <sheet name="日均" sheetId="21" r:id="rId22"/>
    <sheet name="保证金存款" sheetId="19" r:id="rId23"/>
    <sheet name="日计表-2016.06.30" sheetId="39" r:id="rId24"/>
    <sheet name="日计表-2017.06.30" sheetId="20" r:id="rId25"/>
    <sheet name="CUST_NS103_M" sheetId="22" r:id="rId26"/>
    <sheet name="三因素模型" sheetId="34" r:id="rId27"/>
    <sheet name="2016.04.30ftp" sheetId="37" state="hidden" r:id="rId28"/>
  </sheets>
  <externalReferences>
    <externalReference r:id="rId29"/>
    <externalReference r:id="rId30"/>
    <externalReference r:id="rId31"/>
  </externalReferences>
  <definedNames>
    <definedName name="一级行业" localSheetId="20">'[1]附1-行业填报分类'!$B$3:$V$3</definedName>
    <definedName name="资产负债类别" localSheetId="20">'[1]附3-资产负债类别'!$B$2:$B$48</definedName>
  </definedNames>
  <calcPr calcId="171027"/>
</workbook>
</file>

<file path=xl/calcChain.xml><?xml version="1.0" encoding="utf-8"?>
<calcChain xmlns="http://schemas.openxmlformats.org/spreadsheetml/2006/main">
  <c r="O15" i="28" l="1"/>
  <c r="AB4" i="4"/>
  <c r="R11" i="28" l="1"/>
  <c r="R12" i="28"/>
  <c r="R13" i="28"/>
  <c r="R10" i="28"/>
  <c r="R5" i="28"/>
  <c r="R6" i="28"/>
  <c r="R7" i="28"/>
  <c r="R8" i="28"/>
  <c r="R9" i="28"/>
  <c r="R4" i="28"/>
  <c r="P11" i="28"/>
  <c r="P12" i="28"/>
  <c r="P13" i="28"/>
  <c r="P10" i="28"/>
  <c r="P5" i="28"/>
  <c r="P6" i="28"/>
  <c r="P7" i="28"/>
  <c r="P8" i="28"/>
  <c r="P9" i="28"/>
  <c r="P4" i="28"/>
  <c r="E9" i="26" l="1"/>
  <c r="N9" i="26"/>
  <c r="D9" i="26"/>
  <c r="Q9" i="26"/>
  <c r="F9" i="26" l="1"/>
  <c r="I41" i="17" l="1"/>
  <c r="I40" i="17"/>
  <c r="H44" i="17" l="1"/>
  <c r="F44" i="17"/>
  <c r="D44" i="17"/>
  <c r="C44" i="17"/>
  <c r="B44" i="17"/>
  <c r="H43" i="17"/>
  <c r="F43" i="17"/>
  <c r="D43" i="17"/>
  <c r="B43" i="17"/>
  <c r="H42" i="17"/>
  <c r="F42" i="17"/>
  <c r="D42" i="17"/>
  <c r="B42" i="17"/>
  <c r="J30" i="17"/>
  <c r="L32" i="17"/>
  <c r="J28" i="17"/>
  <c r="J27" i="17"/>
  <c r="J26" i="17" s="1"/>
  <c r="L27" i="17"/>
  <c r="L39" i="17"/>
  <c r="L38" i="17"/>
  <c r="L37" i="17"/>
  <c r="L36" i="17"/>
  <c r="L35" i="17" s="1"/>
  <c r="L44" i="17" s="1"/>
  <c r="L34" i="17"/>
  <c r="L33" i="17" s="1"/>
  <c r="L43" i="17" s="1"/>
  <c r="L31" i="17"/>
  <c r="L30" i="17"/>
  <c r="L29" i="17"/>
  <c r="L28" i="17"/>
  <c r="K39" i="17"/>
  <c r="K38" i="17"/>
  <c r="K37" i="17"/>
  <c r="K36" i="17"/>
  <c r="K35" i="17" s="1"/>
  <c r="K44" i="17" s="1"/>
  <c r="K34" i="17"/>
  <c r="K33" i="17" s="1"/>
  <c r="K43" i="17" s="1"/>
  <c r="K32" i="17"/>
  <c r="K31" i="17"/>
  <c r="K30" i="17"/>
  <c r="K29" i="17"/>
  <c r="K28" i="17"/>
  <c r="K27" i="17"/>
  <c r="J39" i="17"/>
  <c r="J38" i="17"/>
  <c r="J37" i="17"/>
  <c r="J36" i="17"/>
  <c r="J35" i="17" s="1"/>
  <c r="J34" i="17"/>
  <c r="J33" i="17" s="1"/>
  <c r="J32" i="17"/>
  <c r="J31" i="17"/>
  <c r="J29" i="17"/>
  <c r="K26" i="17" l="1"/>
  <c r="K42" i="17" s="1"/>
  <c r="L26" i="17"/>
  <c r="L42" i="17" s="1"/>
  <c r="E18" i="40"/>
  <c r="D18" i="40"/>
  <c r="D19" i="40"/>
  <c r="E19" i="40" s="1"/>
  <c r="C19" i="40"/>
  <c r="C18" i="40"/>
  <c r="D42" i="40"/>
  <c r="E42" i="40" s="1"/>
  <c r="C42" i="40"/>
  <c r="C130" i="38" l="1"/>
  <c r="C163" i="38" l="1"/>
  <c r="D37" i="38" s="1"/>
  <c r="C36" i="38"/>
  <c r="C33" i="38"/>
  <c r="C42" i="38"/>
  <c r="C32" i="38"/>
  <c r="D144" i="38"/>
  <c r="D148" i="38"/>
  <c r="D72" i="38"/>
  <c r="D71" i="38"/>
  <c r="D70" i="38"/>
  <c r="D69" i="38"/>
  <c r="D85" i="38" l="1"/>
  <c r="L45" i="36"/>
  <c r="C85" i="38"/>
  <c r="C45" i="38"/>
  <c r="C44" i="38"/>
  <c r="C43" i="38"/>
  <c r="C171" i="38"/>
  <c r="C37" i="38" s="1"/>
  <c r="C151" i="38" s="1"/>
  <c r="C35" i="38"/>
  <c r="C38" i="38" s="1"/>
  <c r="C34" i="38"/>
  <c r="C9" i="10"/>
  <c r="C40" i="38" l="1"/>
  <c r="C48" i="38"/>
  <c r="C46" i="38"/>
  <c r="C44" i="10" l="1"/>
  <c r="C42" i="10"/>
  <c r="C170" i="10"/>
  <c r="D37" i="10" s="1"/>
  <c r="C36" i="10"/>
  <c r="C34" i="10"/>
  <c r="C33" i="10"/>
  <c r="C32" i="10"/>
  <c r="D76" i="10" l="1"/>
  <c r="D72" i="10"/>
  <c r="D71" i="10"/>
  <c r="D70" i="10"/>
  <c r="C85" i="10" l="1"/>
  <c r="O216" i="36"/>
  <c r="O222" i="36"/>
  <c r="P222" i="36"/>
  <c r="Q332" i="36"/>
  <c r="P165" i="36"/>
  <c r="K370" i="33"/>
  <c r="K369" i="33"/>
  <c r="K368" i="33"/>
  <c r="K367" i="33"/>
  <c r="K371" i="33" s="1"/>
  <c r="K373" i="33" s="1"/>
  <c r="L370" i="33"/>
  <c r="L369" i="33"/>
  <c r="L368" i="33"/>
  <c r="L367" i="33"/>
  <c r="L371" i="33" s="1"/>
  <c r="L373" i="33" s="1"/>
  <c r="M332" i="36"/>
  <c r="M331" i="36"/>
  <c r="M330" i="36"/>
  <c r="M329" i="36"/>
  <c r="M333" i="36" s="1"/>
  <c r="K332" i="36"/>
  <c r="K331" i="36"/>
  <c r="C109" i="38" s="1"/>
  <c r="K330" i="36"/>
  <c r="C108" i="38" s="1"/>
  <c r="K329" i="36"/>
  <c r="C107" i="38" s="1"/>
  <c r="I329" i="36"/>
  <c r="I332" i="36"/>
  <c r="I367" i="33"/>
  <c r="C177" i="10"/>
  <c r="C37" i="10" s="1"/>
  <c r="K333" i="36" l="1"/>
  <c r="C72" i="10"/>
  <c r="C71" i="10"/>
  <c r="C70" i="10"/>
  <c r="I331" i="36"/>
  <c r="I330" i="36"/>
  <c r="I333" i="36" s="1"/>
  <c r="I335" i="36" s="1"/>
  <c r="Q222" i="36"/>
  <c r="R222" i="36" s="1"/>
  <c r="L222" i="36"/>
  <c r="P217" i="36"/>
  <c r="Q217" i="36" s="1"/>
  <c r="R217" i="36" s="1"/>
  <c r="O217" i="36"/>
  <c r="L217" i="36"/>
  <c r="P216" i="36"/>
  <c r="Q216" i="36" s="1"/>
  <c r="R216" i="36" s="1"/>
  <c r="L216" i="36"/>
  <c r="P209" i="36"/>
  <c r="Q209" i="36" s="1"/>
  <c r="O209" i="36"/>
  <c r="L209" i="36"/>
  <c r="P199" i="36"/>
  <c r="O199" i="36"/>
  <c r="L199" i="36"/>
  <c r="P180" i="36"/>
  <c r="Q180" i="36" s="1"/>
  <c r="R180" i="36" s="1"/>
  <c r="O180" i="36"/>
  <c r="L180" i="36"/>
  <c r="P178" i="36"/>
  <c r="Q178" i="36" s="1"/>
  <c r="Q331" i="36" s="1"/>
  <c r="D109" i="38" s="1"/>
  <c r="O178" i="36"/>
  <c r="L178" i="36"/>
  <c r="P176" i="36"/>
  <c r="O176" i="36"/>
  <c r="L176" i="36"/>
  <c r="P173" i="36"/>
  <c r="Q173" i="36" s="1"/>
  <c r="O173" i="36"/>
  <c r="L173" i="36"/>
  <c r="O165" i="36"/>
  <c r="Q165" i="36" s="1"/>
  <c r="L165" i="36"/>
  <c r="O45" i="36"/>
  <c r="R45" i="36" s="1"/>
  <c r="Q329" i="36" l="1"/>
  <c r="Q176" i="36"/>
  <c r="R176" i="36" s="1"/>
  <c r="R173" i="36"/>
  <c r="R209" i="36"/>
  <c r="Q199" i="36"/>
  <c r="Q330" i="36" s="1"/>
  <c r="D108" i="38" s="1"/>
  <c r="R165" i="36"/>
  <c r="R178" i="36"/>
  <c r="R199" i="36" l="1"/>
  <c r="D107" i="38"/>
  <c r="Q333" i="36"/>
  <c r="I1" i="21"/>
  <c r="B5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 i="21"/>
  <c r="E5" i="22" l="1"/>
  <c r="E26" i="22"/>
  <c r="F26" i="22"/>
  <c r="F5" i="22" s="1"/>
  <c r="I370" i="33"/>
  <c r="I369" i="33"/>
  <c r="I375" i="33" s="1"/>
  <c r="I368" i="33"/>
  <c r="I378" i="33" s="1"/>
  <c r="I371" i="33" l="1"/>
  <c r="I373" i="33" s="1"/>
  <c r="D9" i="38"/>
  <c r="D147" i="10" l="1"/>
  <c r="D85" i="10" l="1"/>
  <c r="D107" i="10" l="1"/>
  <c r="G118" i="10" s="1"/>
  <c r="D108" i="10"/>
  <c r="G119" i="10" s="1"/>
  <c r="D109" i="10"/>
  <c r="G120" i="10" s="1"/>
  <c r="I376" i="33"/>
  <c r="I6" i="21"/>
  <c r="I10" i="21" s="1"/>
  <c r="I7" i="21"/>
  <c r="I8" i="21"/>
  <c r="I9" i="21"/>
  <c r="D73" i="38" l="1"/>
  <c r="F9" i="21" l="1"/>
  <c r="F8" i="21"/>
  <c r="F7" i="21"/>
  <c r="F6" i="21"/>
  <c r="C41" i="21"/>
  <c r="F24" i="22"/>
  <c r="E24" i="22"/>
  <c r="D130" i="38" l="1"/>
  <c r="N10" i="26" l="1"/>
  <c r="D147" i="38" l="1"/>
  <c r="D145" i="38"/>
  <c r="D43" i="38" s="1"/>
  <c r="D151" i="38"/>
  <c r="D142" i="38"/>
  <c r="D140" i="38"/>
  <c r="D134" i="38"/>
  <c r="D35" i="38" s="1"/>
  <c r="D133" i="38"/>
  <c r="D132" i="38"/>
  <c r="D131" i="38"/>
  <c r="D34" i="38" s="1"/>
  <c r="D129" i="38"/>
  <c r="D128" i="38"/>
  <c r="D127" i="38"/>
  <c r="D126" i="38"/>
  <c r="D125" i="38"/>
  <c r="D124" i="38"/>
  <c r="D32" i="38" s="1"/>
  <c r="D101" i="38"/>
  <c r="D99" i="38"/>
  <c r="D98" i="38"/>
  <c r="D97" i="38"/>
  <c r="D96" i="38"/>
  <c r="D95" i="38"/>
  <c r="D94" i="38"/>
  <c r="D93" i="38"/>
  <c r="D92" i="38"/>
  <c r="D91" i="38"/>
  <c r="D89" i="38"/>
  <c r="D80" i="38"/>
  <c r="D76" i="38"/>
  <c r="D68" i="38"/>
  <c r="D67" i="38"/>
  <c r="D66" i="38"/>
  <c r="D65" i="38"/>
  <c r="D64" i="38"/>
  <c r="D63" i="38"/>
  <c r="D33" i="38" l="1"/>
  <c r="D38" i="38" s="1"/>
  <c r="D42" i="38"/>
  <c r="D36" i="38"/>
  <c r="D40" i="38" l="1"/>
  <c r="C72" i="38"/>
  <c r="C71" i="38"/>
  <c r="N13" i="26" s="1"/>
  <c r="C70" i="38"/>
  <c r="C81" i="38"/>
  <c r="C83" i="38"/>
  <c r="C7" i="38" s="1"/>
  <c r="N16" i="26" s="1"/>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8" i="19"/>
  <c r="C5" i="38" l="1"/>
  <c r="N15" i="26" s="1"/>
  <c r="C73" i="38"/>
  <c r="N11" i="26"/>
  <c r="E4" i="19"/>
  <c r="D83" i="38" s="1"/>
  <c r="D7" i="38" s="1"/>
  <c r="D16" i="38" s="1"/>
  <c r="E2" i="19"/>
  <c r="D81" i="38" s="1"/>
  <c r="D5" i="38" s="1"/>
  <c r="E5" i="19"/>
  <c r="D84" i="38" s="1"/>
  <c r="E3" i="19"/>
  <c r="D82" i="38" s="1"/>
  <c r="C84" i="38"/>
  <c r="C8" i="38" s="1"/>
  <c r="C13" i="38" s="1"/>
  <c r="N12" i="26" s="1"/>
  <c r="C82" i="38"/>
  <c r="D45" i="38"/>
  <c r="G45" i="38"/>
  <c r="D44" i="38"/>
  <c r="H44" i="38" s="1"/>
  <c r="D34" i="4" s="1"/>
  <c r="G44" i="38"/>
  <c r="B34" i="4" s="1"/>
  <c r="G36" i="38"/>
  <c r="H35" i="38"/>
  <c r="D9" i="4" s="1"/>
  <c r="G35" i="38"/>
  <c r="G34" i="38"/>
  <c r="H32" i="38"/>
  <c r="D5" i="4" s="1"/>
  <c r="G32" i="38"/>
  <c r="B5" i="4" s="1"/>
  <c r="D25" i="38"/>
  <c r="H25" i="38" s="1"/>
  <c r="D15" i="4" s="1"/>
  <c r="C25" i="38"/>
  <c r="G25" i="38" s="1"/>
  <c r="D24" i="38"/>
  <c r="C24" i="38"/>
  <c r="G24" i="38" s="1"/>
  <c r="H9" i="38"/>
  <c r="D31" i="4" s="1"/>
  <c r="C9" i="38"/>
  <c r="G9" i="38" s="1"/>
  <c r="B31" i="4" s="1"/>
  <c r="D1" i="38"/>
  <c r="E91" i="38" s="1"/>
  <c r="C35" i="10"/>
  <c r="D134" i="10"/>
  <c r="D35" i="10" s="1"/>
  <c r="D133" i="10"/>
  <c r="D132" i="10"/>
  <c r="D130" i="10"/>
  <c r="F119" i="38"/>
  <c r="D77" i="19"/>
  <c r="C171" i="10"/>
  <c r="C40" i="10" l="1"/>
  <c r="C38" i="10"/>
  <c r="H43" i="38"/>
  <c r="D22" i="4" s="1"/>
  <c r="D46" i="38"/>
  <c r="G34" i="4"/>
  <c r="C86" i="38"/>
  <c r="C14" i="38"/>
  <c r="N14" i="26" s="1"/>
  <c r="B23" i="4"/>
  <c r="S13" i="28" s="1"/>
  <c r="G5" i="4"/>
  <c r="G31" i="4"/>
  <c r="E72" i="38"/>
  <c r="D36" i="10"/>
  <c r="B9" i="4"/>
  <c r="B8" i="4"/>
  <c r="S5" i="28" s="1"/>
  <c r="B10" i="4"/>
  <c r="S6" i="28" s="1"/>
  <c r="K18" i="27"/>
  <c r="B17" i="4"/>
  <c r="K17" i="27"/>
  <c r="B15" i="4"/>
  <c r="G15" i="4" s="1"/>
  <c r="E147" i="38"/>
  <c r="E92" i="38"/>
  <c r="C6" i="38"/>
  <c r="G37" i="38"/>
  <c r="H42" i="38"/>
  <c r="D21" i="4" s="1"/>
  <c r="G43" i="38"/>
  <c r="G48" i="38"/>
  <c r="G33" i="38"/>
  <c r="E64" i="38"/>
  <c r="E45" i="38"/>
  <c r="E76" i="38"/>
  <c r="M10" i="26" s="1"/>
  <c r="Q10" i="26" s="1"/>
  <c r="E125" i="38"/>
  <c r="E129" i="38"/>
  <c r="E133" i="38"/>
  <c r="E42" i="38"/>
  <c r="E63" i="38"/>
  <c r="E65" i="38"/>
  <c r="E67" i="38"/>
  <c r="E69" i="38"/>
  <c r="E71" i="38"/>
  <c r="M13" i="26" s="1"/>
  <c r="Q13" i="26" s="1"/>
  <c r="E89" i="38"/>
  <c r="E94" i="38"/>
  <c r="E96" i="38"/>
  <c r="E98" i="38"/>
  <c r="E124" i="38"/>
  <c r="E128" i="38"/>
  <c r="E132" i="38"/>
  <c r="E24" i="38"/>
  <c r="L18" i="27" s="1"/>
  <c r="E25" i="38"/>
  <c r="L17" i="27" s="1"/>
  <c r="E127" i="38"/>
  <c r="E131" i="38"/>
  <c r="E148" i="38"/>
  <c r="E66" i="38"/>
  <c r="E68" i="38"/>
  <c r="E70" i="38"/>
  <c r="M11" i="26" s="1"/>
  <c r="Q11" i="26" s="1"/>
  <c r="E85" i="38"/>
  <c r="E93" i="38"/>
  <c r="E95" i="38"/>
  <c r="E97" i="38"/>
  <c r="E99" i="38"/>
  <c r="E126" i="38"/>
  <c r="E130" i="38"/>
  <c r="E134" i="38"/>
  <c r="F120" i="38"/>
  <c r="E9" i="38"/>
  <c r="E32" i="38"/>
  <c r="E44" i="38"/>
  <c r="D48" i="38"/>
  <c r="C56" i="38"/>
  <c r="H24" i="38"/>
  <c r="D17" i="4" s="1"/>
  <c r="G17" i="4" s="1"/>
  <c r="E35" i="38"/>
  <c r="H37" i="38"/>
  <c r="D11" i="4" s="1"/>
  <c r="G40" i="38"/>
  <c r="G42" i="38"/>
  <c r="B21" i="4" s="1"/>
  <c r="E43" i="38"/>
  <c r="H45" i="38"/>
  <c r="D23" i="4" s="1"/>
  <c r="E80" i="38"/>
  <c r="E142" i="38"/>
  <c r="E145" i="38"/>
  <c r="E37" i="38"/>
  <c r="E140" i="38"/>
  <c r="E144" i="38"/>
  <c r="D20" i="4" l="1"/>
  <c r="S11" i="28"/>
  <c r="G9" i="4"/>
  <c r="W8" i="28" s="1"/>
  <c r="S8" i="28"/>
  <c r="G23" i="4"/>
  <c r="W13" i="28" s="1"/>
  <c r="C11" i="38"/>
  <c r="C19" i="38" s="1"/>
  <c r="C10" i="38"/>
  <c r="C53" i="38" s="1"/>
  <c r="G21" i="4"/>
  <c r="W11" i="28" s="1"/>
  <c r="E46" i="38"/>
  <c r="B22" i="4"/>
  <c r="B20" i="4" s="1"/>
  <c r="B11" i="4"/>
  <c r="B7" i="4"/>
  <c r="S7" i="28" s="1"/>
  <c r="C12" i="38"/>
  <c r="C17" i="38" s="1"/>
  <c r="C110" i="38"/>
  <c r="F118" i="38"/>
  <c r="E48" i="38"/>
  <c r="H48" i="38"/>
  <c r="H34" i="38"/>
  <c r="D8" i="4" s="1"/>
  <c r="G8" i="4" s="1"/>
  <c r="W5" i="28" s="1"/>
  <c r="E34" i="38"/>
  <c r="E36" i="38"/>
  <c r="H36" i="38"/>
  <c r="D10" i="4" s="1"/>
  <c r="G10" i="4" s="1"/>
  <c r="W6" i="28" s="1"/>
  <c r="E38" i="38"/>
  <c r="E33" i="38"/>
  <c r="H33" i="38"/>
  <c r="D7" i="4" s="1"/>
  <c r="G11" i="4" l="1"/>
  <c r="W9" i="28" s="1"/>
  <c r="S9" i="28"/>
  <c r="G22" i="4"/>
  <c r="W12" i="28" s="1"/>
  <c r="S12" i="28"/>
  <c r="G7" i="4"/>
  <c r="W7" i="28" s="1"/>
  <c r="F23" i="4"/>
  <c r="C118" i="38"/>
  <c r="C119" i="38"/>
  <c r="J119" i="38" s="1"/>
  <c r="C120" i="38"/>
  <c r="J120" i="38" s="1"/>
  <c r="E40" i="38"/>
  <c r="H40" i="38"/>
  <c r="S10" i="28" l="1"/>
  <c r="S4" i="28"/>
  <c r="T9" i="28" s="1"/>
  <c r="F122" i="38"/>
  <c r="C21" i="38"/>
  <c r="J118" i="38"/>
  <c r="C22" i="38"/>
  <c r="F123" i="38"/>
  <c r="F124" i="38"/>
  <c r="C23" i="38"/>
  <c r="C121" i="38"/>
  <c r="C26" i="38" l="1"/>
  <c r="C29" i="38"/>
  <c r="T10" i="28"/>
  <c r="T13" i="28"/>
  <c r="T11" i="28"/>
  <c r="C28" i="38"/>
  <c r="T4" i="28"/>
  <c r="T5" i="28"/>
  <c r="T6" i="28"/>
  <c r="T8" i="28"/>
  <c r="T7" i="28"/>
  <c r="T12" i="28"/>
  <c r="G29" i="38"/>
  <c r="K3" i="27" s="1"/>
  <c r="G21" i="38"/>
  <c r="K4" i="27" s="1"/>
  <c r="G22" i="38"/>
  <c r="B14" i="4" s="1"/>
  <c r="G28" i="38"/>
  <c r="K10" i="27" s="1"/>
  <c r="G23" i="38"/>
  <c r="B16" i="4" s="1"/>
  <c r="G26" i="38" l="1"/>
  <c r="K19" i="27" s="1"/>
  <c r="C52" i="38"/>
  <c r="B13" i="4"/>
  <c r="C27" i="38"/>
  <c r="K21" i="27"/>
  <c r="T370" i="33"/>
  <c r="R370" i="33"/>
  <c r="R369" i="33"/>
  <c r="R368" i="33"/>
  <c r="R367" i="33"/>
  <c r="K14" i="27"/>
  <c r="K8" i="27"/>
  <c r="K13" i="27"/>
  <c r="B14" i="27"/>
  <c r="B16" i="27"/>
  <c r="B8" i="27"/>
  <c r="B13" i="27"/>
  <c r="B12" i="27"/>
  <c r="B11" i="27"/>
  <c r="B7" i="27"/>
  <c r="B15" i="27"/>
  <c r="B9" i="27"/>
  <c r="K7" i="27" l="1"/>
  <c r="K6" i="27"/>
  <c r="K5" i="27"/>
  <c r="K15" i="27"/>
  <c r="K11" i="27"/>
  <c r="K9" i="27"/>
  <c r="K12" i="27"/>
  <c r="K16" i="27"/>
  <c r="L16" i="27"/>
  <c r="L5" i="27"/>
  <c r="R371" i="33"/>
  <c r="R373" i="33" s="1"/>
  <c r="L14" i="27"/>
  <c r="K22" i="27" l="1"/>
  <c r="K24" i="27"/>
  <c r="L9" i="27"/>
  <c r="L6" i="27"/>
  <c r="L7" i="27"/>
  <c r="L12" i="27"/>
  <c r="B6" i="27"/>
  <c r="B5" i="27"/>
  <c r="D7" i="27"/>
  <c r="D9" i="27"/>
  <c r="D12" i="27"/>
  <c r="D8" i="27"/>
  <c r="D16" i="27"/>
  <c r="G16" i="27" s="1"/>
  <c r="D14" i="27"/>
  <c r="G14" i="27" s="1"/>
  <c r="D13" i="27" l="1"/>
  <c r="L13" i="27"/>
  <c r="G12" i="27"/>
  <c r="G9" i="27"/>
  <c r="G7" i="27"/>
  <c r="L15" i="27"/>
  <c r="L8" i="27"/>
  <c r="G8" i="27" s="1"/>
  <c r="L11" i="27"/>
  <c r="D6" i="27"/>
  <c r="G6" i="27" s="1"/>
  <c r="T369" i="33"/>
  <c r="D15" i="27"/>
  <c r="T368" i="33"/>
  <c r="D11" i="27"/>
  <c r="D5" i="27"/>
  <c r="G5" i="27" s="1"/>
  <c r="T367" i="33"/>
  <c r="C26" i="21"/>
  <c r="G13" i="27" l="1"/>
  <c r="G15" i="27"/>
  <c r="G119" i="38"/>
  <c r="E108" i="38"/>
  <c r="G120" i="38"/>
  <c r="E109" i="38"/>
  <c r="G11" i="27"/>
  <c r="T371" i="33"/>
  <c r="T373" i="33" s="1"/>
  <c r="G118" i="38"/>
  <c r="D110" i="38"/>
  <c r="E107" i="38"/>
  <c r="G7" i="38"/>
  <c r="B29" i="4" s="1"/>
  <c r="C16" i="38"/>
  <c r="G16" i="38" s="1"/>
  <c r="G71" i="38"/>
  <c r="G8" i="38"/>
  <c r="B30" i="4" s="1"/>
  <c r="G13" i="38"/>
  <c r="G70" i="38"/>
  <c r="G6" i="38"/>
  <c r="B27" i="4" s="1"/>
  <c r="G12" i="38"/>
  <c r="N8" i="26" s="1"/>
  <c r="N6" i="26" l="1"/>
  <c r="D118" i="38"/>
  <c r="E118" i="38" s="1"/>
  <c r="D120" i="38"/>
  <c r="D119" i="38"/>
  <c r="G11" i="38"/>
  <c r="N7" i="26" s="1"/>
  <c r="G5" i="38"/>
  <c r="B26" i="4" s="1"/>
  <c r="B25" i="4" s="1"/>
  <c r="G14" i="38"/>
  <c r="C15" i="38"/>
  <c r="C87" i="38"/>
  <c r="I7" i="38"/>
  <c r="J7" i="38"/>
  <c r="G15" i="38" l="1"/>
  <c r="N5" i="26" s="1"/>
  <c r="C18" i="38"/>
  <c r="D21" i="38"/>
  <c r="D22" i="38"/>
  <c r="E119" i="38"/>
  <c r="D23" i="38"/>
  <c r="E120" i="38"/>
  <c r="D121" i="38"/>
  <c r="G10" i="38"/>
  <c r="N4" i="26" s="1"/>
  <c r="N19" i="26" s="1"/>
  <c r="J5" i="38"/>
  <c r="I5" i="38"/>
  <c r="E21" i="38" l="1"/>
  <c r="D26" i="38"/>
  <c r="L4" i="27"/>
  <c r="D29" i="38"/>
  <c r="H29" i="38" s="1"/>
  <c r="H21" i="38"/>
  <c r="D13" i="4" s="1"/>
  <c r="G13" i="4" s="1"/>
  <c r="D28" i="38"/>
  <c r="E22" i="38"/>
  <c r="H22" i="38"/>
  <c r="D14" i="4" s="1"/>
  <c r="G14" i="4" s="1"/>
  <c r="H23" i="38"/>
  <c r="D16" i="4" s="1"/>
  <c r="G16" i="4" s="1"/>
  <c r="E23" i="38"/>
  <c r="D52" i="38"/>
  <c r="E29" i="38" l="1"/>
  <c r="L3" i="27" s="1"/>
  <c r="H28" i="38"/>
  <c r="E28" i="38"/>
  <c r="L10" i="27" s="1"/>
  <c r="H26" i="38"/>
  <c r="E52" i="38"/>
  <c r="E26" i="38"/>
  <c r="D27" i="38"/>
  <c r="L19" i="27" l="1"/>
  <c r="C109" i="10"/>
  <c r="F120" i="10" s="1"/>
  <c r="C107" i="10"/>
  <c r="C110" i="10" l="1"/>
  <c r="F118" i="10"/>
  <c r="C108" i="10"/>
  <c r="F119" i="10" s="1"/>
  <c r="E13" i="27" l="1"/>
  <c r="F13" i="27"/>
  <c r="G17" i="29"/>
  <c r="C80" i="29" l="1"/>
  <c r="C66" i="29"/>
  <c r="D36" i="29" l="1"/>
  <c r="C43" i="29"/>
  <c r="G43" i="29" s="1"/>
  <c r="C42" i="29"/>
  <c r="D42" i="29"/>
  <c r="H42" i="29" s="1"/>
  <c r="C39" i="29"/>
  <c r="C23" i="29"/>
  <c r="D66" i="29"/>
  <c r="G42" i="29" l="1"/>
  <c r="D135" i="29" l="1"/>
  <c r="D127" i="29"/>
  <c r="D34" i="29" s="1"/>
  <c r="D126" i="29"/>
  <c r="D125" i="29"/>
  <c r="D123" i="29"/>
  <c r="D108" i="29"/>
  <c r="C108" i="29"/>
  <c r="D106" i="29"/>
  <c r="C106" i="29"/>
  <c r="D102" i="29"/>
  <c r="G113" i="29" s="1"/>
  <c r="C102" i="29"/>
  <c r="F113" i="29" s="1"/>
  <c r="C179" i="29" s="1"/>
  <c r="F179" i="29" s="1"/>
  <c r="D101" i="29"/>
  <c r="G112" i="29" s="1"/>
  <c r="D176" i="29" s="1"/>
  <c r="C101" i="29"/>
  <c r="F112" i="29" s="1"/>
  <c r="D100" i="29"/>
  <c r="G111" i="29" s="1"/>
  <c r="C100" i="29"/>
  <c r="F111" i="29" s="1"/>
  <c r="D75" i="29"/>
  <c r="D8" i="29" s="1"/>
  <c r="D74" i="29"/>
  <c r="D7" i="29" s="1"/>
  <c r="C7" i="29"/>
  <c r="D73" i="29"/>
  <c r="D6" i="29" s="1"/>
  <c r="D12" i="29" s="1"/>
  <c r="C6" i="29"/>
  <c r="C12" i="29" s="1"/>
  <c r="G12" i="29" s="1"/>
  <c r="D72" i="29"/>
  <c r="D5" i="29" s="1"/>
  <c r="C5" i="29"/>
  <c r="D41" i="29"/>
  <c r="H41" i="29" s="1"/>
  <c r="C41" i="29"/>
  <c r="G41" i="29" s="1"/>
  <c r="D40" i="29"/>
  <c r="H40" i="29" s="1"/>
  <c r="C40" i="29"/>
  <c r="H36" i="29"/>
  <c r="C36" i="29"/>
  <c r="C34" i="29"/>
  <c r="D33" i="29"/>
  <c r="H33" i="29" s="1"/>
  <c r="C33" i="29"/>
  <c r="G33" i="29" s="1"/>
  <c r="D32" i="29"/>
  <c r="H32" i="29" s="1"/>
  <c r="C32" i="29"/>
  <c r="D31" i="29"/>
  <c r="H31" i="29" s="1"/>
  <c r="C31" i="29"/>
  <c r="G23" i="29"/>
  <c r="D23" i="29"/>
  <c r="H23" i="29" s="1"/>
  <c r="D22" i="29"/>
  <c r="H22" i="29" s="1"/>
  <c r="C22" i="29"/>
  <c r="C8" i="29"/>
  <c r="C13" i="29" s="1"/>
  <c r="D1" i="29"/>
  <c r="E80" i="29" s="1"/>
  <c r="C44" i="29" l="1"/>
  <c r="G13" i="29"/>
  <c r="G36" i="29"/>
  <c r="C35" i="29"/>
  <c r="C37" i="29" s="1"/>
  <c r="G31" i="29"/>
  <c r="D35" i="29"/>
  <c r="H35" i="29" s="1"/>
  <c r="G40" i="29"/>
  <c r="C45" i="29"/>
  <c r="E123" i="29"/>
  <c r="E42" i="29"/>
  <c r="D43" i="29"/>
  <c r="D39" i="29"/>
  <c r="E39" i="29" s="1"/>
  <c r="H34" i="29"/>
  <c r="D38" i="29"/>
  <c r="C15" i="29"/>
  <c r="G15" i="29" s="1"/>
  <c r="D9" i="29"/>
  <c r="E7" i="29"/>
  <c r="C9" i="29"/>
  <c r="C78" i="29" s="1"/>
  <c r="H8" i="29"/>
  <c r="D13" i="29"/>
  <c r="D11" i="29" s="1"/>
  <c r="D15" i="29"/>
  <c r="E12" i="29"/>
  <c r="C11" i="29"/>
  <c r="G11" i="29" s="1"/>
  <c r="C16" i="29"/>
  <c r="G16" i="29" s="1"/>
  <c r="D174" i="29"/>
  <c r="G174" i="29" s="1"/>
  <c r="D14" i="29"/>
  <c r="C14" i="29"/>
  <c r="G14" i="29" s="1"/>
  <c r="H65" i="29"/>
  <c r="H6" i="29"/>
  <c r="E41" i="29"/>
  <c r="E125" i="29"/>
  <c r="G64" i="29"/>
  <c r="E8" i="29"/>
  <c r="D183" i="29"/>
  <c r="G183" i="29" s="1"/>
  <c r="D177" i="29"/>
  <c r="E127" i="29"/>
  <c r="C177" i="29"/>
  <c r="F177" i="29" s="1"/>
  <c r="E22" i="29"/>
  <c r="G5" i="29"/>
  <c r="E34" i="29"/>
  <c r="D77" i="29"/>
  <c r="C77" i="29"/>
  <c r="E75" i="29"/>
  <c r="C176" i="29"/>
  <c r="F176" i="29" s="1"/>
  <c r="G176" i="29"/>
  <c r="C173" i="29"/>
  <c r="F173" i="29" s="1"/>
  <c r="D173" i="29"/>
  <c r="D179" i="29"/>
  <c r="H5" i="29"/>
  <c r="G6" i="29"/>
  <c r="G32" i="29"/>
  <c r="E33" i="29"/>
  <c r="G39" i="29"/>
  <c r="E40" i="29"/>
  <c r="E58" i="29"/>
  <c r="E62" i="29"/>
  <c r="H64" i="29"/>
  <c r="E67" i="29"/>
  <c r="E72" i="29"/>
  <c r="E84" i="29"/>
  <c r="E88" i="29"/>
  <c r="E92" i="29"/>
  <c r="D103" i="29"/>
  <c r="D112" i="29" s="1"/>
  <c r="E119" i="29"/>
  <c r="C183" i="29"/>
  <c r="F183" i="29" s="1"/>
  <c r="E6" i="29"/>
  <c r="E32" i="29"/>
  <c r="E36" i="29"/>
  <c r="E57" i="29"/>
  <c r="E61" i="29"/>
  <c r="G65" i="29"/>
  <c r="E73" i="29"/>
  <c r="E82" i="29"/>
  <c r="E87" i="29"/>
  <c r="E91" i="29"/>
  <c r="C103" i="29"/>
  <c r="C111" i="29" s="1"/>
  <c r="E118" i="29"/>
  <c r="E122" i="29"/>
  <c r="C174" i="29"/>
  <c r="F174" i="29" s="1"/>
  <c r="E5" i="29"/>
  <c r="H7" i="29"/>
  <c r="G8" i="29"/>
  <c r="G22" i="29"/>
  <c r="E23" i="29"/>
  <c r="E31" i="29"/>
  <c r="G34" i="29"/>
  <c r="E60" i="29"/>
  <c r="E64" i="29"/>
  <c r="E65" i="29"/>
  <c r="E74" i="29"/>
  <c r="E76" i="29"/>
  <c r="E86" i="29"/>
  <c r="E90" i="29"/>
  <c r="E117" i="29"/>
  <c r="E121" i="29"/>
  <c r="E124" i="29"/>
  <c r="E126" i="29"/>
  <c r="G7" i="29"/>
  <c r="E59" i="29"/>
  <c r="E63" i="29"/>
  <c r="E71" i="29"/>
  <c r="E85" i="29"/>
  <c r="E89" i="29"/>
  <c r="E120" i="29"/>
  <c r="D181" i="29" l="1"/>
  <c r="H39" i="29"/>
  <c r="C181" i="29"/>
  <c r="F181" i="29" s="1"/>
  <c r="C50" i="29"/>
  <c r="D45" i="29"/>
  <c r="D44" i="29"/>
  <c r="D47" i="29" s="1"/>
  <c r="C10" i="29"/>
  <c r="G10" i="29" s="1"/>
  <c r="N20" i="26" s="1"/>
  <c r="C47" i="29"/>
  <c r="D37" i="29"/>
  <c r="D10" i="29"/>
  <c r="H10" i="29" s="1"/>
  <c r="C38" i="29"/>
  <c r="E38" i="29" s="1"/>
  <c r="E15" i="29"/>
  <c r="E37" i="29"/>
  <c r="H43" i="29"/>
  <c r="E43" i="29"/>
  <c r="E45" i="29"/>
  <c r="E14" i="29"/>
  <c r="I65" i="29"/>
  <c r="I64" i="29"/>
  <c r="E11" i="29"/>
  <c r="D16" i="29"/>
  <c r="E16" i="29" s="1"/>
  <c r="E13" i="29"/>
  <c r="E177" i="29"/>
  <c r="G177" i="29"/>
  <c r="D113" i="29"/>
  <c r="D111" i="29"/>
  <c r="C113" i="29"/>
  <c r="C21" i="29" s="1"/>
  <c r="G21" i="29" s="1"/>
  <c r="C19" i="29"/>
  <c r="E35" i="29"/>
  <c r="G35" i="29"/>
  <c r="G179" i="29"/>
  <c r="E179" i="29"/>
  <c r="E183" i="29"/>
  <c r="C112" i="29"/>
  <c r="C20" i="29" s="1"/>
  <c r="G181" i="29"/>
  <c r="D20" i="29"/>
  <c r="E174" i="29"/>
  <c r="G173" i="29"/>
  <c r="E173" i="29"/>
  <c r="E176" i="29"/>
  <c r="E181" i="29" l="1"/>
  <c r="E10" i="29"/>
  <c r="C26" i="29"/>
  <c r="G20" i="29"/>
  <c r="E113" i="29"/>
  <c r="D114" i="29"/>
  <c r="D19" i="29"/>
  <c r="E19" i="29" s="1"/>
  <c r="E111" i="29"/>
  <c r="D21" i="29"/>
  <c r="H21" i="29" s="1"/>
  <c r="H20" i="29"/>
  <c r="E20" i="29"/>
  <c r="E112" i="29"/>
  <c r="C114" i="29"/>
  <c r="C24" i="29"/>
  <c r="G19" i="29"/>
  <c r="C27" i="29" l="1"/>
  <c r="C46" i="29"/>
  <c r="D26" i="29"/>
  <c r="E26" i="29" s="1"/>
  <c r="E21" i="29"/>
  <c r="H19" i="29"/>
  <c r="D24" i="29"/>
  <c r="D46" i="29" s="1"/>
  <c r="E46" i="29" l="1"/>
  <c r="D27" i="29"/>
  <c r="E27" i="29" s="1"/>
  <c r="E24" i="29"/>
  <c r="D128" i="10"/>
  <c r="I9" i="26"/>
  <c r="D69" i="10" l="1"/>
  <c r="D73" i="10" s="1"/>
  <c r="D1" i="10" l="1"/>
  <c r="E134" i="10" l="1"/>
  <c r="E37" i="10"/>
  <c r="G9" i="26" l="1"/>
  <c r="G17" i="26" l="1"/>
  <c r="D73" i="19" l="1"/>
  <c r="C15" i="21"/>
  <c r="C8" i="21" l="1"/>
  <c r="E16" i="27" l="1"/>
  <c r="E9" i="27"/>
  <c r="E5" i="27" l="1"/>
  <c r="E8" i="27"/>
  <c r="E14" i="27"/>
  <c r="E6" i="27"/>
  <c r="E12" i="27"/>
  <c r="E7" i="27"/>
  <c r="C118" i="10"/>
  <c r="C21" i="10" s="1"/>
  <c r="D144" i="10"/>
  <c r="D101" i="10"/>
  <c r="E76" i="10"/>
  <c r="F10" i="26" s="1"/>
  <c r="G10" i="26" l="1"/>
  <c r="I10" i="26"/>
  <c r="C119" i="10"/>
  <c r="E15" i="27"/>
  <c r="E11" i="27"/>
  <c r="C45" i="10" l="1"/>
  <c r="G45" i="10" s="1"/>
  <c r="I23" i="4" s="1"/>
  <c r="B13" i="28" l="1"/>
  <c r="Q23" i="4"/>
  <c r="R23" i="4" s="1"/>
  <c r="F15" i="27"/>
  <c r="F11" i="27"/>
  <c r="F8" i="27"/>
  <c r="F7" i="27"/>
  <c r="F6" i="27"/>
  <c r="F5" i="27"/>
  <c r="E13" i="28" l="1"/>
  <c r="D13" i="28"/>
  <c r="F13" i="28"/>
  <c r="F14" i="27"/>
  <c r="F12" i="27"/>
  <c r="F16" i="27"/>
  <c r="F9" i="27"/>
  <c r="I17" i="26"/>
  <c r="E11" i="26"/>
  <c r="E13" i="26"/>
  <c r="D10" i="26"/>
  <c r="C6" i="21" l="1"/>
  <c r="C7" i="21"/>
  <c r="C9" i="21"/>
  <c r="C10" i="21"/>
  <c r="C11" i="21"/>
  <c r="C12" i="21"/>
  <c r="C13" i="21"/>
  <c r="C14" i="21"/>
  <c r="C16" i="21"/>
  <c r="C17" i="21"/>
  <c r="C18" i="21"/>
  <c r="C19" i="21"/>
  <c r="C20" i="21"/>
  <c r="C21" i="21"/>
  <c r="C22" i="21"/>
  <c r="C23" i="21"/>
  <c r="C24" i="21"/>
  <c r="C25" i="21"/>
  <c r="C27" i="21"/>
  <c r="C28" i="21"/>
  <c r="C29" i="21"/>
  <c r="C30" i="21"/>
  <c r="C31" i="21"/>
  <c r="C32" i="21"/>
  <c r="C33" i="21"/>
  <c r="C34" i="21"/>
  <c r="C35" i="21"/>
  <c r="C36" i="21"/>
  <c r="C37" i="21"/>
  <c r="C38" i="21"/>
  <c r="C39" i="21"/>
  <c r="C40" i="21"/>
  <c r="C42" i="21"/>
  <c r="C43" i="21"/>
  <c r="C44" i="21"/>
  <c r="C45" i="21"/>
  <c r="C46" i="21"/>
  <c r="C47" i="21"/>
  <c r="C48" i="21"/>
  <c r="C49" i="21"/>
  <c r="C50" i="21"/>
  <c r="C51" i="21"/>
  <c r="C52" i="21"/>
  <c r="C53" i="21"/>
  <c r="C54" i="21"/>
  <c r="C55" i="21"/>
  <c r="E10" i="26"/>
  <c r="D9" i="10"/>
  <c r="H9" i="26" l="1"/>
  <c r="E133" i="10" l="1"/>
  <c r="E144" i="10"/>
  <c r="E132" i="10"/>
  <c r="E147" i="10"/>
  <c r="E69" i="10"/>
  <c r="E85" i="10"/>
  <c r="E9" i="10"/>
  <c r="E130" i="10"/>
  <c r="D140" i="10"/>
  <c r="H10" i="26" l="1"/>
  <c r="E140" i="10"/>
  <c r="E108" i="10" l="1"/>
  <c r="E109" i="10"/>
  <c r="E107" i="10"/>
  <c r="J119" i="10" l="1"/>
  <c r="F123" i="10"/>
  <c r="C120" i="10"/>
  <c r="C121" i="10" s="1"/>
  <c r="D98" i="10"/>
  <c r="E98" i="10" s="1"/>
  <c r="D99" i="10"/>
  <c r="E99" i="10" s="1"/>
  <c r="D97" i="10"/>
  <c r="E97" i="10" s="1"/>
  <c r="D95" i="10"/>
  <c r="E95" i="10" s="1"/>
  <c r="D92" i="10"/>
  <c r="E92" i="10" s="1"/>
  <c r="D93" i="10"/>
  <c r="E93" i="10" s="1"/>
  <c r="D94" i="10"/>
  <c r="E94" i="10" s="1"/>
  <c r="D91" i="10"/>
  <c r="D110" i="10" l="1"/>
  <c r="J120" i="10"/>
  <c r="F124" i="10"/>
  <c r="J118" i="10"/>
  <c r="F122" i="10"/>
  <c r="E91" i="10"/>
  <c r="D80" i="10"/>
  <c r="D65" i="10"/>
  <c r="E65" i="10" s="1"/>
  <c r="D66" i="10"/>
  <c r="E66" i="10" s="1"/>
  <c r="D67" i="10"/>
  <c r="E67" i="10" s="1"/>
  <c r="D68" i="10"/>
  <c r="E68" i="10" s="1"/>
  <c r="D64" i="10"/>
  <c r="D63" i="10"/>
  <c r="D148" i="10"/>
  <c r="D145" i="10"/>
  <c r="D142" i="10"/>
  <c r="D42" i="10" s="1"/>
  <c r="D131" i="10"/>
  <c r="D34" i="10" s="1"/>
  <c r="D125" i="10"/>
  <c r="D126" i="10"/>
  <c r="E126" i="10" s="1"/>
  <c r="D127" i="10"/>
  <c r="E127" i="10" s="1"/>
  <c r="E128" i="10"/>
  <c r="D129" i="10"/>
  <c r="E129" i="10" s="1"/>
  <c r="D124" i="10"/>
  <c r="E124" i="10" s="1"/>
  <c r="D33" i="10" l="1"/>
  <c r="D40" i="10" s="1"/>
  <c r="E63" i="10"/>
  <c r="D120" i="10"/>
  <c r="D119" i="10"/>
  <c r="D118" i="10"/>
  <c r="E80" i="10"/>
  <c r="E131" i="10"/>
  <c r="E125" i="10"/>
  <c r="E148" i="10"/>
  <c r="D45" i="10"/>
  <c r="E142" i="10"/>
  <c r="E64" i="10"/>
  <c r="E145" i="10"/>
  <c r="D43" i="10"/>
  <c r="D48" i="10" l="1"/>
  <c r="D22" i="10"/>
  <c r="E45" i="10"/>
  <c r="H45" i="10"/>
  <c r="K23" i="4" s="1"/>
  <c r="M23" i="4" s="1"/>
  <c r="E42" i="10"/>
  <c r="D89" i="10"/>
  <c r="D96" i="10"/>
  <c r="E96" i="10" s="1"/>
  <c r="D75" i="19"/>
  <c r="D76" i="19"/>
  <c r="U23" i="4" l="1"/>
  <c r="V23" i="4" s="1"/>
  <c r="O23" i="4"/>
  <c r="E89" i="10"/>
  <c r="D121" i="10"/>
  <c r="E36" i="10"/>
  <c r="C43" i="10"/>
  <c r="J13" i="28" l="1"/>
  <c r="N23" i="4"/>
  <c r="AF23" i="4" s="1"/>
  <c r="AP23" i="4"/>
  <c r="AQ23" i="4"/>
  <c r="AG23" i="4"/>
  <c r="C46" i="10"/>
  <c r="C48" i="10"/>
  <c r="G48" i="10" s="1"/>
  <c r="E43" i="10"/>
  <c r="E33" i="10"/>
  <c r="D74" i="19"/>
  <c r="AH23" i="4" l="1"/>
  <c r="K13" i="28"/>
  <c r="L13" i="28"/>
  <c r="M13" i="28"/>
  <c r="E48" i="10"/>
  <c r="H48" i="10"/>
  <c r="E35" i="10"/>
  <c r="D44" i="10" l="1"/>
  <c r="D46" i="10" s="1"/>
  <c r="G40" i="10"/>
  <c r="D32" i="10"/>
  <c r="D38" i="10" s="1"/>
  <c r="E38" i="10" l="1"/>
  <c r="E32" i="10"/>
  <c r="E44" i="10"/>
  <c r="E34" i="10"/>
  <c r="G34" i="10"/>
  <c r="G33" i="10"/>
  <c r="E1" i="21"/>
  <c r="C193" i="10"/>
  <c r="E72" i="10" l="1"/>
  <c r="E46" i="10"/>
  <c r="E40" i="10"/>
  <c r="H40" i="10"/>
  <c r="E118" i="10"/>
  <c r="G193" i="10"/>
  <c r="F193" i="10"/>
  <c r="G191" i="10"/>
  <c r="C82" i="10" l="1"/>
  <c r="C6" i="10" s="1"/>
  <c r="C84" i="10"/>
  <c r="C8" i="10" s="1"/>
  <c r="C13" i="10" s="1"/>
  <c r="C73" i="10"/>
  <c r="E71" i="10"/>
  <c r="F13" i="26" s="1"/>
  <c r="C83" i="10"/>
  <c r="C7" i="10" s="1"/>
  <c r="C16" i="10" s="1"/>
  <c r="C191" i="10"/>
  <c r="F191" i="10" s="1"/>
  <c r="C183" i="10"/>
  <c r="F183" i="10" s="1"/>
  <c r="G189" i="10"/>
  <c r="C11" i="10" l="1"/>
  <c r="C12" i="10"/>
  <c r="C17" i="10" s="1"/>
  <c r="E70" i="10"/>
  <c r="F11" i="26" s="1"/>
  <c r="G11" i="26" s="1"/>
  <c r="G13" i="26"/>
  <c r="I13" i="26"/>
  <c r="D13" i="26"/>
  <c r="D11" i="26"/>
  <c r="H13" i="26"/>
  <c r="E120" i="10"/>
  <c r="F10" i="21"/>
  <c r="F12" i="21" s="1"/>
  <c r="C81" i="10"/>
  <c r="G186" i="10"/>
  <c r="G183" i="10"/>
  <c r="C86" i="10" l="1"/>
  <c r="C5" i="10"/>
  <c r="H11" i="26"/>
  <c r="I11" i="26"/>
  <c r="D16" i="26"/>
  <c r="E119" i="10"/>
  <c r="C189" i="10"/>
  <c r="F189" i="10" s="1"/>
  <c r="C186" i="10"/>
  <c r="F186" i="10" s="1"/>
  <c r="C10" i="10" l="1"/>
  <c r="C53" i="10" s="1"/>
  <c r="C14" i="10"/>
  <c r="C15" i="10"/>
  <c r="C18" i="10" s="1"/>
  <c r="C19" i="10"/>
  <c r="C87" i="10"/>
  <c r="D15" i="26"/>
  <c r="H9" i="10"/>
  <c r="K31" i="4" s="1"/>
  <c r="M31" i="4" s="1"/>
  <c r="U31" i="4" s="1"/>
  <c r="G9" i="10"/>
  <c r="I31" i="4" s="1"/>
  <c r="F15" i="17"/>
  <c r="B15" i="17" l="1"/>
  <c r="F18" i="25"/>
  <c r="D15" i="17"/>
  <c r="J18" i="25"/>
  <c r="F31" i="4"/>
  <c r="H15" i="17"/>
  <c r="Q31" i="4"/>
  <c r="P18" i="25" l="1"/>
  <c r="I15" i="17"/>
  <c r="R31" i="4"/>
  <c r="G18" i="25" s="1"/>
  <c r="D25" i="10" l="1"/>
  <c r="C25" i="10"/>
  <c r="D24" i="10"/>
  <c r="C24" i="10"/>
  <c r="C23" i="10"/>
  <c r="D23" i="10"/>
  <c r="D28" i="10" s="1"/>
  <c r="D21" i="10"/>
  <c r="C22" i="10"/>
  <c r="E21" i="10" l="1"/>
  <c r="D4" i="27" s="1"/>
  <c r="D26" i="10"/>
  <c r="C28" i="10"/>
  <c r="G28" i="10" s="1"/>
  <c r="B10" i="27" s="1"/>
  <c r="B24" i="27" s="1"/>
  <c r="C26" i="10"/>
  <c r="C52" i="10" s="1"/>
  <c r="C29" i="10"/>
  <c r="G29" i="10"/>
  <c r="B3" i="27" s="1"/>
  <c r="E4" i="27"/>
  <c r="G4" i="27"/>
  <c r="E25" i="10"/>
  <c r="D17" i="27" s="1"/>
  <c r="E24" i="10"/>
  <c r="D18" i="27" s="1"/>
  <c r="H28" i="10"/>
  <c r="E23" i="10"/>
  <c r="F4" i="27"/>
  <c r="E22" i="10"/>
  <c r="D29" i="10"/>
  <c r="H29" i="10" s="1"/>
  <c r="E26" i="10" l="1"/>
  <c r="D52" i="10"/>
  <c r="E52" i="10" s="1"/>
  <c r="E17" i="27"/>
  <c r="G17" i="27"/>
  <c r="E18" i="27"/>
  <c r="G18" i="27"/>
  <c r="F17" i="27"/>
  <c r="F18" i="27"/>
  <c r="E28" i="10"/>
  <c r="D10" i="27" s="1"/>
  <c r="G10" i="27" s="1"/>
  <c r="E29" i="10"/>
  <c r="D3" i="27" s="1"/>
  <c r="E3" i="27" l="1"/>
  <c r="G3" i="27"/>
  <c r="F10" i="27"/>
  <c r="E10" i="27"/>
  <c r="F3" i="27"/>
  <c r="G16" i="10"/>
  <c r="G14" i="10" l="1"/>
  <c r="D14" i="26"/>
  <c r="G70" i="10"/>
  <c r="G12" i="10"/>
  <c r="D8" i="26" s="1"/>
  <c r="G15" i="10"/>
  <c r="G71" i="10"/>
  <c r="C187" i="10"/>
  <c r="F187" i="10" s="1"/>
  <c r="C184" i="10"/>
  <c r="F184" i="10" s="1"/>
  <c r="D72" i="19"/>
  <c r="D71" i="19"/>
  <c r="D70" i="19"/>
  <c r="D69" i="19"/>
  <c r="D68" i="19"/>
  <c r="D67" i="19"/>
  <c r="D66" i="19"/>
  <c r="D65" i="19"/>
  <c r="D64" i="19"/>
  <c r="D63" i="19"/>
  <c r="D62" i="19"/>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4" i="19" s="1"/>
  <c r="D12" i="19"/>
  <c r="D11" i="19"/>
  <c r="D10" i="19"/>
  <c r="D9" i="19"/>
  <c r="D2" i="19" s="1"/>
  <c r="D8" i="19"/>
  <c r="D5" i="19" l="1"/>
  <c r="D84" i="10" s="1"/>
  <c r="E84" i="10" s="1"/>
  <c r="D15" i="38"/>
  <c r="E81" i="38"/>
  <c r="E83" i="38"/>
  <c r="D3" i="19"/>
  <c r="D8" i="38"/>
  <c r="E84" i="38"/>
  <c r="G11" i="10"/>
  <c r="D7" i="26" s="1"/>
  <c r="D5" i="26"/>
  <c r="D81" i="10"/>
  <c r="D83" i="10"/>
  <c r="G13" i="10"/>
  <c r="D6" i="26" s="1"/>
  <c r="D12" i="26"/>
  <c r="D5" i="10" l="1"/>
  <c r="E81" i="10"/>
  <c r="E82" i="38"/>
  <c r="D6" i="38"/>
  <c r="D10" i="38" s="1"/>
  <c r="D53" i="38" s="1"/>
  <c r="H71" i="38"/>
  <c r="I71" i="38" s="1"/>
  <c r="E8" i="38"/>
  <c r="D13" i="38"/>
  <c r="H8" i="38"/>
  <c r="D30" i="4" s="1"/>
  <c r="G30" i="4" s="1"/>
  <c r="H7" i="38"/>
  <c r="D29" i="4" s="1"/>
  <c r="G29" i="4" s="1"/>
  <c r="E7" i="38"/>
  <c r="M16" i="26" s="1"/>
  <c r="Q16" i="26" s="1"/>
  <c r="D14" i="38"/>
  <c r="D18" i="38" s="1"/>
  <c r="H5" i="38"/>
  <c r="D26" i="4" s="1"/>
  <c r="G26" i="4" s="1"/>
  <c r="E5" i="38"/>
  <c r="M15" i="26" s="1"/>
  <c r="Q15" i="26" s="1"/>
  <c r="D86" i="38"/>
  <c r="D82" i="10"/>
  <c r="D6" i="10" s="1"/>
  <c r="D7" i="10"/>
  <c r="E83" i="10"/>
  <c r="D8" i="10"/>
  <c r="D13" i="10" s="1"/>
  <c r="D15" i="10" l="1"/>
  <c r="D10" i="10"/>
  <c r="D53" i="10" s="1"/>
  <c r="E5" i="10"/>
  <c r="F15" i="26" s="1"/>
  <c r="G15" i="26" s="1"/>
  <c r="D86" i="10"/>
  <c r="E7" i="10"/>
  <c r="F16" i="26" s="1"/>
  <c r="I16" i="26" s="1"/>
  <c r="D16" i="10"/>
  <c r="D14" i="10"/>
  <c r="H14" i="10" s="1"/>
  <c r="E82" i="10"/>
  <c r="D87" i="38"/>
  <c r="E10" i="38"/>
  <c r="M4" i="26" s="1"/>
  <c r="Q4" i="26" s="1"/>
  <c r="H14" i="38"/>
  <c r="E14" i="38"/>
  <c r="M14" i="26" s="1"/>
  <c r="Q14" i="26" s="1"/>
  <c r="E6" i="38"/>
  <c r="D11" i="38"/>
  <c r="H70" i="38"/>
  <c r="I70" i="38" s="1"/>
  <c r="H6" i="38"/>
  <c r="D12" i="38"/>
  <c r="E16" i="38"/>
  <c r="M6" i="26" s="1"/>
  <c r="Q6" i="26" s="1"/>
  <c r="H16" i="38"/>
  <c r="H13" i="38"/>
  <c r="E13" i="38"/>
  <c r="E15" i="26"/>
  <c r="D12" i="10"/>
  <c r="E16" i="26"/>
  <c r="H15" i="26"/>
  <c r="E6" i="10"/>
  <c r="E8" i="10"/>
  <c r="D11" i="10"/>
  <c r="E16" i="10"/>
  <c r="F6" i="26" s="1"/>
  <c r="G187" i="10"/>
  <c r="H71" i="10"/>
  <c r="I71" i="10" s="1"/>
  <c r="G184" i="10"/>
  <c r="H70" i="10"/>
  <c r="I70" i="10" s="1"/>
  <c r="D87" i="10"/>
  <c r="D17" i="38" l="1"/>
  <c r="D17" i="10"/>
  <c r="E15" i="10"/>
  <c r="F5" i="26" s="1"/>
  <c r="D18" i="10"/>
  <c r="I15" i="26"/>
  <c r="H16" i="26"/>
  <c r="G16" i="26"/>
  <c r="D19" i="10"/>
  <c r="M12" i="26"/>
  <c r="Q12" i="26" s="1"/>
  <c r="H10" i="38"/>
  <c r="D27" i="4"/>
  <c r="G27" i="4" s="1"/>
  <c r="E12" i="38"/>
  <c r="M8" i="26" s="1"/>
  <c r="Q8" i="26" s="1"/>
  <c r="H12" i="38"/>
  <c r="E53" i="38"/>
  <c r="E54" i="38" s="1"/>
  <c r="E55" i="38"/>
  <c r="H15" i="38"/>
  <c r="E15" i="38"/>
  <c r="M5" i="26" s="1"/>
  <c r="H11" i="38"/>
  <c r="D19" i="38"/>
  <c r="E11" i="38"/>
  <c r="M7" i="26" s="1"/>
  <c r="Q7" i="26" s="1"/>
  <c r="G6" i="26"/>
  <c r="I6" i="26"/>
  <c r="G5" i="26"/>
  <c r="E14" i="10"/>
  <c r="F14" i="26" s="1"/>
  <c r="E14" i="26"/>
  <c r="H6" i="26"/>
  <c r="H13" i="10"/>
  <c r="E12" i="26"/>
  <c r="E13" i="10"/>
  <c r="F12" i="26" s="1"/>
  <c r="H12" i="10"/>
  <c r="E8" i="26" s="1"/>
  <c r="E12" i="10"/>
  <c r="F8" i="26" s="1"/>
  <c r="E10" i="10"/>
  <c r="E53" i="10"/>
  <c r="E54" i="10" s="1"/>
  <c r="H11" i="10"/>
  <c r="E7" i="26" s="1"/>
  <c r="E11" i="10"/>
  <c r="F7" i="26" s="1"/>
  <c r="H15" i="10"/>
  <c r="E5" i="26" s="1"/>
  <c r="H16" i="10"/>
  <c r="E6" i="26" s="1"/>
  <c r="I5" i="26" l="1"/>
  <c r="Q5" i="26"/>
  <c r="G12" i="26"/>
  <c r="I12" i="26"/>
  <c r="G8" i="26"/>
  <c r="I8" i="26"/>
  <c r="G7" i="26"/>
  <c r="I7" i="26"/>
  <c r="G14" i="26"/>
  <c r="I14" i="26"/>
  <c r="H14" i="26"/>
  <c r="H12" i="26"/>
  <c r="H8" i="26"/>
  <c r="H5" i="26"/>
  <c r="H7" i="26"/>
  <c r="L13" i="13"/>
  <c r="B15" i="16" l="1"/>
  <c r="C1" i="15"/>
  <c r="K13" i="13" l="1"/>
  <c r="D27" i="10" l="1"/>
  <c r="C27" i="10"/>
  <c r="H7" i="17"/>
  <c r="F7" i="17"/>
  <c r="H6" i="17"/>
  <c r="F6" i="17"/>
  <c r="H44" i="10"/>
  <c r="K34" i="4" s="1"/>
  <c r="M34" i="4" s="1"/>
  <c r="U34" i="4" s="1"/>
  <c r="G44" i="10"/>
  <c r="I34" i="4" s="1"/>
  <c r="H43" i="10"/>
  <c r="K22" i="4" s="1"/>
  <c r="G43" i="10"/>
  <c r="H42" i="10"/>
  <c r="K21" i="4" s="1"/>
  <c r="G42" i="10"/>
  <c r="I21" i="4" s="1"/>
  <c r="B11" i="28" s="1"/>
  <c r="H37" i="10"/>
  <c r="K11" i="4" s="1"/>
  <c r="M11" i="4" s="1"/>
  <c r="U11" i="4" s="1"/>
  <c r="G37" i="10"/>
  <c r="H36" i="10"/>
  <c r="K10" i="4" s="1"/>
  <c r="M10" i="4" s="1"/>
  <c r="U10" i="4" s="1"/>
  <c r="G36" i="10"/>
  <c r="H35" i="10"/>
  <c r="K9" i="4" s="1"/>
  <c r="G35" i="10"/>
  <c r="H34" i="10"/>
  <c r="K8" i="4" s="1"/>
  <c r="M8" i="4" s="1"/>
  <c r="U8" i="4" s="1"/>
  <c r="I8" i="4"/>
  <c r="B5" i="28" s="1"/>
  <c r="H33" i="10"/>
  <c r="K7" i="4" s="1"/>
  <c r="H32" i="10"/>
  <c r="G32" i="10"/>
  <c r="I5" i="4" s="1"/>
  <c r="H25" i="10"/>
  <c r="K15" i="4" s="1"/>
  <c r="M15" i="4" s="1"/>
  <c r="U15" i="4" s="1"/>
  <c r="G25" i="10"/>
  <c r="H24" i="10"/>
  <c r="K17" i="4" s="1"/>
  <c r="M17" i="4" s="1"/>
  <c r="U17" i="4" s="1"/>
  <c r="G24" i="10"/>
  <c r="H23" i="10"/>
  <c r="K16" i="4" s="1"/>
  <c r="M16" i="4" s="1"/>
  <c r="U16" i="4" s="1"/>
  <c r="G23" i="10"/>
  <c r="I16" i="4" s="1"/>
  <c r="H22" i="10"/>
  <c r="K14" i="4" s="1"/>
  <c r="M14" i="4" s="1"/>
  <c r="U14" i="4" s="1"/>
  <c r="G22" i="10"/>
  <c r="I14" i="4" s="1"/>
  <c r="H21" i="10"/>
  <c r="K13" i="4" s="1"/>
  <c r="M13" i="4" s="1"/>
  <c r="U13" i="4" s="1"/>
  <c r="G21" i="10"/>
  <c r="H8" i="10"/>
  <c r="K30" i="4" s="1"/>
  <c r="M30" i="4" s="1"/>
  <c r="U30" i="4" s="1"/>
  <c r="G8" i="10"/>
  <c r="I30" i="4" s="1"/>
  <c r="H7" i="10"/>
  <c r="K29" i="4" s="1"/>
  <c r="M29" i="4" s="1"/>
  <c r="U29" i="4" s="1"/>
  <c r="G7" i="10"/>
  <c r="H6" i="10"/>
  <c r="K27" i="4" s="1"/>
  <c r="G6" i="10"/>
  <c r="I27" i="4" s="1"/>
  <c r="H5" i="10"/>
  <c r="G5" i="10"/>
  <c r="E11" i="28" l="1"/>
  <c r="F11" i="28"/>
  <c r="D11" i="28"/>
  <c r="I6" i="17"/>
  <c r="M7" i="4"/>
  <c r="U7" i="4" s="1"/>
  <c r="D6" i="17"/>
  <c r="M22" i="4"/>
  <c r="U22" i="4" s="1"/>
  <c r="K20" i="4"/>
  <c r="E5" i="28"/>
  <c r="F5" i="28"/>
  <c r="D5" i="28"/>
  <c r="D7" i="17"/>
  <c r="M9" i="4"/>
  <c r="U9" i="4" s="1"/>
  <c r="M27" i="4"/>
  <c r="U27" i="4" s="1"/>
  <c r="O8" i="4"/>
  <c r="J5" i="28" s="1"/>
  <c r="B6" i="4"/>
  <c r="I11" i="4"/>
  <c r="H26" i="10"/>
  <c r="E55" i="10"/>
  <c r="K6" i="4"/>
  <c r="M6" i="4" s="1"/>
  <c r="I22" i="4"/>
  <c r="I9" i="4"/>
  <c r="I10" i="4"/>
  <c r="I17" i="4"/>
  <c r="Q17" i="4" s="1"/>
  <c r="R17" i="4" s="1"/>
  <c r="B18" i="27"/>
  <c r="I15" i="4"/>
  <c r="Q15" i="4" s="1"/>
  <c r="R15" i="4" s="1"/>
  <c r="B17" i="27"/>
  <c r="M21" i="4"/>
  <c r="D6" i="4"/>
  <c r="K11" i="25"/>
  <c r="V15" i="4"/>
  <c r="V13" i="4"/>
  <c r="K12" i="25"/>
  <c r="F5" i="4"/>
  <c r="G10" i="10"/>
  <c r="D4" i="26" s="1"/>
  <c r="D19" i="26" s="1"/>
  <c r="G26" i="10"/>
  <c r="B19" i="27" s="1"/>
  <c r="I13" i="4"/>
  <c r="B4" i="27"/>
  <c r="D19" i="27"/>
  <c r="K26" i="4"/>
  <c r="M26" i="4" s="1"/>
  <c r="U26" i="4" s="1"/>
  <c r="H10" i="10"/>
  <c r="E4" i="26" s="1"/>
  <c r="F4" i="26" s="1"/>
  <c r="F13" i="4"/>
  <c r="B8" i="17"/>
  <c r="B16" i="17"/>
  <c r="F20" i="25"/>
  <c r="I26" i="4"/>
  <c r="J5" i="10"/>
  <c r="I5" i="10"/>
  <c r="I29" i="4"/>
  <c r="J7" i="10"/>
  <c r="I7" i="10"/>
  <c r="D9" i="17"/>
  <c r="J12" i="25"/>
  <c r="F13" i="25"/>
  <c r="D8" i="17"/>
  <c r="J11" i="25"/>
  <c r="D16" i="17"/>
  <c r="J20" i="25"/>
  <c r="B28" i="4"/>
  <c r="F14" i="17" s="1"/>
  <c r="H8" i="17"/>
  <c r="P11" i="25"/>
  <c r="H16" i="17"/>
  <c r="P20" i="25"/>
  <c r="H4" i="17"/>
  <c r="F4" i="17"/>
  <c r="D33" i="4"/>
  <c r="H9" i="17"/>
  <c r="P12" i="25"/>
  <c r="F15" i="4"/>
  <c r="I7" i="17"/>
  <c r="K33" i="4"/>
  <c r="M33" i="4" s="1"/>
  <c r="I33" i="4"/>
  <c r="B4" i="17"/>
  <c r="Q5" i="4"/>
  <c r="J10" i="25"/>
  <c r="O30" i="4"/>
  <c r="AQ30" i="4" s="1"/>
  <c r="E191" i="10"/>
  <c r="E193" i="10"/>
  <c r="E183" i="10"/>
  <c r="E186" i="10"/>
  <c r="E189" i="10"/>
  <c r="O31" i="4"/>
  <c r="H18" i="25" s="1"/>
  <c r="I18" i="25" s="1"/>
  <c r="E184" i="10"/>
  <c r="E187" i="10"/>
  <c r="K12" i="4"/>
  <c r="B12" i="4"/>
  <c r="B14" i="15"/>
  <c r="B15" i="11" s="1"/>
  <c r="B15" i="12" s="1"/>
  <c r="F16" i="17"/>
  <c r="B7" i="15"/>
  <c r="B6" i="11" s="1"/>
  <c r="B6" i="12" s="1"/>
  <c r="F8" i="17"/>
  <c r="B8" i="15"/>
  <c r="B7" i="11" s="1"/>
  <c r="B7" i="12" s="1"/>
  <c r="F9" i="17"/>
  <c r="D32" i="4"/>
  <c r="K5" i="4"/>
  <c r="M5" i="4" s="1"/>
  <c r="U5" i="4" s="1"/>
  <c r="E9" i="15"/>
  <c r="E8" i="12"/>
  <c r="D7" i="13" s="1"/>
  <c r="E13" i="15"/>
  <c r="E14" i="12"/>
  <c r="D11" i="13" s="1"/>
  <c r="B9" i="15"/>
  <c r="B8" i="11" s="1"/>
  <c r="B8" i="12" s="1"/>
  <c r="E14" i="15"/>
  <c r="E15" i="12"/>
  <c r="D12" i="13" s="1"/>
  <c r="B13" i="15"/>
  <c r="F7" i="15"/>
  <c r="F8" i="15"/>
  <c r="F14" i="15"/>
  <c r="D25" i="4"/>
  <c r="G25" i="4" s="1"/>
  <c r="C9" i="15"/>
  <c r="C7" i="15"/>
  <c r="C8" i="15"/>
  <c r="C14" i="15"/>
  <c r="C13" i="15"/>
  <c r="I7" i="4"/>
  <c r="K28" i="4"/>
  <c r="Q34" i="4"/>
  <c r="U33" i="4" l="1"/>
  <c r="U6" i="4"/>
  <c r="B7" i="17"/>
  <c r="B8" i="28"/>
  <c r="M5" i="28"/>
  <c r="K5" i="28"/>
  <c r="L5" i="28"/>
  <c r="F11" i="25"/>
  <c r="B6" i="28"/>
  <c r="B6" i="17"/>
  <c r="E6" i="17" s="1"/>
  <c r="B7" i="28"/>
  <c r="U21" i="4"/>
  <c r="V21" i="4" s="1"/>
  <c r="M20" i="4"/>
  <c r="U20" i="4" s="1"/>
  <c r="O22" i="4"/>
  <c r="J12" i="28" s="1"/>
  <c r="B12" i="28"/>
  <c r="I20" i="4"/>
  <c r="B9" i="17"/>
  <c r="B9" i="28"/>
  <c r="G6" i="4"/>
  <c r="W4" i="28" s="1"/>
  <c r="O5" i="4"/>
  <c r="B4" i="4"/>
  <c r="O11" i="4"/>
  <c r="O17" i="4"/>
  <c r="N17" i="4" s="1"/>
  <c r="O7" i="4"/>
  <c r="O9" i="4"/>
  <c r="J8" i="28" s="1"/>
  <c r="B22" i="27"/>
  <c r="B21" i="27"/>
  <c r="O14" i="4"/>
  <c r="N14" i="4" s="1"/>
  <c r="E19" i="27"/>
  <c r="G19" i="27"/>
  <c r="O16" i="4"/>
  <c r="AQ16" i="4" s="1"/>
  <c r="M25" i="4"/>
  <c r="U25" i="4" s="1"/>
  <c r="G4" i="26"/>
  <c r="I9" i="17"/>
  <c r="Q11" i="4"/>
  <c r="R11" i="4" s="1"/>
  <c r="G12" i="25" s="1"/>
  <c r="I6" i="4"/>
  <c r="F12" i="25"/>
  <c r="E8" i="15"/>
  <c r="J8" i="15" s="1"/>
  <c r="E7" i="12"/>
  <c r="D6" i="13" s="1"/>
  <c r="D20" i="26"/>
  <c r="E6" i="12"/>
  <c r="D5" i="13" s="1"/>
  <c r="E7" i="15"/>
  <c r="H7" i="15" s="1"/>
  <c r="O15" i="4"/>
  <c r="N15" i="4" s="1"/>
  <c r="AF15" i="4" s="1"/>
  <c r="K4" i="4"/>
  <c r="L4" i="4" s="1"/>
  <c r="O10" i="4"/>
  <c r="I32" i="4"/>
  <c r="O13" i="4"/>
  <c r="AP13" i="4" s="1"/>
  <c r="M12" i="4"/>
  <c r="J19" i="25"/>
  <c r="O21" i="4"/>
  <c r="Q13" i="4"/>
  <c r="R13" i="4" s="1"/>
  <c r="P13" i="25"/>
  <c r="J9" i="25"/>
  <c r="V17" i="4"/>
  <c r="V5" i="4"/>
  <c r="AQ8" i="4"/>
  <c r="J13" i="25"/>
  <c r="F19" i="27"/>
  <c r="I12" i="4"/>
  <c r="K32" i="4"/>
  <c r="K25" i="4"/>
  <c r="J16" i="25" s="1"/>
  <c r="O26" i="4"/>
  <c r="AQ26" i="4" s="1"/>
  <c r="I4" i="17"/>
  <c r="D14" i="17"/>
  <c r="J17" i="25"/>
  <c r="B33" i="4"/>
  <c r="B12" i="11" s="1"/>
  <c r="B12" i="12" s="1"/>
  <c r="B32" i="4"/>
  <c r="B11" i="11" s="1"/>
  <c r="B11" i="12" s="1"/>
  <c r="AQ22" i="4"/>
  <c r="P16" i="25"/>
  <c r="B5" i="15"/>
  <c r="B4" i="11" s="1"/>
  <c r="B4" i="12" s="1"/>
  <c r="V34" i="4"/>
  <c r="K20" i="25"/>
  <c r="V31" i="4"/>
  <c r="K18" i="25"/>
  <c r="O34" i="4"/>
  <c r="AP34" i="4" s="1"/>
  <c r="E15" i="17"/>
  <c r="AQ31" i="4"/>
  <c r="O27" i="4"/>
  <c r="AQ27" i="4" s="1"/>
  <c r="M28" i="4"/>
  <c r="O29" i="4"/>
  <c r="H13" i="17"/>
  <c r="D12" i="4"/>
  <c r="G12" i="4" s="1"/>
  <c r="N31" i="4"/>
  <c r="AF31" i="4" s="1"/>
  <c r="F9" i="15"/>
  <c r="I9" i="15" s="1"/>
  <c r="D4" i="17"/>
  <c r="F6" i="15"/>
  <c r="F5" i="15"/>
  <c r="D5" i="17"/>
  <c r="F13" i="15"/>
  <c r="I13" i="15" s="1"/>
  <c r="B12" i="13"/>
  <c r="H14" i="15"/>
  <c r="B12" i="15"/>
  <c r="B13" i="11" s="1"/>
  <c r="B10" i="13" s="1"/>
  <c r="F11" i="17"/>
  <c r="D14" i="15"/>
  <c r="C15" i="11" s="1"/>
  <c r="D15" i="12" s="1"/>
  <c r="F12" i="13" s="1"/>
  <c r="I16" i="17"/>
  <c r="F5" i="17"/>
  <c r="J13" i="15"/>
  <c r="Q7" i="4"/>
  <c r="V30" i="4"/>
  <c r="H13" i="15"/>
  <c r="B14" i="11"/>
  <c r="B14" i="12" s="1"/>
  <c r="H9" i="15"/>
  <c r="E12" i="12"/>
  <c r="F17" i="4"/>
  <c r="F11" i="4"/>
  <c r="D8" i="15"/>
  <c r="C7" i="11" s="1"/>
  <c r="D7" i="12" s="1"/>
  <c r="F6" i="13" s="1"/>
  <c r="D13" i="15"/>
  <c r="C14" i="11" s="1"/>
  <c r="D14" i="12" s="1"/>
  <c r="F11" i="13" s="1"/>
  <c r="I14" i="15"/>
  <c r="I8" i="15"/>
  <c r="I7" i="15"/>
  <c r="V11" i="4"/>
  <c r="F34" i="4"/>
  <c r="R34" i="4"/>
  <c r="G20" i="25" s="1"/>
  <c r="G10" i="8"/>
  <c r="G9" i="8"/>
  <c r="AQ21" i="4" l="1"/>
  <c r="J11" i="28"/>
  <c r="F12" i="28"/>
  <c r="E12" i="28"/>
  <c r="D12" i="28"/>
  <c r="B10" i="28"/>
  <c r="C12" i="28" s="1"/>
  <c r="E7" i="28"/>
  <c r="D7" i="28"/>
  <c r="F7" i="28"/>
  <c r="M4" i="4"/>
  <c r="U12" i="4"/>
  <c r="AQ7" i="4"/>
  <c r="J7" i="28"/>
  <c r="E8" i="28"/>
  <c r="F8" i="28"/>
  <c r="D8" i="28"/>
  <c r="AQ10" i="4"/>
  <c r="J6" i="28"/>
  <c r="K8" i="28"/>
  <c r="L8" i="28"/>
  <c r="M8" i="28"/>
  <c r="E6" i="28"/>
  <c r="D6" i="28"/>
  <c r="F6" i="28"/>
  <c r="B4" i="28"/>
  <c r="C6" i="28" s="1"/>
  <c r="F9" i="28"/>
  <c r="D9" i="28"/>
  <c r="E9" i="28"/>
  <c r="L12" i="28"/>
  <c r="M12" i="28"/>
  <c r="K12" i="28"/>
  <c r="N11" i="4"/>
  <c r="AF11" i="4" s="1"/>
  <c r="J9" i="28"/>
  <c r="C5" i="4"/>
  <c r="G32" i="4"/>
  <c r="G33" i="4"/>
  <c r="F33" i="4" s="1"/>
  <c r="AQ17" i="4"/>
  <c r="P9" i="25"/>
  <c r="M32" i="4"/>
  <c r="U32" i="4" s="1"/>
  <c r="Q6" i="4"/>
  <c r="O6" i="4"/>
  <c r="M24" i="4"/>
  <c r="AQ14" i="4"/>
  <c r="N16" i="4"/>
  <c r="Q33" i="4"/>
  <c r="R33" i="4" s="1"/>
  <c r="H8" i="15"/>
  <c r="AQ9" i="4"/>
  <c r="E7" i="17"/>
  <c r="AQ15" i="4"/>
  <c r="AP15" i="4"/>
  <c r="G7" i="15"/>
  <c r="I4" i="4"/>
  <c r="Q32" i="4"/>
  <c r="R32" i="4" s="1"/>
  <c r="E8" i="17"/>
  <c r="G5" i="13"/>
  <c r="E11" i="12"/>
  <c r="N10" i="4"/>
  <c r="H11" i="25"/>
  <c r="I11" i="25" s="1"/>
  <c r="H4" i="26"/>
  <c r="AQ13" i="4"/>
  <c r="N13" i="4"/>
  <c r="AF13" i="4" s="1"/>
  <c r="E5" i="15"/>
  <c r="H5" i="15" s="1"/>
  <c r="B5" i="17"/>
  <c r="F12" i="15"/>
  <c r="D11" i="17"/>
  <c r="D13" i="17"/>
  <c r="E4" i="12"/>
  <c r="D3" i="13" s="1"/>
  <c r="O12" i="4"/>
  <c r="H9" i="25" s="1"/>
  <c r="N7" i="4"/>
  <c r="V6" i="4"/>
  <c r="K24" i="4"/>
  <c r="J15" i="25" s="1"/>
  <c r="J23" i="25" s="1"/>
  <c r="B24" i="4"/>
  <c r="B19" i="4" s="1"/>
  <c r="C23" i="4" s="1"/>
  <c r="F13" i="17"/>
  <c r="F9" i="25"/>
  <c r="J8" i="25"/>
  <c r="J21" i="25" s="1"/>
  <c r="L5" i="4"/>
  <c r="O32" i="4"/>
  <c r="N32" i="4" s="1"/>
  <c r="AP26" i="4"/>
  <c r="AQ29" i="4"/>
  <c r="G14" i="15"/>
  <c r="F10" i="25"/>
  <c r="G12" i="13"/>
  <c r="K12" i="13" s="1"/>
  <c r="N34" i="4"/>
  <c r="AF34" i="4" s="1"/>
  <c r="AQ34" i="4"/>
  <c r="H20" i="25"/>
  <c r="I20" i="25" s="1"/>
  <c r="K13" i="25"/>
  <c r="N18" i="25"/>
  <c r="H5" i="17"/>
  <c r="E6" i="15"/>
  <c r="E5" i="12"/>
  <c r="D4" i="13" s="1"/>
  <c r="E16" i="17"/>
  <c r="O33" i="4"/>
  <c r="N5" i="4"/>
  <c r="H10" i="25"/>
  <c r="B13" i="12"/>
  <c r="AG31" i="4"/>
  <c r="AH31" i="4" s="1"/>
  <c r="L15" i="17" s="1"/>
  <c r="G13" i="15"/>
  <c r="G11" i="13"/>
  <c r="K11" i="13" s="1"/>
  <c r="AF17" i="4"/>
  <c r="F17" i="13"/>
  <c r="B11" i="13"/>
  <c r="AG15" i="4"/>
  <c r="AH15" i="4" s="1"/>
  <c r="V33" i="4"/>
  <c r="C5" i="15"/>
  <c r="I5" i="15" s="1"/>
  <c r="AP17" i="4"/>
  <c r="AG17" i="4"/>
  <c r="T28" i="8"/>
  <c r="U28" i="8" s="1"/>
  <c r="P28" i="8"/>
  <c r="Q28" i="8" s="1"/>
  <c r="N28" i="8"/>
  <c r="M28" i="8" s="1"/>
  <c r="G28" i="8"/>
  <c r="F28" i="8" s="1"/>
  <c r="T27" i="8"/>
  <c r="U27" i="8" s="1"/>
  <c r="P27" i="8"/>
  <c r="Q27" i="8" s="1"/>
  <c r="N27" i="8"/>
  <c r="M27" i="8" s="1"/>
  <c r="G27" i="8"/>
  <c r="F27" i="8" s="1"/>
  <c r="T26" i="8"/>
  <c r="U26" i="8" s="1"/>
  <c r="P26" i="8"/>
  <c r="Q26" i="8" s="1"/>
  <c r="N26" i="8"/>
  <c r="M26" i="8" s="1"/>
  <c r="G26" i="8"/>
  <c r="F26" i="8" s="1"/>
  <c r="T25" i="8"/>
  <c r="U25" i="8" s="1"/>
  <c r="P25" i="8"/>
  <c r="N25" i="8"/>
  <c r="M25" i="8" s="1"/>
  <c r="G25" i="8"/>
  <c r="F25" i="8" s="1"/>
  <c r="K24" i="8"/>
  <c r="I24" i="8"/>
  <c r="D24" i="8"/>
  <c r="B24" i="8"/>
  <c r="T23" i="8"/>
  <c r="U23" i="8" s="1"/>
  <c r="P23" i="8"/>
  <c r="Q23" i="8" s="1"/>
  <c r="N23" i="8"/>
  <c r="M23" i="8" s="1"/>
  <c r="G23" i="8"/>
  <c r="F23" i="8" s="1"/>
  <c r="T22" i="8"/>
  <c r="U22" i="8" s="1"/>
  <c r="P22" i="8"/>
  <c r="Q22" i="8" s="1"/>
  <c r="N22" i="8"/>
  <c r="M22" i="8"/>
  <c r="G22" i="8"/>
  <c r="F22" i="8" s="1"/>
  <c r="K21" i="8"/>
  <c r="I21" i="8"/>
  <c r="I20" i="8" s="1"/>
  <c r="D21" i="8"/>
  <c r="B21" i="8"/>
  <c r="B20" i="8"/>
  <c r="H20" i="8" s="1"/>
  <c r="T19" i="8"/>
  <c r="P19" i="8"/>
  <c r="Q19" i="8" s="1"/>
  <c r="N19" i="8"/>
  <c r="M19" i="8"/>
  <c r="G19" i="8"/>
  <c r="F19" i="8" s="1"/>
  <c r="T18" i="8"/>
  <c r="U18" i="8" s="1"/>
  <c r="P18" i="8"/>
  <c r="Q18" i="8" s="1"/>
  <c r="N18" i="8"/>
  <c r="M18" i="8" s="1"/>
  <c r="G18" i="8"/>
  <c r="F18" i="8" s="1"/>
  <c r="AC17" i="8"/>
  <c r="K17" i="8"/>
  <c r="I17" i="8"/>
  <c r="D17" i="8"/>
  <c r="T17" i="8" s="1"/>
  <c r="U17" i="8" s="1"/>
  <c r="B17" i="8"/>
  <c r="B16" i="8"/>
  <c r="C27" i="8" s="1"/>
  <c r="T15" i="8"/>
  <c r="U15" i="8" s="1"/>
  <c r="P15" i="8"/>
  <c r="Q15" i="8" s="1"/>
  <c r="N15" i="8"/>
  <c r="G15" i="8"/>
  <c r="F15" i="8" s="1"/>
  <c r="T14" i="8"/>
  <c r="U14" i="8" s="1"/>
  <c r="P14" i="8"/>
  <c r="Q14" i="8" s="1"/>
  <c r="N14" i="8"/>
  <c r="M14" i="8" s="1"/>
  <c r="G14" i="8"/>
  <c r="F14" i="8" s="1"/>
  <c r="T13" i="8"/>
  <c r="P13" i="8"/>
  <c r="Q13" i="8" s="1"/>
  <c r="N13" i="8"/>
  <c r="M13" i="8" s="1"/>
  <c r="G13" i="8"/>
  <c r="F13" i="8" s="1"/>
  <c r="T12" i="8"/>
  <c r="U12" i="8" s="1"/>
  <c r="P12" i="8"/>
  <c r="Q12" i="8" s="1"/>
  <c r="N12" i="8"/>
  <c r="M12" i="8" s="1"/>
  <c r="G12" i="8"/>
  <c r="F12" i="8" s="1"/>
  <c r="AD12" i="8" s="1"/>
  <c r="K11" i="8"/>
  <c r="I11" i="8"/>
  <c r="D11" i="8"/>
  <c r="B11" i="8"/>
  <c r="M11" i="8" s="1"/>
  <c r="T10" i="8"/>
  <c r="U10" i="8" s="1"/>
  <c r="P10" i="8"/>
  <c r="Q10" i="8" s="1"/>
  <c r="N10" i="8"/>
  <c r="M10" i="8" s="1"/>
  <c r="F10" i="8"/>
  <c r="AD28" i="8"/>
  <c r="AE27" i="8"/>
  <c r="AD25" i="8"/>
  <c r="Q25" i="8"/>
  <c r="T24" i="8"/>
  <c r="P24" i="8"/>
  <c r="Q24" i="8" s="1"/>
  <c r="N21" i="8"/>
  <c r="G21" i="8"/>
  <c r="U19" i="8"/>
  <c r="AE18" i="8"/>
  <c r="N17" i="8"/>
  <c r="M17" i="8"/>
  <c r="M15" i="8"/>
  <c r="U13" i="8"/>
  <c r="G11" i="8"/>
  <c r="T9" i="8"/>
  <c r="U9" i="8" s="1"/>
  <c r="P9" i="8"/>
  <c r="Q9" i="8" s="1"/>
  <c r="N9" i="8"/>
  <c r="M9" i="8" s="1"/>
  <c r="F9" i="8"/>
  <c r="T8" i="8"/>
  <c r="U8" i="8" s="1"/>
  <c r="P8" i="8"/>
  <c r="Q8" i="8" s="1"/>
  <c r="N8" i="8"/>
  <c r="M8" i="8" s="1"/>
  <c r="G8" i="8"/>
  <c r="F8" i="8" s="1"/>
  <c r="T7" i="8"/>
  <c r="U7" i="8" s="1"/>
  <c r="P7" i="8"/>
  <c r="Q7" i="8" s="1"/>
  <c r="N7" i="8"/>
  <c r="M7" i="8" s="1"/>
  <c r="G7" i="8"/>
  <c r="F7" i="8" s="1"/>
  <c r="F6" i="8" s="1"/>
  <c r="K6" i="8"/>
  <c r="I6" i="8"/>
  <c r="D6" i="8"/>
  <c r="D4" i="8" s="1"/>
  <c r="B6" i="8"/>
  <c r="T5" i="8"/>
  <c r="U5" i="8" s="1"/>
  <c r="P5" i="8"/>
  <c r="Q5" i="8" s="1"/>
  <c r="N5" i="8"/>
  <c r="G5" i="8"/>
  <c r="K4" i="8"/>
  <c r="L12" i="8" s="1"/>
  <c r="Q30" i="4"/>
  <c r="N30" i="4"/>
  <c r="V29" i="4"/>
  <c r="Q29" i="4"/>
  <c r="R29" i="4" s="1"/>
  <c r="N29" i="4"/>
  <c r="I28" i="4"/>
  <c r="D28" i="4"/>
  <c r="G28" i="4" s="1"/>
  <c r="V27" i="4"/>
  <c r="Q27" i="4"/>
  <c r="R27" i="4" s="1"/>
  <c r="N27" i="4"/>
  <c r="V26" i="4"/>
  <c r="Q26" i="4"/>
  <c r="R26" i="4" s="1"/>
  <c r="N26" i="4"/>
  <c r="F26" i="4"/>
  <c r="I25" i="4"/>
  <c r="V22" i="4"/>
  <c r="Q22" i="4"/>
  <c r="R22" i="4" s="1"/>
  <c r="Q21" i="4"/>
  <c r="R21" i="4" s="1"/>
  <c r="N21" i="4"/>
  <c r="AE20" i="4"/>
  <c r="G20" i="4"/>
  <c r="W10" i="28" s="1"/>
  <c r="V16" i="4"/>
  <c r="Q16" i="4"/>
  <c r="R16" i="4" s="1"/>
  <c r="V14" i="4"/>
  <c r="Q14" i="4"/>
  <c r="R14" i="4" s="1"/>
  <c r="Q12" i="4"/>
  <c r="R12" i="4" s="1"/>
  <c r="G9" i="25" s="1"/>
  <c r="V10" i="4"/>
  <c r="Q10" i="4"/>
  <c r="R10" i="4" s="1"/>
  <c r="G11" i="25" s="1"/>
  <c r="I8" i="17"/>
  <c r="V9" i="4"/>
  <c r="Q9" i="4"/>
  <c r="R9" i="4" s="1"/>
  <c r="N9" i="4"/>
  <c r="V8" i="4"/>
  <c r="Q8" i="4"/>
  <c r="R8" i="4" s="1"/>
  <c r="N8" i="4"/>
  <c r="V7" i="4"/>
  <c r="R7" i="4"/>
  <c r="D3" i="17"/>
  <c r="K9" i="5"/>
  <c r="J9" i="5"/>
  <c r="J14" i="5" s="1"/>
  <c r="K14" i="5" s="1"/>
  <c r="L14" i="5" s="1"/>
  <c r="L8" i="5"/>
  <c r="L7" i="5"/>
  <c r="L5" i="5"/>
  <c r="L4" i="5"/>
  <c r="J12" i="5" s="1"/>
  <c r="N6" i="8" l="1"/>
  <c r="AD23" i="8"/>
  <c r="D20" i="8"/>
  <c r="D16" i="8" s="1"/>
  <c r="F17" i="8"/>
  <c r="G6" i="8"/>
  <c r="I16" i="8"/>
  <c r="K20" i="8"/>
  <c r="U28" i="4"/>
  <c r="J4" i="28"/>
  <c r="L4" i="28" s="1"/>
  <c r="I12" i="28"/>
  <c r="H12" i="28"/>
  <c r="G12" i="28"/>
  <c r="O4" i="4"/>
  <c r="Y27" i="4"/>
  <c r="Y9" i="4"/>
  <c r="Y26" i="4"/>
  <c r="AJ23" i="4"/>
  <c r="H6" i="28"/>
  <c r="I6" i="28"/>
  <c r="G6" i="28"/>
  <c r="Y23" i="4"/>
  <c r="C9" i="28"/>
  <c r="D4" i="28"/>
  <c r="F4" i="28"/>
  <c r="C4" i="28"/>
  <c r="E4" i="28"/>
  <c r="C5" i="28"/>
  <c r="L6" i="28"/>
  <c r="M6" i="28"/>
  <c r="K6" i="28"/>
  <c r="L11" i="28"/>
  <c r="M11" i="28"/>
  <c r="K11" i="28"/>
  <c r="AB23" i="4"/>
  <c r="AD23" i="4" s="1"/>
  <c r="L7" i="28"/>
  <c r="K7" i="28"/>
  <c r="M7" i="28"/>
  <c r="C10" i="28"/>
  <c r="D10" i="28"/>
  <c r="E10" i="28"/>
  <c r="F10" i="28"/>
  <c r="C13" i="28"/>
  <c r="C11" i="28"/>
  <c r="AN23" i="4"/>
  <c r="C8" i="28"/>
  <c r="C7" i="28"/>
  <c r="K9" i="28"/>
  <c r="L9" i="28"/>
  <c r="M9" i="28"/>
  <c r="K4" i="28"/>
  <c r="D20" i="17"/>
  <c r="K19" i="25"/>
  <c r="V32" i="4"/>
  <c r="M19" i="4"/>
  <c r="P17" i="25"/>
  <c r="R6" i="4"/>
  <c r="AB31" i="4"/>
  <c r="K15" i="17" s="1"/>
  <c r="Q4" i="4"/>
  <c r="S6" i="4" s="1"/>
  <c r="Y5" i="4"/>
  <c r="J4" i="17" s="1"/>
  <c r="Y7" i="4"/>
  <c r="Y8" i="4"/>
  <c r="AB5" i="4"/>
  <c r="M13" i="25" s="1"/>
  <c r="J4" i="4"/>
  <c r="AB11" i="4"/>
  <c r="AB26" i="4"/>
  <c r="N12" i="4"/>
  <c r="F11" i="15"/>
  <c r="I24" i="4"/>
  <c r="G5" i="15"/>
  <c r="E5" i="17"/>
  <c r="I9" i="25"/>
  <c r="G3" i="13"/>
  <c r="AG34" i="4"/>
  <c r="AH34" i="4" s="1"/>
  <c r="AB7" i="4"/>
  <c r="AN6" i="4"/>
  <c r="AP6" i="4"/>
  <c r="AQ6" i="4"/>
  <c r="D4" i="4"/>
  <c r="G4" i="4" s="1"/>
  <c r="D12" i="17"/>
  <c r="D22" i="17" s="1"/>
  <c r="K19" i="4"/>
  <c r="L23" i="4" s="1"/>
  <c r="B39" i="4"/>
  <c r="AQ32" i="4"/>
  <c r="C12" i="11"/>
  <c r="D12" i="12" s="1"/>
  <c r="L12" i="13"/>
  <c r="AQ33" i="4"/>
  <c r="E3" i="12"/>
  <c r="D2" i="13" s="1"/>
  <c r="J13" i="4"/>
  <c r="O28" i="4"/>
  <c r="H17" i="25" s="1"/>
  <c r="F17" i="25"/>
  <c r="G9" i="15"/>
  <c r="H13" i="25"/>
  <c r="I13" i="25" s="1"/>
  <c r="F8" i="25"/>
  <c r="F21" i="25" s="1"/>
  <c r="Y21" i="4"/>
  <c r="O25" i="4"/>
  <c r="E13" i="17" s="1"/>
  <c r="F16" i="25"/>
  <c r="O20" i="4"/>
  <c r="F19" i="25"/>
  <c r="F32" i="4"/>
  <c r="C11" i="11"/>
  <c r="D11" i="12" s="1"/>
  <c r="AQ12" i="4"/>
  <c r="G10" i="25"/>
  <c r="P10" i="25"/>
  <c r="I10" i="25" s="1"/>
  <c r="V12" i="4"/>
  <c r="K9" i="25"/>
  <c r="H12" i="13"/>
  <c r="F15" i="16" s="1"/>
  <c r="N20" i="25"/>
  <c r="Y10" i="4"/>
  <c r="E4" i="15"/>
  <c r="Y11" i="4"/>
  <c r="J9" i="17" s="1"/>
  <c r="N33" i="4"/>
  <c r="J15" i="4"/>
  <c r="B3" i="17"/>
  <c r="Y18" i="4"/>
  <c r="AB8" i="4"/>
  <c r="AD8" i="4" s="1"/>
  <c r="E4" i="17"/>
  <c r="AQ5" i="4"/>
  <c r="J12" i="4"/>
  <c r="J5" i="4"/>
  <c r="G7" i="13"/>
  <c r="AJ31" i="4"/>
  <c r="B13" i="17"/>
  <c r="H14" i="17"/>
  <c r="D24" i="4"/>
  <c r="G24" i="4" s="1"/>
  <c r="H11" i="17"/>
  <c r="L11" i="13"/>
  <c r="AH17" i="4"/>
  <c r="F12" i="14" s="1"/>
  <c r="B11" i="17"/>
  <c r="B14" i="17"/>
  <c r="H11" i="13"/>
  <c r="F14" i="16" s="1"/>
  <c r="F4" i="15"/>
  <c r="AP14" i="4"/>
  <c r="G4" i="13"/>
  <c r="G6" i="15"/>
  <c r="B6" i="15"/>
  <c r="R30" i="4"/>
  <c r="AD9" i="8"/>
  <c r="AD10" i="8"/>
  <c r="T21" i="8"/>
  <c r="U21" i="8" s="1"/>
  <c r="AD27" i="8"/>
  <c r="AF27" i="8" s="1"/>
  <c r="AD7" i="8"/>
  <c r="AD8" i="8"/>
  <c r="C21" i="8"/>
  <c r="P21" i="8"/>
  <c r="Q21" i="8" s="1"/>
  <c r="M24" i="8"/>
  <c r="AJ15" i="4"/>
  <c r="G11" i="14" s="1"/>
  <c r="F11" i="14"/>
  <c r="D9" i="15"/>
  <c r="C8" i="11" s="1"/>
  <c r="D8" i="12" s="1"/>
  <c r="F7" i="13" s="1"/>
  <c r="AP5" i="4"/>
  <c r="C6" i="15"/>
  <c r="I6" i="15" s="1"/>
  <c r="AP7" i="4"/>
  <c r="E12" i="15"/>
  <c r="H12" i="15" s="1"/>
  <c r="E13" i="12"/>
  <c r="D10" i="13" s="1"/>
  <c r="AP21" i="4"/>
  <c r="I11" i="13"/>
  <c r="AP8" i="4"/>
  <c r="AP9" i="4"/>
  <c r="D7" i="15"/>
  <c r="C6" i="11" s="1"/>
  <c r="D6" i="12" s="1"/>
  <c r="F5" i="13" s="1"/>
  <c r="AP10" i="4"/>
  <c r="F16" i="4"/>
  <c r="AF16" i="4" s="1"/>
  <c r="AP16" i="4"/>
  <c r="C12" i="15"/>
  <c r="I12" i="15" s="1"/>
  <c r="F22" i="4"/>
  <c r="AP22" i="4"/>
  <c r="AP27" i="4"/>
  <c r="I13" i="17"/>
  <c r="F29" i="4"/>
  <c r="AG29" i="4" s="1"/>
  <c r="AP29" i="4"/>
  <c r="F30" i="4"/>
  <c r="AF30" i="4" s="1"/>
  <c r="AP30" i="4"/>
  <c r="F27" i="4"/>
  <c r="F25" i="4" s="1"/>
  <c r="T20" i="8"/>
  <c r="U20" i="8" s="1"/>
  <c r="K16" i="8"/>
  <c r="J13" i="5"/>
  <c r="K13" i="5" s="1"/>
  <c r="L13" i="5" s="1"/>
  <c r="K12" i="5"/>
  <c r="E14" i="8"/>
  <c r="E15" i="8"/>
  <c r="E7" i="8"/>
  <c r="E11" i="8"/>
  <c r="E10" i="8"/>
  <c r="P11" i="8"/>
  <c r="Q11" i="8" s="1"/>
  <c r="AD19" i="8"/>
  <c r="Q28" i="4"/>
  <c r="R28" i="4" s="1"/>
  <c r="G17" i="25" s="1"/>
  <c r="L6" i="8"/>
  <c r="AE12" i="8"/>
  <c r="AE14" i="8"/>
  <c r="C16" i="8"/>
  <c r="C19" i="8"/>
  <c r="P20" i="8"/>
  <c r="Q20" i="8" s="1"/>
  <c r="U24" i="8"/>
  <c r="AE25" i="8"/>
  <c r="AF25" i="8" s="1"/>
  <c r="C28" i="8"/>
  <c r="G17" i="8"/>
  <c r="N24" i="8"/>
  <c r="N20" i="8" s="1"/>
  <c r="N16" i="8" s="1"/>
  <c r="AE7" i="8"/>
  <c r="AF7" i="8" s="1"/>
  <c r="AE8" i="8"/>
  <c r="AE13" i="8"/>
  <c r="AD18" i="8"/>
  <c r="C23" i="8"/>
  <c r="AE28" i="8"/>
  <c r="AF28" i="8" s="1"/>
  <c r="AD13" i="8"/>
  <c r="AD14" i="8"/>
  <c r="G24" i="8"/>
  <c r="L12" i="4"/>
  <c r="N28" i="4"/>
  <c r="F21" i="4"/>
  <c r="AF21" i="4" s="1"/>
  <c r="Q25" i="4"/>
  <c r="R25" i="4" s="1"/>
  <c r="G16" i="25" s="1"/>
  <c r="N25" i="4"/>
  <c r="L10" i="4"/>
  <c r="L13" i="4"/>
  <c r="L11" i="4"/>
  <c r="L15" i="4"/>
  <c r="L17" i="4"/>
  <c r="J16" i="4"/>
  <c r="J11" i="4"/>
  <c r="J17" i="4"/>
  <c r="F14" i="4"/>
  <c r="Q20" i="4"/>
  <c r="R20" i="4" s="1"/>
  <c r="G19" i="25" s="1"/>
  <c r="F7" i="4"/>
  <c r="AF7" i="4" s="1"/>
  <c r="N22" i="4"/>
  <c r="N20" i="4" s="1"/>
  <c r="AF26" i="4"/>
  <c r="AG13" i="4"/>
  <c r="AG26" i="4"/>
  <c r="F10" i="4"/>
  <c r="AF10" i="4" s="1"/>
  <c r="N11" i="25" s="1"/>
  <c r="F9" i="4"/>
  <c r="AF9" i="4" s="1"/>
  <c r="F8" i="4"/>
  <c r="AF8" i="4" s="1"/>
  <c r="J7" i="4"/>
  <c r="L8" i="4"/>
  <c r="L9" i="4"/>
  <c r="J14" i="4"/>
  <c r="L16" i="4"/>
  <c r="L7" i="4"/>
  <c r="J8" i="4"/>
  <c r="J9" i="4"/>
  <c r="C7" i="17" s="1"/>
  <c r="J10" i="4"/>
  <c r="L14" i="4"/>
  <c r="R5" i="4"/>
  <c r="G13" i="25" s="1"/>
  <c r="AE15" i="8"/>
  <c r="J27" i="8"/>
  <c r="J28" i="8"/>
  <c r="J26" i="8"/>
  <c r="J25" i="8"/>
  <c r="J22" i="8"/>
  <c r="J17" i="8"/>
  <c r="J23" i="8"/>
  <c r="J21" i="8"/>
  <c r="J19" i="8"/>
  <c r="J18" i="8"/>
  <c r="O16" i="8"/>
  <c r="J16" i="8"/>
  <c r="P16" i="8"/>
  <c r="R24" i="8" s="1"/>
  <c r="AD6" i="8"/>
  <c r="AF8" i="8"/>
  <c r="AD15" i="8"/>
  <c r="AE19" i="8"/>
  <c r="AE17" i="8" s="1"/>
  <c r="L24" i="8"/>
  <c r="AE26" i="8"/>
  <c r="AE24" i="8" s="1"/>
  <c r="P6" i="8"/>
  <c r="E4" i="8"/>
  <c r="M5" i="8"/>
  <c r="E6" i="8"/>
  <c r="L8" i="8"/>
  <c r="AE9" i="8"/>
  <c r="AF9" i="8" s="1"/>
  <c r="L11" i="8"/>
  <c r="E12" i="8"/>
  <c r="L14" i="8"/>
  <c r="C17" i="8"/>
  <c r="C22" i="8"/>
  <c r="C25" i="8"/>
  <c r="C26" i="8"/>
  <c r="L17" i="8"/>
  <c r="AF19" i="8"/>
  <c r="F21" i="8"/>
  <c r="AD26" i="8"/>
  <c r="L13" i="8"/>
  <c r="K30" i="8"/>
  <c r="E8" i="8"/>
  <c r="I4" i="8"/>
  <c r="E5" i="8"/>
  <c r="L5" i="8"/>
  <c r="M6" i="8"/>
  <c r="E9" i="8"/>
  <c r="L10" i="8"/>
  <c r="J11" i="8"/>
  <c r="E13" i="8"/>
  <c r="L15" i="8"/>
  <c r="T4" i="8"/>
  <c r="V5" i="8" s="1"/>
  <c r="G20" i="8"/>
  <c r="L22" i="8"/>
  <c r="J24" i="8"/>
  <c r="L25" i="8"/>
  <c r="L26" i="8"/>
  <c r="AE10" i="8"/>
  <c r="AF10" i="8" s="1"/>
  <c r="N11" i="8"/>
  <c r="F11" i="8"/>
  <c r="P17" i="8"/>
  <c r="L20" i="8"/>
  <c r="AE22" i="8"/>
  <c r="L7" i="8"/>
  <c r="F5" i="8"/>
  <c r="T6" i="8"/>
  <c r="B4" i="8"/>
  <c r="G4" i="8" s="1"/>
  <c r="L4" i="8"/>
  <c r="L9" i="8"/>
  <c r="C18" i="8"/>
  <c r="C20" i="8"/>
  <c r="C24" i="8"/>
  <c r="T11" i="8"/>
  <c r="J20" i="8"/>
  <c r="M21" i="8"/>
  <c r="M20" i="8" s="1"/>
  <c r="M16" i="8" s="1"/>
  <c r="AD22" i="8"/>
  <c r="AE23" i="8"/>
  <c r="AF23" i="8" s="1"/>
  <c r="F24" i="8"/>
  <c r="E28" i="8" l="1"/>
  <c r="E16" i="8"/>
  <c r="E20" i="8"/>
  <c r="E17" i="8"/>
  <c r="E18" i="8"/>
  <c r="E24" i="8"/>
  <c r="E26" i="8"/>
  <c r="E27" i="8"/>
  <c r="E21" i="8"/>
  <c r="D30" i="8"/>
  <c r="E25" i="8"/>
  <c r="E22" i="8"/>
  <c r="E19" i="8"/>
  <c r="E23" i="8"/>
  <c r="M4" i="28"/>
  <c r="AD11" i="8"/>
  <c r="U4" i="4"/>
  <c r="U24" i="4"/>
  <c r="K15" i="25" s="1"/>
  <c r="I8" i="28"/>
  <c r="G8" i="28"/>
  <c r="H8" i="28"/>
  <c r="I13" i="28"/>
  <c r="G13" i="28"/>
  <c r="H13" i="28"/>
  <c r="H10" i="28"/>
  <c r="I10" i="28"/>
  <c r="G10" i="28"/>
  <c r="I9" i="28"/>
  <c r="G9" i="28"/>
  <c r="H9" i="28"/>
  <c r="H19" i="25"/>
  <c r="J10" i="28"/>
  <c r="J23" i="4"/>
  <c r="AO23" i="4" s="1"/>
  <c r="I19" i="4"/>
  <c r="H7" i="28"/>
  <c r="I7" i="28"/>
  <c r="G7" i="28"/>
  <c r="H11" i="28"/>
  <c r="I11" i="28"/>
  <c r="G11" i="28"/>
  <c r="I5" i="28"/>
  <c r="G5" i="28"/>
  <c r="H5" i="28"/>
  <c r="AJ34" i="4"/>
  <c r="I12" i="13" s="1"/>
  <c r="G15" i="16" s="1"/>
  <c r="L16" i="17"/>
  <c r="H4" i="28"/>
  <c r="I4" i="28"/>
  <c r="G4" i="28"/>
  <c r="AL23" i="4"/>
  <c r="L20" i="4"/>
  <c r="L30" i="4"/>
  <c r="E13" i="4"/>
  <c r="Z11" i="4"/>
  <c r="AQ4" i="4"/>
  <c r="P15" i="25"/>
  <c r="O19" i="4"/>
  <c r="O38" i="4" s="1"/>
  <c r="M36" i="4"/>
  <c r="O37" i="4" s="1"/>
  <c r="R4" i="4"/>
  <c r="G8" i="25" s="1"/>
  <c r="I14" i="17"/>
  <c r="I17" i="25"/>
  <c r="F12" i="4"/>
  <c r="C8" i="17"/>
  <c r="B20" i="17"/>
  <c r="C6" i="17"/>
  <c r="L11" i="25"/>
  <c r="J8" i="17"/>
  <c r="K6" i="17"/>
  <c r="J6" i="17"/>
  <c r="L26" i="4"/>
  <c r="L12" i="25"/>
  <c r="L6" i="4"/>
  <c r="L33" i="4"/>
  <c r="L13" i="25"/>
  <c r="L25" i="4"/>
  <c r="L21" i="4"/>
  <c r="L29" i="4"/>
  <c r="L19" i="4"/>
  <c r="L24" i="4"/>
  <c r="L32" i="4"/>
  <c r="D10" i="17"/>
  <c r="D17" i="17" s="1"/>
  <c r="L28" i="4"/>
  <c r="L27" i="4"/>
  <c r="L22" i="4"/>
  <c r="L34" i="4"/>
  <c r="J14" i="25"/>
  <c r="J22" i="25" s="1"/>
  <c r="F10" i="15"/>
  <c r="E11" i="17"/>
  <c r="L31" i="4"/>
  <c r="K36" i="4"/>
  <c r="B3" i="25" s="1"/>
  <c r="J6" i="4"/>
  <c r="F6" i="4"/>
  <c r="AD7" i="4"/>
  <c r="V20" i="4"/>
  <c r="E5" i="4"/>
  <c r="P13" i="4"/>
  <c r="C4" i="17"/>
  <c r="E14" i="17"/>
  <c r="C3" i="17"/>
  <c r="N24" i="4"/>
  <c r="AQ25" i="4"/>
  <c r="H16" i="25"/>
  <c r="I16" i="25" s="1"/>
  <c r="F15" i="25"/>
  <c r="F23" i="25" s="1"/>
  <c r="I39" i="4"/>
  <c r="I40" i="4" s="1"/>
  <c r="AQ28" i="4"/>
  <c r="H8" i="25"/>
  <c r="AF5" i="4"/>
  <c r="V28" i="4"/>
  <c r="K17" i="25"/>
  <c r="N10" i="25"/>
  <c r="V25" i="4"/>
  <c r="K16" i="25"/>
  <c r="P19" i="25"/>
  <c r="I19" i="25" s="1"/>
  <c r="AQ20" i="4"/>
  <c r="M18" i="25"/>
  <c r="K10" i="25"/>
  <c r="F6" i="14"/>
  <c r="D19" i="4"/>
  <c r="U19" i="4" s="1"/>
  <c r="C9" i="17"/>
  <c r="C5" i="17"/>
  <c r="P15" i="4"/>
  <c r="S5" i="4"/>
  <c r="O24" i="4"/>
  <c r="H15" i="25" s="1"/>
  <c r="AF22" i="4"/>
  <c r="AF20" i="4" s="1"/>
  <c r="H12" i="17"/>
  <c r="H22" i="17" s="1"/>
  <c r="E17" i="4"/>
  <c r="H3" i="17"/>
  <c r="AJ17" i="4"/>
  <c r="G12" i="14" s="1"/>
  <c r="I5" i="17"/>
  <c r="E16" i="4"/>
  <c r="AG21" i="4"/>
  <c r="AH21" i="4" s="1"/>
  <c r="AJ21" i="4" s="1"/>
  <c r="G14" i="14" s="1"/>
  <c r="AF29" i="4"/>
  <c r="AG27" i="4"/>
  <c r="AG25" i="4" s="1"/>
  <c r="AF27" i="4"/>
  <c r="AF25" i="4" s="1"/>
  <c r="N16" i="25" s="1"/>
  <c r="B12" i="17"/>
  <c r="B22" i="17" s="1"/>
  <c r="D12" i="15"/>
  <c r="C13" i="11" s="1"/>
  <c r="D13" i="12" s="1"/>
  <c r="F10" i="13" s="1"/>
  <c r="I11" i="17"/>
  <c r="E10" i="4"/>
  <c r="G2" i="13"/>
  <c r="E3" i="17"/>
  <c r="P14" i="4"/>
  <c r="H5" i="13"/>
  <c r="F6" i="16" s="1"/>
  <c r="G4" i="15"/>
  <c r="AG16" i="4"/>
  <c r="AH16" i="4" s="1"/>
  <c r="F10" i="14" s="1"/>
  <c r="F12" i="17"/>
  <c r="F22" i="17" s="1"/>
  <c r="H34" i="4"/>
  <c r="H24" i="4" s="1"/>
  <c r="E15" i="4"/>
  <c r="E9" i="4"/>
  <c r="E12" i="4"/>
  <c r="K7" i="13"/>
  <c r="L7" i="13"/>
  <c r="K5" i="13"/>
  <c r="L5" i="13"/>
  <c r="E8" i="4"/>
  <c r="E14" i="4"/>
  <c r="E7" i="4"/>
  <c r="AG30" i="4"/>
  <c r="AG28" i="4" s="1"/>
  <c r="F28" i="4"/>
  <c r="P16" i="4"/>
  <c r="F20" i="4"/>
  <c r="AP25" i="4"/>
  <c r="G14" i="16"/>
  <c r="AF15" i="8"/>
  <c r="AG32" i="4"/>
  <c r="Q24" i="4"/>
  <c r="R24" i="4" s="1"/>
  <c r="G15" i="25" s="1"/>
  <c r="AF14" i="8"/>
  <c r="AE11" i="8"/>
  <c r="AF11" i="8"/>
  <c r="H6" i="15"/>
  <c r="B5" i="11"/>
  <c r="B5" i="12" s="1"/>
  <c r="D5" i="15"/>
  <c r="C4" i="11" s="1"/>
  <c r="D4" i="12" s="1"/>
  <c r="F3" i="13" s="1"/>
  <c r="L3" i="13" s="1"/>
  <c r="AP12" i="4"/>
  <c r="C4" i="15"/>
  <c r="I4" i="15" s="1"/>
  <c r="D6" i="15"/>
  <c r="C5" i="11" s="1"/>
  <c r="D5" i="12" s="1"/>
  <c r="F4" i="13" s="1"/>
  <c r="L4" i="13" s="1"/>
  <c r="G12" i="15"/>
  <c r="AP20" i="4"/>
  <c r="G10" i="13"/>
  <c r="AP28" i="4"/>
  <c r="E11" i="15"/>
  <c r="E10" i="12"/>
  <c r="C11" i="15"/>
  <c r="I11" i="15" s="1"/>
  <c r="B11" i="15"/>
  <c r="C31" i="4"/>
  <c r="G15" i="17" s="1"/>
  <c r="N4" i="8"/>
  <c r="AF12" i="8"/>
  <c r="AF13" i="8"/>
  <c r="L28" i="8"/>
  <c r="L19" i="8"/>
  <c r="L16" i="8"/>
  <c r="L27" i="8"/>
  <c r="L18" i="8"/>
  <c r="L23" i="8"/>
  <c r="L21" i="8"/>
  <c r="T16" i="8"/>
  <c r="C6" i="8"/>
  <c r="AF18" i="8"/>
  <c r="AD17" i="8"/>
  <c r="F4" i="8"/>
  <c r="G16" i="8"/>
  <c r="AE5" i="8"/>
  <c r="AF14" i="4"/>
  <c r="AF12" i="4" s="1"/>
  <c r="N9" i="25" s="1"/>
  <c r="K15" i="5"/>
  <c r="L15" i="5" s="1"/>
  <c r="L12" i="5"/>
  <c r="AH13" i="4"/>
  <c r="F8" i="14" s="1"/>
  <c r="AG9" i="4"/>
  <c r="AH9" i="4" s="1"/>
  <c r="L7" i="17" s="1"/>
  <c r="AG8" i="4"/>
  <c r="AG5" i="4"/>
  <c r="P17" i="4"/>
  <c r="AG7" i="4"/>
  <c r="AG10" i="4"/>
  <c r="AH10" i="4" s="1"/>
  <c r="AG14" i="4"/>
  <c r="E4" i="4"/>
  <c r="E11" i="4"/>
  <c r="AG22" i="4"/>
  <c r="AH26" i="4"/>
  <c r="AJ26" i="4" s="1"/>
  <c r="AF17" i="8"/>
  <c r="V11" i="8"/>
  <c r="U11" i="8"/>
  <c r="V6" i="8"/>
  <c r="U6" i="8"/>
  <c r="AA27" i="8"/>
  <c r="X26" i="8"/>
  <c r="X22" i="8"/>
  <c r="AA19" i="8"/>
  <c r="AA18" i="8"/>
  <c r="AA15" i="8"/>
  <c r="J15" i="8"/>
  <c r="AA14" i="8"/>
  <c r="J10" i="8"/>
  <c r="X7" i="8"/>
  <c r="AA5" i="8"/>
  <c r="J5" i="8"/>
  <c r="X28" i="8"/>
  <c r="AA23" i="8"/>
  <c r="X13" i="8"/>
  <c r="AA9" i="8"/>
  <c r="J9" i="8"/>
  <c r="X8" i="8"/>
  <c r="X10" i="8"/>
  <c r="AA28" i="8"/>
  <c r="X25" i="8"/>
  <c r="X23" i="8"/>
  <c r="J14" i="8"/>
  <c r="AA13" i="8"/>
  <c r="AA12" i="8"/>
  <c r="X9" i="8"/>
  <c r="AA8" i="8"/>
  <c r="J8" i="8"/>
  <c r="AA7" i="8"/>
  <c r="AA10" i="8"/>
  <c r="X12" i="8"/>
  <c r="I30" i="8"/>
  <c r="X27" i="8"/>
  <c r="AA26" i="8"/>
  <c r="AA22" i="8"/>
  <c r="X19" i="8"/>
  <c r="X18" i="8"/>
  <c r="X15" i="8"/>
  <c r="X14" i="8"/>
  <c r="J13" i="8"/>
  <c r="J7" i="8"/>
  <c r="J6" i="8"/>
  <c r="X5" i="8"/>
  <c r="J4" i="8"/>
  <c r="AA25" i="8"/>
  <c r="J12" i="8"/>
  <c r="P4" i="8"/>
  <c r="AF26" i="8"/>
  <c r="AD24" i="8"/>
  <c r="AF24" i="8" s="1"/>
  <c r="AE21" i="8"/>
  <c r="AE20" i="8" s="1"/>
  <c r="AE16" i="8" s="1"/>
  <c r="G30" i="8"/>
  <c r="AF22" i="8"/>
  <c r="AD21" i="8"/>
  <c r="B30" i="8"/>
  <c r="C13" i="8"/>
  <c r="C9" i="8"/>
  <c r="C5" i="8"/>
  <c r="C12" i="8"/>
  <c r="C8" i="8"/>
  <c r="C4" i="8"/>
  <c r="C7" i="8"/>
  <c r="C14" i="8"/>
  <c r="C15" i="8"/>
  <c r="C11" i="8"/>
  <c r="C10" i="8"/>
  <c r="Q6" i="8"/>
  <c r="R6" i="8"/>
  <c r="AE6" i="8"/>
  <c r="AE4" i="8" s="1"/>
  <c r="AE30" i="8" s="1"/>
  <c r="Q17" i="8"/>
  <c r="R17" i="8"/>
  <c r="V15" i="8"/>
  <c r="V10" i="8"/>
  <c r="U4" i="8"/>
  <c r="V7" i="8"/>
  <c r="V4" i="8"/>
  <c r="V14" i="8"/>
  <c r="V13" i="8"/>
  <c r="V12" i="8"/>
  <c r="V8" i="8"/>
  <c r="T30" i="8"/>
  <c r="U30" i="8" s="1"/>
  <c r="N30" i="8"/>
  <c r="R27" i="8"/>
  <c r="R18" i="8"/>
  <c r="Q16" i="8"/>
  <c r="R25" i="8"/>
  <c r="R19" i="8"/>
  <c r="R28" i="8"/>
  <c r="R16" i="8"/>
  <c r="R23" i="8"/>
  <c r="R26" i="8"/>
  <c r="R22" i="8"/>
  <c r="R21" i="8"/>
  <c r="R20" i="8"/>
  <c r="V9" i="8"/>
  <c r="AD5" i="8"/>
  <c r="M4" i="8"/>
  <c r="F20" i="8"/>
  <c r="F16" i="8" s="1"/>
  <c r="AF6" i="8"/>
  <c r="K10" i="28" l="1"/>
  <c r="L10" i="28"/>
  <c r="M10" i="28"/>
  <c r="AJ10" i="4"/>
  <c r="I5" i="13" s="1"/>
  <c r="G6" i="16" s="1"/>
  <c r="L8" i="17"/>
  <c r="H20" i="17"/>
  <c r="D21" i="17"/>
  <c r="E19" i="17"/>
  <c r="E41" i="17" s="1"/>
  <c r="G19" i="4"/>
  <c r="G38" i="4" s="1"/>
  <c r="E23" i="4"/>
  <c r="F4" i="4"/>
  <c r="AI9" i="4"/>
  <c r="V4" i="4"/>
  <c r="W6" i="4"/>
  <c r="AC7" i="4"/>
  <c r="Z7" i="4"/>
  <c r="N19" i="25"/>
  <c r="N13" i="25"/>
  <c r="E6" i="4"/>
  <c r="H14" i="25"/>
  <c r="N19" i="4"/>
  <c r="I15" i="25"/>
  <c r="F14" i="25"/>
  <c r="F22" i="25" s="1"/>
  <c r="B10" i="17"/>
  <c r="W5" i="4"/>
  <c r="Z18" i="4"/>
  <c r="F5" i="14"/>
  <c r="I12" i="17"/>
  <c r="V24" i="4"/>
  <c r="W8" i="4"/>
  <c r="K8" i="25"/>
  <c r="K21" i="25" s="1"/>
  <c r="W9" i="4"/>
  <c r="E31" i="4"/>
  <c r="E24" i="4"/>
  <c r="D36" i="4"/>
  <c r="G37" i="4" s="1"/>
  <c r="P8" i="25"/>
  <c r="I8" i="25" s="1"/>
  <c r="K23" i="25"/>
  <c r="F24" i="4"/>
  <c r="F19" i="4" s="1"/>
  <c r="E12" i="17"/>
  <c r="AQ24" i="4"/>
  <c r="AJ9" i="4"/>
  <c r="G6" i="14" s="1"/>
  <c r="AG24" i="4"/>
  <c r="AH22" i="4"/>
  <c r="AJ22" i="4" s="1"/>
  <c r="G15" i="14" s="1"/>
  <c r="J21" i="4"/>
  <c r="J31" i="4"/>
  <c r="C15" i="17" s="1"/>
  <c r="AH30" i="4"/>
  <c r="AJ30" i="4" s="1"/>
  <c r="E34" i="4"/>
  <c r="H10" i="17"/>
  <c r="H21" i="17" s="1"/>
  <c r="AF32" i="4"/>
  <c r="AH32" i="4" s="1"/>
  <c r="AF28" i="4"/>
  <c r="AH27" i="4"/>
  <c r="AJ27" i="4" s="1"/>
  <c r="G17" i="14" s="1"/>
  <c r="AH29" i="4"/>
  <c r="AJ29" i="4" s="1"/>
  <c r="AF33" i="4"/>
  <c r="AG33" i="4"/>
  <c r="W17" i="4"/>
  <c r="J30" i="4"/>
  <c r="J20" i="4"/>
  <c r="H10" i="13"/>
  <c r="F13" i="16" s="1"/>
  <c r="W14" i="4"/>
  <c r="W16" i="4"/>
  <c r="H4" i="13"/>
  <c r="F5" i="16" s="1"/>
  <c r="H7" i="13"/>
  <c r="F8" i="16" s="1"/>
  <c r="W15" i="4"/>
  <c r="H14" i="12"/>
  <c r="H3" i="13"/>
  <c r="F4" i="16" s="1"/>
  <c r="F10" i="17"/>
  <c r="G16" i="13"/>
  <c r="L10" i="13"/>
  <c r="W13" i="4"/>
  <c r="W11" i="4"/>
  <c r="W4" i="4"/>
  <c r="W7" i="4"/>
  <c r="W12" i="4"/>
  <c r="J34" i="4"/>
  <c r="J25" i="4"/>
  <c r="J19" i="4"/>
  <c r="I36" i="4"/>
  <c r="J29" i="4"/>
  <c r="J24" i="4"/>
  <c r="AH14" i="4"/>
  <c r="F9" i="14" s="1"/>
  <c r="J26" i="4"/>
  <c r="J27" i="4"/>
  <c r="P19" i="4"/>
  <c r="J22" i="4"/>
  <c r="J28" i="4"/>
  <c r="C32" i="4"/>
  <c r="C33" i="4"/>
  <c r="E32" i="4"/>
  <c r="E33" i="4"/>
  <c r="H11" i="15"/>
  <c r="B10" i="11"/>
  <c r="B10" i="12" s="1"/>
  <c r="D9" i="13"/>
  <c r="E10" i="15"/>
  <c r="E9" i="12"/>
  <c r="D8" i="13" s="1"/>
  <c r="J32" i="4"/>
  <c r="J33" i="4"/>
  <c r="F16" i="13"/>
  <c r="K4" i="13"/>
  <c r="F14" i="14"/>
  <c r="G14" i="12"/>
  <c r="D14" i="16" s="1"/>
  <c r="G11" i="15"/>
  <c r="G9" i="13"/>
  <c r="C10" i="15"/>
  <c r="I10" i="15" s="1"/>
  <c r="K10" i="13"/>
  <c r="D11" i="15"/>
  <c r="AP24" i="4"/>
  <c r="B10" i="15"/>
  <c r="Q19" i="4"/>
  <c r="S23" i="4" s="1"/>
  <c r="I10" i="17"/>
  <c r="V25" i="8"/>
  <c r="V22" i="8"/>
  <c r="U16" i="8"/>
  <c r="V26" i="8"/>
  <c r="V19" i="8"/>
  <c r="V27" i="8"/>
  <c r="V17" i="8"/>
  <c r="V16" i="8"/>
  <c r="V23" i="8"/>
  <c r="V28" i="8"/>
  <c r="V24" i="8"/>
  <c r="V20" i="8"/>
  <c r="V21" i="8"/>
  <c r="V18" i="8"/>
  <c r="C30" i="4"/>
  <c r="AI13" i="4"/>
  <c r="AJ13" i="4"/>
  <c r="G8" i="14" s="1"/>
  <c r="W10" i="4"/>
  <c r="AI16" i="4"/>
  <c r="AJ16" i="4"/>
  <c r="G10" i="14" s="1"/>
  <c r="AI15" i="4"/>
  <c r="AI17" i="4"/>
  <c r="AI10" i="4"/>
  <c r="AG12" i="4"/>
  <c r="C21" i="4"/>
  <c r="C27" i="4"/>
  <c r="C28" i="4"/>
  <c r="C29" i="4"/>
  <c r="C19" i="4"/>
  <c r="C26" i="4"/>
  <c r="C34" i="4"/>
  <c r="C20" i="4"/>
  <c r="C22" i="4"/>
  <c r="C24" i="4"/>
  <c r="C25" i="4"/>
  <c r="E22" i="4"/>
  <c r="E26" i="4"/>
  <c r="E30" i="4"/>
  <c r="E20" i="4"/>
  <c r="E25" i="4"/>
  <c r="E27" i="4"/>
  <c r="E29" i="4"/>
  <c r="E28" i="4"/>
  <c r="E19" i="4"/>
  <c r="E21" i="4"/>
  <c r="AG20" i="4"/>
  <c r="AH20" i="4" s="1"/>
  <c r="AH7" i="4"/>
  <c r="AH5" i="4"/>
  <c r="L4" i="17" s="1"/>
  <c r="AH8" i="4"/>
  <c r="AJ8" i="4" s="1"/>
  <c r="G5" i="14" s="1"/>
  <c r="X17" i="8"/>
  <c r="AI18" i="8"/>
  <c r="AI28" i="8"/>
  <c r="AI23" i="8"/>
  <c r="AI8" i="8"/>
  <c r="AI7" i="8"/>
  <c r="X6" i="8"/>
  <c r="AF5" i="8"/>
  <c r="AD4" i="8"/>
  <c r="AD20" i="8"/>
  <c r="AF21" i="8"/>
  <c r="Q4" i="8"/>
  <c r="R5" i="8"/>
  <c r="R15" i="8"/>
  <c r="R10" i="8"/>
  <c r="R4" i="8"/>
  <c r="R8" i="8"/>
  <c r="R14" i="8"/>
  <c r="R9" i="8"/>
  <c r="R12" i="8"/>
  <c r="R7" i="8"/>
  <c r="R11" i="8"/>
  <c r="R13" i="8"/>
  <c r="AI5" i="8"/>
  <c r="AI14" i="8"/>
  <c r="AA21" i="8"/>
  <c r="X11" i="8"/>
  <c r="AI12" i="8"/>
  <c r="AI10" i="8"/>
  <c r="AI13" i="8"/>
  <c r="X21" i="8"/>
  <c r="AI22" i="8"/>
  <c r="AA24" i="8"/>
  <c r="AI27" i="8"/>
  <c r="AI15" i="8"/>
  <c r="AI9" i="8"/>
  <c r="AI26" i="8"/>
  <c r="AI19" i="8"/>
  <c r="P30" i="8"/>
  <c r="Q30" i="8" s="1"/>
  <c r="AA6" i="8"/>
  <c r="AA11" i="8"/>
  <c r="AI25" i="8"/>
  <c r="X24" i="8"/>
  <c r="AA17" i="8"/>
  <c r="N10" i="17" l="1"/>
  <c r="H17" i="17"/>
  <c r="F21" i="17"/>
  <c r="B21" i="17"/>
  <c r="K14" i="25"/>
  <c r="K22" i="25" s="1"/>
  <c r="Z23" i="4"/>
  <c r="W23" i="4"/>
  <c r="AC23" i="4"/>
  <c r="AI23" i="4"/>
  <c r="P14" i="25"/>
  <c r="I14" i="25" s="1"/>
  <c r="U36" i="4"/>
  <c r="V36" i="4" s="1"/>
  <c r="U37" i="4"/>
  <c r="AQ19" i="4"/>
  <c r="L6" i="17"/>
  <c r="M6" i="17" s="1"/>
  <c r="AJ5" i="4"/>
  <c r="I7" i="13" s="1"/>
  <c r="G8" i="16" s="1"/>
  <c r="AL5" i="4"/>
  <c r="O39" i="4"/>
  <c r="AG19" i="4"/>
  <c r="N17" i="25"/>
  <c r="C10" i="11"/>
  <c r="D10" i="12" s="1"/>
  <c r="F9" i="13" s="1"/>
  <c r="K9" i="13" s="1"/>
  <c r="C3" i="25"/>
  <c r="D3" i="25" s="1"/>
  <c r="AF24" i="4"/>
  <c r="F15" i="14"/>
  <c r="AO34" i="4"/>
  <c r="F17" i="14"/>
  <c r="AO21" i="4"/>
  <c r="W31" i="4"/>
  <c r="AI31" i="4"/>
  <c r="S34" i="4"/>
  <c r="S31" i="4"/>
  <c r="C12" i="17"/>
  <c r="E10" i="17"/>
  <c r="E18" i="17" s="1"/>
  <c r="E40" i="17" s="1"/>
  <c r="AI14" i="4"/>
  <c r="AH33" i="4"/>
  <c r="AJ33" i="4" s="1"/>
  <c r="G12" i="16" s="1"/>
  <c r="AO26" i="4"/>
  <c r="AO22" i="4"/>
  <c r="AO19" i="4"/>
  <c r="AH25" i="4"/>
  <c r="L13" i="17" s="1"/>
  <c r="AO30" i="4"/>
  <c r="AO28" i="4"/>
  <c r="AO25" i="4"/>
  <c r="AO24" i="4"/>
  <c r="AH28" i="4"/>
  <c r="AO27" i="4"/>
  <c r="AO20" i="4"/>
  <c r="C10" i="17"/>
  <c r="C16" i="17"/>
  <c r="C13" i="17"/>
  <c r="C14" i="17"/>
  <c r="C11" i="17"/>
  <c r="S22" i="4"/>
  <c r="H14" i="13"/>
  <c r="H2" i="13"/>
  <c r="F3" i="16" s="1"/>
  <c r="F11" i="16"/>
  <c r="AJ32" i="4"/>
  <c r="G11" i="16" s="1"/>
  <c r="G11" i="17"/>
  <c r="G16" i="17"/>
  <c r="G10" i="17"/>
  <c r="G14" i="17"/>
  <c r="G13" i="17"/>
  <c r="G12" i="17"/>
  <c r="B9" i="13"/>
  <c r="B8" i="13" s="1"/>
  <c r="AO33" i="4"/>
  <c r="D13" i="13"/>
  <c r="M11" i="13"/>
  <c r="M10" i="13"/>
  <c r="M9" i="13"/>
  <c r="S19" i="4"/>
  <c r="AO29" i="4"/>
  <c r="S25" i="4"/>
  <c r="S21" i="4"/>
  <c r="S28" i="4"/>
  <c r="E14" i="16"/>
  <c r="I14" i="16" s="1"/>
  <c r="AJ14" i="4"/>
  <c r="G9" i="14" s="1"/>
  <c r="S20" i="4"/>
  <c r="S29" i="4"/>
  <c r="S26" i="4"/>
  <c r="S27" i="4"/>
  <c r="S24" i="4"/>
  <c r="AI26" i="4"/>
  <c r="W30" i="4"/>
  <c r="W33" i="4"/>
  <c r="W32" i="4"/>
  <c r="S32" i="4"/>
  <c r="S33" i="4"/>
  <c r="S30" i="4"/>
  <c r="AI32" i="4"/>
  <c r="AO32" i="4"/>
  <c r="AJ7" i="4"/>
  <c r="G4" i="14" s="1"/>
  <c r="F4" i="14"/>
  <c r="H10" i="15"/>
  <c r="B9" i="11"/>
  <c r="B9" i="12" s="1"/>
  <c r="E16" i="12"/>
  <c r="G10" i="15"/>
  <c r="G8" i="13"/>
  <c r="D10" i="15"/>
  <c r="AP19" i="4"/>
  <c r="C9" i="11"/>
  <c r="D9" i="12" s="1"/>
  <c r="F8" i="13" s="1"/>
  <c r="R19" i="4"/>
  <c r="G14" i="25" s="1"/>
  <c r="AH12" i="4"/>
  <c r="X4" i="8"/>
  <c r="AA4" i="8"/>
  <c r="AI5" i="4"/>
  <c r="AI7" i="4"/>
  <c r="AI30" i="4"/>
  <c r="AI8" i="4"/>
  <c r="V19" i="4"/>
  <c r="AI34" i="4"/>
  <c r="AI21" i="4"/>
  <c r="AI29" i="4"/>
  <c r="AI22" i="4"/>
  <c r="AI27" i="4"/>
  <c r="W34" i="4"/>
  <c r="W29" i="4"/>
  <c r="W25" i="4"/>
  <c r="W20" i="4"/>
  <c r="W26" i="4"/>
  <c r="W22" i="4"/>
  <c r="W27" i="4"/>
  <c r="W21" i="4"/>
  <c r="W28" i="4"/>
  <c r="W24" i="4"/>
  <c r="W19" i="4"/>
  <c r="AA20" i="8"/>
  <c r="AI24" i="8"/>
  <c r="AI11" i="8"/>
  <c r="AF20" i="8"/>
  <c r="AD16" i="8"/>
  <c r="AF16" i="8" s="1"/>
  <c r="AI6" i="8"/>
  <c r="AI21" i="8"/>
  <c r="X20" i="8"/>
  <c r="AF4" i="8"/>
  <c r="AI17" i="8"/>
  <c r="AD30" i="8" l="1"/>
  <c r="F18" i="14"/>
  <c r="L14" i="17"/>
  <c r="AI12" i="4"/>
  <c r="L5" i="17"/>
  <c r="AJ20" i="4"/>
  <c r="I10" i="13" s="1"/>
  <c r="G13" i="16" s="1"/>
  <c r="L11" i="17"/>
  <c r="L9" i="13"/>
  <c r="AF19" i="4"/>
  <c r="N14" i="25" s="1"/>
  <c r="N15" i="25"/>
  <c r="N23" i="25" s="1"/>
  <c r="F12" i="16"/>
  <c r="AJ25" i="4"/>
  <c r="AH24" i="4"/>
  <c r="L12" i="17" s="1"/>
  <c r="I4" i="13"/>
  <c r="G5" i="16" s="1"/>
  <c r="C22" i="17"/>
  <c r="H9" i="13"/>
  <c r="F10" i="16" s="1"/>
  <c r="AI33" i="4"/>
  <c r="AI28" i="4"/>
  <c r="AI25" i="4"/>
  <c r="AJ28" i="4"/>
  <c r="G18" i="14" s="1"/>
  <c r="L8" i="13"/>
  <c r="K8" i="13"/>
  <c r="AJ12" i="4"/>
  <c r="I3" i="13" s="1"/>
  <c r="AI20" i="4"/>
  <c r="AF30" i="8"/>
  <c r="AI4" i="8"/>
  <c r="AA16" i="8"/>
  <c r="AI20" i="8"/>
  <c r="X16" i="8"/>
  <c r="L22" i="17" l="1"/>
  <c r="N22" i="25"/>
  <c r="I14" i="13"/>
  <c r="H15" i="13"/>
  <c r="AH19" i="4"/>
  <c r="L10" i="17" s="1"/>
  <c r="L21" i="17" s="1"/>
  <c r="AJ24" i="4"/>
  <c r="I9" i="13" s="1"/>
  <c r="G10" i="16" s="1"/>
  <c r="AI24" i="4"/>
  <c r="H8" i="13"/>
  <c r="G4" i="16"/>
  <c r="I2" i="13"/>
  <c r="AI16" i="8"/>
  <c r="X30" i="8"/>
  <c r="Y30" i="8" s="1"/>
  <c r="AA30" i="8"/>
  <c r="AJ19" i="4" l="1"/>
  <c r="I8" i="13" s="1"/>
  <c r="G9" i="16" s="1"/>
  <c r="AI19" i="4"/>
  <c r="I15" i="13"/>
  <c r="F9" i="16"/>
  <c r="H13" i="13"/>
  <c r="G3" i="16"/>
  <c r="AG30" i="8"/>
  <c r="AB30" i="8"/>
  <c r="AG27" i="8"/>
  <c r="AG14" i="8"/>
  <c r="AG18" i="8"/>
  <c r="AG28" i="8"/>
  <c r="AG13" i="8"/>
  <c r="AG25" i="8"/>
  <c r="AG19" i="8"/>
  <c r="AG10" i="8"/>
  <c r="AG7" i="8"/>
  <c r="AG15" i="8"/>
  <c r="AG8" i="8"/>
  <c r="AG12" i="8"/>
  <c r="AG9" i="8"/>
  <c r="AG11" i="8"/>
  <c r="AG23" i="8"/>
  <c r="AB22" i="8"/>
  <c r="AB15" i="8"/>
  <c r="Y27" i="8"/>
  <c r="Y19" i="8"/>
  <c r="AG6" i="8"/>
  <c r="AB28" i="8"/>
  <c r="AG17" i="8"/>
  <c r="AB18" i="8"/>
  <c r="Y8" i="8"/>
  <c r="Y14" i="8"/>
  <c r="Y10" i="8"/>
  <c r="AG24" i="8"/>
  <c r="AB25" i="8"/>
  <c r="AB27" i="8"/>
  <c r="Y5" i="8"/>
  <c r="Y9" i="8"/>
  <c r="Y18" i="8"/>
  <c r="Y13" i="8"/>
  <c r="Y22" i="8"/>
  <c r="AB10" i="8"/>
  <c r="Y26" i="8"/>
  <c r="AB23" i="8"/>
  <c r="AB13" i="8"/>
  <c r="AB19" i="8"/>
  <c r="AB12" i="8"/>
  <c r="Y25" i="8"/>
  <c r="AB26" i="8"/>
  <c r="Y28" i="8"/>
  <c r="Y12" i="8"/>
  <c r="Y15" i="8"/>
  <c r="AG22" i="8"/>
  <c r="AB14" i="8"/>
  <c r="AB7" i="8"/>
  <c r="Y23" i="8"/>
  <c r="Y7" i="8"/>
  <c r="AB5" i="8"/>
  <c r="AB8" i="8"/>
  <c r="AG26" i="8"/>
  <c r="AB9" i="8"/>
  <c r="AB21" i="8"/>
  <c r="AG5" i="8"/>
  <c r="Y6" i="8"/>
  <c r="Y4" i="8"/>
  <c r="AB17" i="8"/>
  <c r="Y24" i="8"/>
  <c r="AB24" i="8"/>
  <c r="AB4" i="8"/>
  <c r="AG21" i="8"/>
  <c r="Y21" i="8"/>
  <c r="Y17" i="8"/>
  <c r="AB11" i="8"/>
  <c r="Y11" i="8"/>
  <c r="AB6" i="8"/>
  <c r="AG20" i="8"/>
  <c r="AG4" i="8"/>
  <c r="AG16" i="8"/>
  <c r="Y20" i="8"/>
  <c r="AB20" i="8"/>
  <c r="AB16" i="8"/>
  <c r="Y16" i="8"/>
  <c r="G16" i="16" l="1"/>
  <c r="I13" i="13"/>
  <c r="F16" i="16"/>
  <c r="AN11" i="4" l="1"/>
  <c r="AN21" i="4"/>
  <c r="AN5" i="4"/>
  <c r="AN28" i="4"/>
  <c r="AN24" i="4"/>
  <c r="AN20" i="4"/>
  <c r="AN30" i="4"/>
  <c r="AN15" i="4"/>
  <c r="AN7" i="4"/>
  <c r="AN26" i="4"/>
  <c r="AN12" i="4"/>
  <c r="AN9" i="4"/>
  <c r="AN14" i="4"/>
  <c r="AN17" i="4"/>
  <c r="AN19" i="4"/>
  <c r="AN13" i="4"/>
  <c r="AN29" i="4"/>
  <c r="AN4" i="4"/>
  <c r="AN8" i="4"/>
  <c r="AN27" i="4"/>
  <c r="AN10" i="4"/>
  <c r="AN16" i="4"/>
  <c r="AN25" i="4"/>
  <c r="AN34" i="4"/>
  <c r="AN22" i="4"/>
  <c r="Z10" i="4"/>
  <c r="F3" i="17"/>
  <c r="C17" i="4"/>
  <c r="AO17" i="4" s="1"/>
  <c r="C8" i="4"/>
  <c r="AO8" i="4" s="1"/>
  <c r="AO5" i="4"/>
  <c r="C15" i="4"/>
  <c r="AO15" i="4" s="1"/>
  <c r="C11" i="4"/>
  <c r="AO11" i="4" s="1"/>
  <c r="AB30" i="4"/>
  <c r="AD30" i="4" s="1"/>
  <c r="Y34" i="4"/>
  <c r="Y29" i="4"/>
  <c r="Z29" i="4" s="1"/>
  <c r="AD31" i="4"/>
  <c r="AC31" i="4"/>
  <c r="C12" i="4"/>
  <c r="AO12" i="4" s="1"/>
  <c r="Y13" i="4"/>
  <c r="B8" i="14" s="1"/>
  <c r="Y14" i="4"/>
  <c r="C16" i="4"/>
  <c r="AO16" i="4" s="1"/>
  <c r="AB14" i="4"/>
  <c r="AC14" i="4" s="1"/>
  <c r="Y22" i="4"/>
  <c r="Y20" i="4" s="1"/>
  <c r="AB9" i="4"/>
  <c r="K7" i="17" s="1"/>
  <c r="C7" i="4"/>
  <c r="AB29" i="4"/>
  <c r="AD29" i="4" s="1"/>
  <c r="AB17" i="4"/>
  <c r="D12" i="14" s="1"/>
  <c r="Y31" i="4"/>
  <c r="J15" i="17" s="1"/>
  <c r="M15" i="17" s="1"/>
  <c r="Y15" i="4"/>
  <c r="B11" i="14" s="1"/>
  <c r="C4" i="4"/>
  <c r="AO4" i="4" s="1"/>
  <c r="C13" i="4"/>
  <c r="AO13" i="4" s="1"/>
  <c r="AB27" i="4"/>
  <c r="AB16" i="4"/>
  <c r="D10" i="14" s="1"/>
  <c r="B4" i="15"/>
  <c r="H4" i="15" s="1"/>
  <c r="I3" i="17"/>
  <c r="I18" i="17" s="1"/>
  <c r="D4" i="15"/>
  <c r="C3" i="11" s="1"/>
  <c r="D3" i="12" s="1"/>
  <c r="F2" i="13" s="1"/>
  <c r="L2" i="13" s="1"/>
  <c r="Y16" i="4"/>
  <c r="Z16" i="4" s="1"/>
  <c r="Y17" i="4"/>
  <c r="Z17" i="4" s="1"/>
  <c r="C10" i="4"/>
  <c r="AO10" i="4" s="1"/>
  <c r="AD26" i="4"/>
  <c r="AB13" i="4"/>
  <c r="AC13" i="4" s="1"/>
  <c r="AB21" i="4"/>
  <c r="AB22" i="4"/>
  <c r="D15" i="14" s="1"/>
  <c r="Z5" i="4"/>
  <c r="AB34" i="4"/>
  <c r="AB10" i="4"/>
  <c r="C9" i="4"/>
  <c r="S17" i="4"/>
  <c r="F3" i="11"/>
  <c r="AB15" i="4"/>
  <c r="D11" i="14" s="1"/>
  <c r="Y30" i="4"/>
  <c r="Z30" i="4" s="1"/>
  <c r="B36" i="4"/>
  <c r="B16" i="11" s="1"/>
  <c r="B16" i="12" s="1"/>
  <c r="C14" i="4"/>
  <c r="AO14" i="4" s="1"/>
  <c r="I19" i="17" l="1"/>
  <c r="N3" i="17"/>
  <c r="AB20" i="4"/>
  <c r="K11" i="17" s="1"/>
  <c r="M20" i="25"/>
  <c r="K16" i="17"/>
  <c r="O40" i="4"/>
  <c r="Y6" i="4"/>
  <c r="J7" i="17"/>
  <c r="M7" i="17" s="1"/>
  <c r="AO9" i="4"/>
  <c r="G7" i="17"/>
  <c r="Z34" i="4"/>
  <c r="J16" i="17"/>
  <c r="M16" i="17" s="1"/>
  <c r="F20" i="17"/>
  <c r="G6" i="17"/>
  <c r="AB6" i="4"/>
  <c r="Z9" i="4"/>
  <c r="Y32" i="4"/>
  <c r="Z22" i="4"/>
  <c r="AB33" i="4"/>
  <c r="D6" i="14"/>
  <c r="AO7" i="4"/>
  <c r="C6" i="4"/>
  <c r="AO6" i="4" s="1"/>
  <c r="B3" i="11"/>
  <c r="B3" i="12" s="1"/>
  <c r="C16" i="11"/>
  <c r="G8" i="17"/>
  <c r="Q36" i="4"/>
  <c r="R36" i="4" s="1"/>
  <c r="G7" i="12"/>
  <c r="G22" i="12" s="1"/>
  <c r="M12" i="25"/>
  <c r="Z31" i="4"/>
  <c r="L18" i="25"/>
  <c r="L20" i="25"/>
  <c r="AC10" i="4"/>
  <c r="M11" i="25"/>
  <c r="AD15" i="4"/>
  <c r="E11" i="14" s="1"/>
  <c r="I11" i="14" s="1"/>
  <c r="AD11" i="4"/>
  <c r="H7" i="12" s="1"/>
  <c r="E7" i="16" s="1"/>
  <c r="AD22" i="4"/>
  <c r="E15" i="14" s="1"/>
  <c r="I15" i="14" s="1"/>
  <c r="K4" i="17"/>
  <c r="B17" i="14"/>
  <c r="Y33" i="4"/>
  <c r="AC27" i="4"/>
  <c r="AC34" i="4"/>
  <c r="AC21" i="4"/>
  <c r="D5" i="14"/>
  <c r="AD27" i="4"/>
  <c r="E17" i="14" s="1"/>
  <c r="I17" i="14" s="1"/>
  <c r="L10" i="25"/>
  <c r="Z26" i="4"/>
  <c r="B18" i="14"/>
  <c r="E5" i="14"/>
  <c r="I5" i="14" s="1"/>
  <c r="K9" i="17"/>
  <c r="G5" i="17"/>
  <c r="G4" i="17"/>
  <c r="G15" i="12"/>
  <c r="D15" i="16" s="1"/>
  <c r="H15" i="16" s="1"/>
  <c r="AD34" i="4"/>
  <c r="H15" i="12" s="1"/>
  <c r="E15" i="16" s="1"/>
  <c r="I15" i="16" s="1"/>
  <c r="E4" i="14"/>
  <c r="I4" i="14" s="1"/>
  <c r="B4" i="14"/>
  <c r="B12" i="14"/>
  <c r="H12" i="14" s="1"/>
  <c r="AL8" i="4"/>
  <c r="AL14" i="4"/>
  <c r="AC17" i="4"/>
  <c r="D14" i="14"/>
  <c r="AD16" i="4"/>
  <c r="E10" i="14" s="1"/>
  <c r="I10" i="14" s="1"/>
  <c r="B5" i="14"/>
  <c r="AB28" i="4"/>
  <c r="K14" i="17" s="1"/>
  <c r="AD9" i="4"/>
  <c r="E6" i="14" s="1"/>
  <c r="I6" i="14" s="1"/>
  <c r="AL10" i="4"/>
  <c r="AL17" i="4"/>
  <c r="AL21" i="4"/>
  <c r="AD10" i="4"/>
  <c r="H6" i="12" s="1"/>
  <c r="E6" i="16" s="1"/>
  <c r="I6" i="16" s="1"/>
  <c r="AB12" i="4"/>
  <c r="G8" i="12"/>
  <c r="D8" i="16" s="1"/>
  <c r="AL15" i="4"/>
  <c r="AD17" i="4"/>
  <c r="E12" i="14" s="1"/>
  <c r="I12" i="14" s="1"/>
  <c r="B15" i="14"/>
  <c r="H15" i="14" s="1"/>
  <c r="AD5" i="4"/>
  <c r="H8" i="12" s="1"/>
  <c r="E8" i="16" s="1"/>
  <c r="I8" i="16" s="1"/>
  <c r="AC16" i="4"/>
  <c r="H11" i="14"/>
  <c r="E12" i="11"/>
  <c r="D14" i="11"/>
  <c r="E11" i="11"/>
  <c r="E4" i="11"/>
  <c r="B4" i="16" s="1"/>
  <c r="E13" i="11"/>
  <c r="B13" i="16" s="1"/>
  <c r="E6" i="11"/>
  <c r="B6" i="16" s="1"/>
  <c r="D11" i="11"/>
  <c r="D7" i="11"/>
  <c r="D13" i="11"/>
  <c r="E10" i="11"/>
  <c r="B10" i="16" s="1"/>
  <c r="E14" i="11"/>
  <c r="B14" i="16" s="1"/>
  <c r="H14" i="16" s="1"/>
  <c r="E9" i="11"/>
  <c r="B9" i="16" s="1"/>
  <c r="D15" i="11"/>
  <c r="D4" i="11"/>
  <c r="D8" i="11"/>
  <c r="D12" i="11"/>
  <c r="E7" i="11"/>
  <c r="B7" i="16" s="1"/>
  <c r="E8" i="11"/>
  <c r="B8" i="16" s="1"/>
  <c r="J3" i="12"/>
  <c r="K2" i="13"/>
  <c r="E5" i="11"/>
  <c r="B5" i="16" s="1"/>
  <c r="D10" i="11"/>
  <c r="D6" i="11"/>
  <c r="D9" i="11"/>
  <c r="D5" i="11"/>
  <c r="AL27" i="4"/>
  <c r="Z14" i="4"/>
  <c r="S12" i="4"/>
  <c r="S9" i="4"/>
  <c r="AC11" i="4"/>
  <c r="AC15" i="4"/>
  <c r="AL16" i="4"/>
  <c r="Z21" i="4"/>
  <c r="AB32" i="4"/>
  <c r="AC32" i="4" s="1"/>
  <c r="B14" i="14"/>
  <c r="AB25" i="4"/>
  <c r="B10" i="14"/>
  <c r="H10" i="14" s="1"/>
  <c r="AD13" i="4"/>
  <c r="E8" i="14" s="1"/>
  <c r="I8" i="14" s="1"/>
  <c r="AD14" i="4"/>
  <c r="E9" i="14" s="1"/>
  <c r="I9" i="14" s="1"/>
  <c r="B9" i="14"/>
  <c r="B6" i="14"/>
  <c r="AL30" i="4"/>
  <c r="Y12" i="4"/>
  <c r="J5" i="17" s="1"/>
  <c r="AL29" i="4"/>
  <c r="AL34" i="4"/>
  <c r="Y25" i="4"/>
  <c r="AC30" i="4"/>
  <c r="AL13" i="4"/>
  <c r="D9" i="14"/>
  <c r="D8" i="14"/>
  <c r="H8" i="14" s="1"/>
  <c r="Z8" i="4"/>
  <c r="O41" i="4"/>
  <c r="G3" i="17"/>
  <c r="S14" i="4"/>
  <c r="S10" i="4"/>
  <c r="S16" i="4"/>
  <c r="D17" i="14"/>
  <c r="AL22" i="4"/>
  <c r="AC8" i="4"/>
  <c r="Z15" i="4"/>
  <c r="AC26" i="4"/>
  <c r="AC29" i="4"/>
  <c r="Z27" i="4"/>
  <c r="AC22" i="4"/>
  <c r="AL9" i="4"/>
  <c r="Y28" i="4"/>
  <c r="AL26" i="4"/>
  <c r="AD21" i="4"/>
  <c r="E14" i="14" s="1"/>
  <c r="I14" i="14" s="1"/>
  <c r="G6" i="12"/>
  <c r="D6" i="16" s="1"/>
  <c r="Z13" i="4"/>
  <c r="AC5" i="4"/>
  <c r="G9" i="17"/>
  <c r="S15" i="4"/>
  <c r="S7" i="4"/>
  <c r="S13" i="4"/>
  <c r="S4" i="4"/>
  <c r="AC9" i="4"/>
  <c r="D4" i="14"/>
  <c r="K8" i="17"/>
  <c r="M8" i="17" s="1"/>
  <c r="AL7" i="4"/>
  <c r="S8" i="4"/>
  <c r="S11" i="4"/>
  <c r="M16" i="25" l="1"/>
  <c r="K13" i="17"/>
  <c r="Z6" i="4"/>
  <c r="Y4" i="4"/>
  <c r="L17" i="25"/>
  <c r="J14" i="17"/>
  <c r="M14" i="17" s="1"/>
  <c r="L16" i="25"/>
  <c r="J13" i="17"/>
  <c r="M13" i="17" s="1"/>
  <c r="L19" i="25"/>
  <c r="J11" i="17"/>
  <c r="M11" i="17" s="1"/>
  <c r="AD6" i="4"/>
  <c r="AC6" i="4"/>
  <c r="AD4" i="4"/>
  <c r="M19" i="25"/>
  <c r="H6" i="14"/>
  <c r="L9" i="25"/>
  <c r="Z12" i="4"/>
  <c r="D7" i="16"/>
  <c r="I3" i="12"/>
  <c r="E3" i="11"/>
  <c r="E16" i="11" s="1"/>
  <c r="D3" i="11"/>
  <c r="D16" i="11" s="1"/>
  <c r="AC12" i="4"/>
  <c r="M9" i="25"/>
  <c r="M17" i="25"/>
  <c r="H5" i="12"/>
  <c r="E5" i="16" s="1"/>
  <c r="I5" i="16" s="1"/>
  <c r="M10" i="25"/>
  <c r="H14" i="14"/>
  <c r="H17" i="14"/>
  <c r="H4" i="14"/>
  <c r="AD28" i="4"/>
  <c r="E18" i="14" s="1"/>
  <c r="I18" i="14" s="1"/>
  <c r="AC28" i="4"/>
  <c r="D18" i="14"/>
  <c r="H18" i="14" s="1"/>
  <c r="H8" i="16"/>
  <c r="AB24" i="4"/>
  <c r="H5" i="14"/>
  <c r="G5" i="12"/>
  <c r="D5" i="16" s="1"/>
  <c r="H5" i="16" s="1"/>
  <c r="Z20" i="4"/>
  <c r="Y24" i="4"/>
  <c r="J12" i="17" s="1"/>
  <c r="Z25" i="4"/>
  <c r="AD12" i="4"/>
  <c r="H4" i="12" s="1"/>
  <c r="K5" i="17"/>
  <c r="M5" i="17" s="1"/>
  <c r="G4" i="12"/>
  <c r="D4" i="16" s="1"/>
  <c r="H4" i="16" s="1"/>
  <c r="AD20" i="4"/>
  <c r="H13" i="12" s="1"/>
  <c r="E13" i="16" s="1"/>
  <c r="I13" i="16" s="1"/>
  <c r="AC20" i="4"/>
  <c r="G13" i="12"/>
  <c r="D13" i="16" s="1"/>
  <c r="H13" i="16" s="1"/>
  <c r="AD33" i="4"/>
  <c r="H12" i="12" s="1"/>
  <c r="E12" i="16" s="1"/>
  <c r="I12" i="16" s="1"/>
  <c r="AC33" i="4"/>
  <c r="G12" i="12"/>
  <c r="D12" i="16" s="1"/>
  <c r="C3" i="12"/>
  <c r="AL28" i="4"/>
  <c r="Z28" i="4"/>
  <c r="B11" i="16"/>
  <c r="Z32" i="4"/>
  <c r="B12" i="16"/>
  <c r="Z33" i="4"/>
  <c r="H6" i="16"/>
  <c r="AL25" i="4"/>
  <c r="AL12" i="4"/>
  <c r="AC25" i="4"/>
  <c r="AD25" i="4"/>
  <c r="G11" i="12"/>
  <c r="D11" i="16" s="1"/>
  <c r="AD32" i="4"/>
  <c r="H11" i="12" s="1"/>
  <c r="E11" i="16" s="1"/>
  <c r="I11" i="16" s="1"/>
  <c r="I14" i="12"/>
  <c r="I8" i="12"/>
  <c r="C11" i="12"/>
  <c r="F11" i="12" s="1"/>
  <c r="C4" i="12"/>
  <c r="F4" i="12" s="1"/>
  <c r="I5" i="12"/>
  <c r="I6" i="12"/>
  <c r="C8" i="12"/>
  <c r="F8" i="12" s="1"/>
  <c r="C15" i="12"/>
  <c r="F15" i="12" s="1"/>
  <c r="C14" i="12"/>
  <c r="F14" i="12" s="1"/>
  <c r="C9" i="12"/>
  <c r="F9" i="12" s="1"/>
  <c r="I7" i="12"/>
  <c r="I15" i="12"/>
  <c r="I9" i="12"/>
  <c r="C10" i="12"/>
  <c r="F10" i="12" s="1"/>
  <c r="C5" i="12"/>
  <c r="F5" i="12" s="1"/>
  <c r="C7" i="12"/>
  <c r="F7" i="12" s="1"/>
  <c r="C6" i="12"/>
  <c r="F6" i="12" s="1"/>
  <c r="C12" i="12"/>
  <c r="F12" i="12" s="1"/>
  <c r="I4" i="12"/>
  <c r="I13" i="12"/>
  <c r="I10" i="12"/>
  <c r="C13" i="12"/>
  <c r="F13" i="12" s="1"/>
  <c r="H9" i="14"/>
  <c r="AL20" i="4"/>
  <c r="J12" i="13"/>
  <c r="J11" i="13"/>
  <c r="C4" i="13"/>
  <c r="E4" i="13" s="1"/>
  <c r="C6" i="13"/>
  <c r="E6" i="13" s="1"/>
  <c r="J2" i="13"/>
  <c r="J9" i="13"/>
  <c r="C5" i="13"/>
  <c r="E5" i="13" s="1"/>
  <c r="J6" i="13"/>
  <c r="C11" i="13"/>
  <c r="E11" i="13" s="1"/>
  <c r="C10" i="13"/>
  <c r="E10" i="13" s="1"/>
  <c r="J5" i="13"/>
  <c r="J7" i="13"/>
  <c r="J8" i="13"/>
  <c r="C7" i="13"/>
  <c r="E7" i="13" s="1"/>
  <c r="C9" i="13"/>
  <c r="C12" i="13"/>
  <c r="E12" i="13" s="1"/>
  <c r="J4" i="13"/>
  <c r="J10" i="13"/>
  <c r="J3" i="13"/>
  <c r="C3" i="13"/>
  <c r="E3" i="13" s="1"/>
  <c r="C2" i="13"/>
  <c r="AB19" i="4" l="1"/>
  <c r="K10" i="17" s="1"/>
  <c r="K12" i="17"/>
  <c r="M12" i="17" s="1"/>
  <c r="L8" i="25"/>
  <c r="L21" i="25" s="1"/>
  <c r="J3" i="17"/>
  <c r="Z4" i="4"/>
  <c r="B3" i="16"/>
  <c r="B16" i="16" s="1"/>
  <c r="H3" i="12"/>
  <c r="E3" i="16" s="1"/>
  <c r="Z24" i="4"/>
  <c r="L15" i="25"/>
  <c r="L23" i="25" s="1"/>
  <c r="AC4" i="4"/>
  <c r="M8" i="25"/>
  <c r="M15" i="25"/>
  <c r="M23" i="25" s="1"/>
  <c r="Y19" i="4"/>
  <c r="G3" i="12"/>
  <c r="D3" i="16" s="1"/>
  <c r="K3" i="17"/>
  <c r="K20" i="17" s="1"/>
  <c r="E4" i="16"/>
  <c r="I4" i="16" s="1"/>
  <c r="G17" i="12"/>
  <c r="G20" i="12" s="1"/>
  <c r="K22" i="17"/>
  <c r="AD24" i="4"/>
  <c r="H10" i="12" s="1"/>
  <c r="G10" i="12"/>
  <c r="AC24" i="4"/>
  <c r="AL24" i="4"/>
  <c r="H17" i="12"/>
  <c r="H20" i="12" s="1"/>
  <c r="H11" i="16"/>
  <c r="C8" i="13"/>
  <c r="E8" i="13" s="1"/>
  <c r="E9" i="13"/>
  <c r="C16" i="12"/>
  <c r="F3" i="12"/>
  <c r="F16" i="12" s="1"/>
  <c r="J17" i="13"/>
  <c r="E2" i="13"/>
  <c r="H12" i="16"/>
  <c r="AC19" i="4" l="1"/>
  <c r="AB36" i="4"/>
  <c r="AB37" i="4" s="1"/>
  <c r="J10" i="17"/>
  <c r="M10" i="17" s="1"/>
  <c r="AL19" i="4"/>
  <c r="Y36" i="4"/>
  <c r="Z36" i="4" s="1"/>
  <c r="AC36" i="4"/>
  <c r="AD19" i="4"/>
  <c r="L14" i="25"/>
  <c r="M21" i="25"/>
  <c r="M14" i="25"/>
  <c r="M22" i="25" s="1"/>
  <c r="K21" i="17"/>
  <c r="Z19" i="4"/>
  <c r="I3" i="16"/>
  <c r="H9" i="12"/>
  <c r="E10" i="16"/>
  <c r="I10" i="16" s="1"/>
  <c r="H18" i="12"/>
  <c r="H21" i="12" s="1"/>
  <c r="E13" i="13"/>
  <c r="H3" i="16"/>
  <c r="D10" i="16"/>
  <c r="H10" i="16" s="1"/>
  <c r="G9" i="12"/>
  <c r="G18" i="12"/>
  <c r="G21" i="12" s="1"/>
  <c r="C13" i="13"/>
  <c r="Y39" i="4" l="1"/>
  <c r="Y41" i="4" s="1"/>
  <c r="AD37" i="4"/>
  <c r="M24" i="25"/>
  <c r="M25" i="25" s="1"/>
  <c r="L22" i="25"/>
  <c r="L24" i="25"/>
  <c r="L25" i="25" s="1"/>
  <c r="Y37" i="4"/>
  <c r="D9" i="16"/>
  <c r="G16" i="12"/>
  <c r="E9" i="16"/>
  <c r="H16" i="12"/>
  <c r="H9" i="16" l="1"/>
  <c r="H16" i="16" s="1"/>
  <c r="D16" i="16"/>
  <c r="I9" i="16"/>
  <c r="I16" i="16" s="1"/>
  <c r="E16" i="16"/>
  <c r="N6" i="4"/>
  <c r="N4" i="4" s="1"/>
  <c r="N12" i="25"/>
  <c r="AF6" i="4" l="1"/>
  <c r="AF4" i="4" s="1"/>
  <c r="H12" i="25"/>
  <c r="I12" i="25" s="1"/>
  <c r="AP11" i="4"/>
  <c r="AQ11" i="4"/>
  <c r="E9" i="17"/>
  <c r="AG11" i="4"/>
  <c r="G8" i="15"/>
  <c r="G6" i="13"/>
  <c r="H6" i="13"/>
  <c r="AF36" i="4" l="1"/>
  <c r="N8" i="25"/>
  <c r="N24" i="25" s="1"/>
  <c r="H17" i="13"/>
  <c r="F7" i="16"/>
  <c r="H7" i="16" s="1"/>
  <c r="AH11" i="4"/>
  <c r="L9" i="17" s="1"/>
  <c r="M9" i="17" s="1"/>
  <c r="N6" i="17" s="1"/>
  <c r="N7" i="17" s="1"/>
  <c r="AG6" i="4"/>
  <c r="K6" i="13"/>
  <c r="G17" i="13"/>
  <c r="L17" i="13" s="1"/>
  <c r="L6" i="13"/>
  <c r="N25" i="25" l="1"/>
  <c r="N21" i="25"/>
  <c r="AI11" i="4"/>
  <c r="AL11" i="4"/>
  <c r="AJ11" i="4"/>
  <c r="I6" i="13" s="1"/>
  <c r="AG4" i="4"/>
  <c r="AH6" i="4"/>
  <c r="I17" i="13" l="1"/>
  <c r="G7" i="16"/>
  <c r="I7" i="16" s="1"/>
  <c r="AL6" i="4"/>
  <c r="AI6" i="4"/>
  <c r="AJ6" i="4"/>
  <c r="AG36" i="4"/>
  <c r="AH4" i="4"/>
  <c r="L3" i="17" s="1"/>
  <c r="M3" i="17" l="1"/>
  <c r="M17" i="17" s="1"/>
  <c r="N17" i="17" s="1"/>
  <c r="L20" i="17"/>
  <c r="AI4" i="4"/>
  <c r="AH36" i="4"/>
  <c r="AJ4" i="4"/>
  <c r="AL4" i="4"/>
  <c r="AJ37" i="4" l="1"/>
  <c r="AL37" i="4" s="1"/>
  <c r="AH37" i="4"/>
  <c r="AI36" i="4"/>
  <c r="AL36" i="4" s="1"/>
  <c r="E9" i="29"/>
  <c r="I4" i="26" s="1"/>
  <c r="D78" i="29"/>
  <c r="E47" i="29" l="1"/>
  <c r="E48" i="29" l="1"/>
</calcChain>
</file>

<file path=xl/comments1.xml><?xml version="1.0" encoding="utf-8"?>
<comments xmlns="http://schemas.openxmlformats.org/spreadsheetml/2006/main">
  <authors>
    <author>hys</author>
  </authors>
  <commentList>
    <comment ref="E9" authorId="0" shapeId="0">
      <text>
        <r>
          <rPr>
            <b/>
            <sz val="9"/>
            <color indexed="81"/>
            <rFont val="Tahoma"/>
            <family val="2"/>
          </rPr>
          <t>hys:</t>
        </r>
        <r>
          <rPr>
            <sz val="9"/>
            <color indexed="81"/>
            <rFont val="Tahoma"/>
            <family val="2"/>
          </rPr>
          <t xml:space="preserve">
</t>
        </r>
        <r>
          <rPr>
            <sz val="9"/>
            <color indexed="81"/>
            <rFont val="宋体"/>
            <family val="3"/>
            <charset val="134"/>
          </rPr>
          <t>取自总账表</t>
        </r>
      </text>
    </comment>
  </commentList>
</comments>
</file>

<file path=xl/comments2.xml><?xml version="1.0" encoding="utf-8"?>
<comments xmlns="http://schemas.openxmlformats.org/spreadsheetml/2006/main">
  <authors>
    <author>张颖</author>
  </authors>
  <commentList>
    <comment ref="Y1" authorId="0" shapeId="0">
      <text>
        <r>
          <rPr>
            <b/>
            <sz val="9"/>
            <color indexed="81"/>
            <rFont val="宋体"/>
            <family val="3"/>
            <charset val="134"/>
          </rPr>
          <t>张颖</t>
        </r>
        <r>
          <rPr>
            <b/>
            <sz val="9"/>
            <color indexed="81"/>
            <rFont val="Tahoma"/>
            <family val="2"/>
          </rPr>
          <t>:</t>
        </r>
        <r>
          <rPr>
            <sz val="9"/>
            <color indexed="81"/>
            <rFont val="Tahoma"/>
            <family val="2"/>
          </rPr>
          <t xml:space="preserve">
</t>
        </r>
        <r>
          <rPr>
            <sz val="9"/>
            <color indexed="81"/>
            <rFont val="宋体"/>
            <family val="3"/>
            <charset val="134"/>
          </rPr>
          <t>分解三种因素对于利息收入影响的方法类似于</t>
        </r>
        <r>
          <rPr>
            <sz val="9"/>
            <color indexed="81"/>
            <rFont val="Tahoma"/>
            <family val="2"/>
          </rPr>
          <t>CPA</t>
        </r>
        <r>
          <rPr>
            <sz val="9"/>
            <color indexed="81"/>
            <rFont val="宋体"/>
            <family val="3"/>
            <charset val="134"/>
          </rPr>
          <t>财务管理中分析杜邦公司的方法。略有不同的是，该表中将日均变化所引起的利息收入的变化进一步拆分成增长因素和结构因素。</t>
        </r>
      </text>
    </comment>
    <comment ref="Y2" authorId="0" shapeId="0">
      <text>
        <r>
          <rPr>
            <b/>
            <sz val="9"/>
            <color indexed="81"/>
            <rFont val="宋体"/>
            <family val="3"/>
            <charset val="134"/>
          </rPr>
          <t>张颖</t>
        </r>
        <r>
          <rPr>
            <b/>
            <sz val="9"/>
            <color indexed="81"/>
            <rFont val="Tahoma"/>
            <family val="2"/>
          </rPr>
          <t>:</t>
        </r>
        <r>
          <rPr>
            <sz val="9"/>
            <color indexed="81"/>
            <rFont val="Tahoma"/>
            <family val="2"/>
          </rPr>
          <t xml:space="preserve">
</t>
        </r>
        <r>
          <rPr>
            <sz val="9"/>
            <color indexed="81"/>
            <rFont val="宋体"/>
            <family val="3"/>
            <charset val="134"/>
          </rPr>
          <t>由总生息资产的增长率所引起的各项业务的日均变化</t>
        </r>
      </text>
    </comment>
    <comment ref="AB2" authorId="0" shapeId="0">
      <text>
        <r>
          <rPr>
            <b/>
            <sz val="9"/>
            <color indexed="81"/>
            <rFont val="宋体"/>
            <family val="3"/>
            <charset val="134"/>
          </rPr>
          <t>张颖</t>
        </r>
        <r>
          <rPr>
            <b/>
            <sz val="9"/>
            <color indexed="81"/>
            <rFont val="Tahoma"/>
            <family val="2"/>
          </rPr>
          <t>:</t>
        </r>
        <r>
          <rPr>
            <sz val="9"/>
            <color indexed="81"/>
            <rFont val="Tahoma"/>
            <family val="2"/>
          </rPr>
          <t xml:space="preserve">
</t>
        </r>
        <r>
          <rPr>
            <sz val="9"/>
            <color indexed="81"/>
            <rFont val="宋体"/>
            <family val="3"/>
            <charset val="134"/>
          </rPr>
          <t>各项业务日均变化剔除由总生息资产或总付息负债增长率变化所引起的日均变化之后的剩余日均变化</t>
        </r>
      </text>
    </comment>
  </commentList>
</comments>
</file>

<file path=xl/comments3.xml><?xml version="1.0" encoding="utf-8"?>
<comments xmlns="http://schemas.openxmlformats.org/spreadsheetml/2006/main">
  <authors>
    <author>作者</author>
  </authors>
  <commentList>
    <comment ref="C61" authorId="0" shapeId="0">
      <text>
        <r>
          <rPr>
            <b/>
            <sz val="9"/>
            <color indexed="81"/>
            <rFont val="宋体"/>
            <family val="3"/>
            <charset val="134"/>
          </rPr>
          <t>作者:</t>
        </r>
        <r>
          <rPr>
            <sz val="9"/>
            <color indexed="81"/>
            <rFont val="宋体"/>
            <family val="3"/>
            <charset val="134"/>
          </rPr>
          <t xml:space="preserve">
以下日均数据来源于日均</t>
        </r>
        <r>
          <rPr>
            <sz val="9"/>
            <color indexed="81"/>
            <rFont val="Tahoma"/>
            <family val="2"/>
          </rPr>
          <t>TB</t>
        </r>
        <r>
          <rPr>
            <sz val="9"/>
            <color indexed="81"/>
            <rFont val="宋体"/>
            <family val="3"/>
            <charset val="134"/>
          </rPr>
          <t>表</t>
        </r>
      </text>
    </comment>
  </commentList>
</comments>
</file>

<file path=xl/comments4.xml><?xml version="1.0" encoding="utf-8"?>
<comments xmlns="http://schemas.openxmlformats.org/spreadsheetml/2006/main">
  <authors>
    <author>作者</author>
  </authors>
  <commentList>
    <comment ref="C61" authorId="0" shapeId="0">
      <text>
        <r>
          <rPr>
            <b/>
            <sz val="9"/>
            <color indexed="81"/>
            <rFont val="宋体"/>
            <family val="3"/>
            <charset val="134"/>
          </rPr>
          <t>作者:</t>
        </r>
        <r>
          <rPr>
            <sz val="9"/>
            <color indexed="81"/>
            <rFont val="宋体"/>
            <family val="3"/>
            <charset val="134"/>
          </rPr>
          <t xml:space="preserve">
以下日均数据来源于日均</t>
        </r>
        <r>
          <rPr>
            <sz val="9"/>
            <color indexed="81"/>
            <rFont val="Tahoma"/>
            <family val="2"/>
          </rPr>
          <t>TB</t>
        </r>
        <r>
          <rPr>
            <sz val="9"/>
            <color indexed="81"/>
            <rFont val="宋体"/>
            <family val="3"/>
            <charset val="134"/>
          </rPr>
          <t>表</t>
        </r>
      </text>
    </comment>
  </commentList>
</comments>
</file>

<file path=xl/comments5.xml><?xml version="1.0" encoding="utf-8"?>
<comments xmlns="http://schemas.openxmlformats.org/spreadsheetml/2006/main">
  <authors>
    <author>作者</author>
  </authors>
  <commentList>
    <comment ref="C198" authorId="0" shapeId="0">
      <text>
        <r>
          <rPr>
            <b/>
            <sz val="9"/>
            <color indexed="81"/>
            <rFont val="Tahoma"/>
            <family val="2"/>
          </rPr>
          <t>作者:</t>
        </r>
        <r>
          <rPr>
            <sz val="9"/>
            <color indexed="81"/>
            <rFont val="Tahoma"/>
            <family val="2"/>
          </rPr>
          <t xml:space="preserve">
FTP</t>
        </r>
        <r>
          <rPr>
            <sz val="9"/>
            <color indexed="81"/>
            <rFont val="宋体"/>
            <family val="3"/>
            <charset val="134"/>
          </rPr>
          <t>中，该项账面收支为</t>
        </r>
        <r>
          <rPr>
            <sz val="9"/>
            <color indexed="81"/>
            <rFont val="Tahoma"/>
            <family val="2"/>
          </rPr>
          <t>0</t>
        </r>
        <r>
          <rPr>
            <sz val="9"/>
            <color indexed="81"/>
            <rFont val="宋体"/>
            <family val="3"/>
            <charset val="134"/>
          </rPr>
          <t>，</t>
        </r>
        <r>
          <rPr>
            <sz val="9"/>
            <color indexed="81"/>
            <rFont val="Tahoma"/>
            <family val="2"/>
          </rPr>
          <t>PA</t>
        </r>
        <r>
          <rPr>
            <sz val="9"/>
            <color indexed="81"/>
            <rFont val="宋体"/>
            <family val="3"/>
            <charset val="134"/>
          </rPr>
          <t>表中，该项账面收支是减值贷款的利息收入</t>
        </r>
      </text>
    </comment>
  </commentList>
</comments>
</file>

<file path=xl/sharedStrings.xml><?xml version="1.0" encoding="utf-8"?>
<sst xmlns="http://schemas.openxmlformats.org/spreadsheetml/2006/main" count="11872" uniqueCount="4441">
  <si>
    <t>三因素分解：明细表</t>
    <phoneticPr fontId="1" type="noConversion"/>
  </si>
  <si>
    <t>规模及利息收入情况</t>
    <phoneticPr fontId="1" type="noConversion"/>
  </si>
  <si>
    <t>增长情况</t>
    <phoneticPr fontId="1" type="noConversion"/>
  </si>
  <si>
    <t>利息收入影响因素分解</t>
    <phoneticPr fontId="1" type="noConversion"/>
  </si>
  <si>
    <t>校对</t>
    <phoneticPr fontId="1" type="noConversion"/>
  </si>
  <si>
    <t>规模增长</t>
    <phoneticPr fontId="1" type="noConversion"/>
  </si>
  <si>
    <t>利息增长</t>
    <phoneticPr fontId="1" type="noConversion"/>
  </si>
  <si>
    <t>增长因素</t>
    <phoneticPr fontId="1" type="noConversion"/>
  </si>
  <si>
    <t>结构因素</t>
    <phoneticPr fontId="1" type="noConversion"/>
  </si>
  <si>
    <t>利率因素</t>
    <phoneticPr fontId="1" type="noConversion"/>
  </si>
  <si>
    <t>增长 贡献</t>
  </si>
  <si>
    <t>增长贡献</t>
  </si>
  <si>
    <t>影响贡献</t>
  </si>
  <si>
    <t>平均余额</t>
    <phoneticPr fontId="1" type="noConversion"/>
  </si>
  <si>
    <t>比重</t>
    <phoneticPr fontId="1" type="noConversion"/>
  </si>
  <si>
    <t>利息收入/支出</t>
    <phoneticPr fontId="1" type="noConversion"/>
  </si>
  <si>
    <t>基准利率</t>
    <phoneticPr fontId="1" type="noConversion"/>
  </si>
  <si>
    <t>收益/付息率</t>
    <phoneticPr fontId="1" type="noConversion"/>
  </si>
  <si>
    <t>增长</t>
    <phoneticPr fontId="1" type="noConversion"/>
  </si>
  <si>
    <t>增长率</t>
    <phoneticPr fontId="1" type="noConversion"/>
  </si>
  <si>
    <t>结构调整</t>
    <phoneticPr fontId="1" type="noConversion"/>
  </si>
  <si>
    <t>浮动水平</t>
    <phoneticPr fontId="1" type="noConversion"/>
  </si>
  <si>
    <t>利率变动</t>
    <phoneticPr fontId="1" type="noConversion"/>
  </si>
  <si>
    <t>生息资产</t>
    <phoneticPr fontId="1" type="noConversion"/>
  </si>
  <si>
    <t>存放央行</t>
    <phoneticPr fontId="1" type="noConversion"/>
  </si>
  <si>
    <t>同业资产</t>
    <phoneticPr fontId="1" type="noConversion"/>
  </si>
  <si>
    <t>存拆放同业</t>
    <phoneticPr fontId="1" type="noConversion"/>
  </si>
  <si>
    <t>买入返售资产</t>
    <phoneticPr fontId="1" type="noConversion"/>
  </si>
  <si>
    <t>应收款项投资</t>
    <phoneticPr fontId="1" type="noConversion"/>
  </si>
  <si>
    <t>债券投资</t>
    <phoneticPr fontId="1" type="noConversion"/>
  </si>
  <si>
    <t>贷款</t>
    <phoneticPr fontId="1" type="noConversion"/>
  </si>
  <si>
    <t>公司贷款</t>
    <phoneticPr fontId="1" type="noConversion"/>
  </si>
  <si>
    <t>微小贷款</t>
    <phoneticPr fontId="1" type="noConversion"/>
  </si>
  <si>
    <t>个人贷款</t>
    <phoneticPr fontId="1" type="noConversion"/>
  </si>
  <si>
    <t>其他生息资产</t>
    <phoneticPr fontId="1" type="noConversion"/>
  </si>
  <si>
    <t>付息负债</t>
    <phoneticPr fontId="1" type="noConversion"/>
  </si>
  <si>
    <t>同业负债</t>
    <phoneticPr fontId="1" type="noConversion"/>
  </si>
  <si>
    <t>同业存拆放</t>
    <phoneticPr fontId="1" type="noConversion"/>
  </si>
  <si>
    <t>卖出回购负债</t>
    <phoneticPr fontId="1" type="noConversion"/>
  </si>
  <si>
    <t>存款</t>
    <phoneticPr fontId="1" type="noConversion"/>
  </si>
  <si>
    <t>单位存款</t>
    <phoneticPr fontId="1" type="noConversion"/>
  </si>
  <si>
    <t>单位活期</t>
    <phoneticPr fontId="1" type="noConversion"/>
  </si>
  <si>
    <t>单位定期</t>
    <phoneticPr fontId="1" type="noConversion"/>
  </si>
  <si>
    <t>个人存款</t>
    <phoneticPr fontId="1" type="noConversion"/>
  </si>
  <si>
    <t>个人活期</t>
    <phoneticPr fontId="1" type="noConversion"/>
  </si>
  <si>
    <t>个人定期</t>
    <phoneticPr fontId="1" type="noConversion"/>
  </si>
  <si>
    <t>其他存款</t>
    <phoneticPr fontId="1" type="noConversion"/>
  </si>
  <si>
    <t>其他付息负债</t>
    <phoneticPr fontId="1" type="noConversion"/>
  </si>
  <si>
    <t>净值</t>
    <phoneticPr fontId="1" type="noConversion"/>
  </si>
  <si>
    <t>利息收入影响三因素分解图示</t>
    <phoneticPr fontId="1" type="noConversion"/>
  </si>
  <si>
    <t>示例</t>
    <phoneticPr fontId="1" type="noConversion"/>
  </si>
  <si>
    <t>浮动利率变动</t>
    <phoneticPr fontId="1" type="noConversion"/>
  </si>
  <si>
    <r>
      <rPr>
        <sz val="15"/>
        <color theme="1"/>
        <rFont val="华文楷体"/>
        <family val="3"/>
        <charset val="134"/>
      </rPr>
      <t xml:space="preserve"> </t>
    </r>
    <r>
      <rPr>
        <b/>
        <sz val="15"/>
        <color theme="1"/>
        <rFont val="华文楷体"/>
        <family val="3"/>
        <charset val="134"/>
      </rPr>
      <t>α</t>
    </r>
    <r>
      <rPr>
        <sz val="15"/>
        <color theme="1"/>
        <rFont val="华文楷体"/>
        <family val="3"/>
        <charset val="134"/>
      </rPr>
      <t>=</t>
    </r>
    <r>
      <rPr>
        <sz val="12"/>
        <color theme="1"/>
        <rFont val="华文楷体"/>
        <family val="3"/>
        <charset val="134"/>
      </rPr>
      <t>信用风险、客户关系定价</t>
    </r>
    <phoneticPr fontId="1" type="noConversion"/>
  </si>
  <si>
    <r>
      <t>α</t>
    </r>
    <r>
      <rPr>
        <sz val="15"/>
        <color theme="1"/>
        <rFont val="华文楷体"/>
        <family val="3"/>
        <charset val="134"/>
      </rPr>
      <t>*</t>
    </r>
    <r>
      <rPr>
        <b/>
        <sz val="15"/>
        <color theme="1"/>
        <rFont val="华文楷体"/>
        <family val="3"/>
        <charset val="134"/>
      </rPr>
      <t>γ</t>
    </r>
    <phoneticPr fontId="1" type="noConversion"/>
  </si>
  <si>
    <r>
      <t>α</t>
    </r>
    <r>
      <rPr>
        <sz val="15"/>
        <color theme="1"/>
        <rFont val="华文楷体"/>
        <family val="3"/>
        <charset val="134"/>
      </rPr>
      <t>*</t>
    </r>
    <r>
      <rPr>
        <b/>
        <sz val="15"/>
        <color theme="1"/>
        <rFont val="华文楷体"/>
        <family val="3"/>
        <charset val="134"/>
      </rPr>
      <t>δ</t>
    </r>
    <phoneticPr fontId="1" type="noConversion"/>
  </si>
  <si>
    <t>资产规模</t>
    <phoneticPr fontId="1" type="noConversion"/>
  </si>
  <si>
    <t>利息收入</t>
    <phoneticPr fontId="1" type="noConversion"/>
  </si>
  <si>
    <t>基准利率变动</t>
    <phoneticPr fontId="1" type="noConversion"/>
  </si>
  <si>
    <r>
      <rPr>
        <b/>
        <sz val="15"/>
        <color theme="1"/>
        <rFont val="华文楷体"/>
        <family val="3"/>
        <charset val="134"/>
      </rPr>
      <t>β</t>
    </r>
    <r>
      <rPr>
        <sz val="15"/>
        <color theme="1"/>
        <rFont val="华文楷体"/>
        <family val="3"/>
        <charset val="134"/>
      </rPr>
      <t>=</t>
    </r>
    <r>
      <rPr>
        <sz val="12"/>
        <color theme="1"/>
        <rFont val="华文楷体"/>
        <family val="3"/>
        <charset val="134"/>
      </rPr>
      <t>Prime、期限、利率风险</t>
    </r>
    <phoneticPr fontId="1" type="noConversion"/>
  </si>
  <si>
    <r>
      <t>β</t>
    </r>
    <r>
      <rPr>
        <sz val="15"/>
        <color theme="1"/>
        <rFont val="华文楷体"/>
        <family val="3"/>
        <charset val="134"/>
      </rPr>
      <t>*</t>
    </r>
    <r>
      <rPr>
        <b/>
        <sz val="15"/>
        <color theme="1"/>
        <rFont val="华文楷体"/>
        <family val="3"/>
        <charset val="134"/>
      </rPr>
      <t>γ</t>
    </r>
    <phoneticPr fontId="1" type="noConversion"/>
  </si>
  <si>
    <r>
      <t>β</t>
    </r>
    <r>
      <rPr>
        <b/>
        <i/>
        <sz val="15"/>
        <color theme="1"/>
        <rFont val="华文楷体"/>
        <family val="3"/>
        <charset val="134"/>
      </rPr>
      <t>*</t>
    </r>
    <r>
      <rPr>
        <b/>
        <sz val="15"/>
        <color theme="1"/>
        <rFont val="华文楷体"/>
        <family val="3"/>
        <charset val="134"/>
      </rPr>
      <t>δ</t>
    </r>
    <phoneticPr fontId="1" type="noConversion"/>
  </si>
  <si>
    <t>贷款规模</t>
    <phoneticPr fontId="1" type="noConversion"/>
  </si>
  <si>
    <t>原浮动利率</t>
    <phoneticPr fontId="1" type="noConversion"/>
  </si>
  <si>
    <t>原浮动利息收入</t>
    <phoneticPr fontId="1" type="noConversion"/>
  </si>
  <si>
    <r>
      <rPr>
        <b/>
        <sz val="15"/>
        <color theme="1"/>
        <rFont val="华文楷体"/>
        <family val="3"/>
        <charset val="134"/>
      </rPr>
      <t>γ</t>
    </r>
    <r>
      <rPr>
        <sz val="15"/>
        <color theme="1"/>
        <rFont val="华文楷体"/>
        <family val="3"/>
        <charset val="134"/>
      </rPr>
      <t>=</t>
    </r>
    <r>
      <rPr>
        <sz val="12"/>
        <color theme="1"/>
        <rFont val="华文楷体"/>
        <family val="3"/>
        <charset val="134"/>
      </rPr>
      <t>平均增长</t>
    </r>
    <phoneticPr fontId="1" type="noConversion"/>
  </si>
  <si>
    <r>
      <rPr>
        <b/>
        <sz val="15"/>
        <color theme="1"/>
        <rFont val="华文楷体"/>
        <family val="3"/>
        <charset val="134"/>
      </rPr>
      <t>δ</t>
    </r>
    <r>
      <rPr>
        <sz val="15"/>
        <color theme="1"/>
        <rFont val="华文楷体"/>
        <family val="3"/>
        <charset val="134"/>
      </rPr>
      <t>=</t>
    </r>
    <r>
      <rPr>
        <sz val="12"/>
        <color theme="1"/>
        <rFont val="华文楷体"/>
        <family val="3"/>
        <charset val="134"/>
      </rPr>
      <t>结构调整</t>
    </r>
    <phoneticPr fontId="1" type="noConversion"/>
  </si>
  <si>
    <t>收益率</t>
    <phoneticPr fontId="1" type="noConversion"/>
  </si>
  <si>
    <t>原基准利率</t>
    <phoneticPr fontId="1" type="noConversion"/>
  </si>
  <si>
    <t>原基准利息收入</t>
    <phoneticPr fontId="1" type="noConversion"/>
  </si>
  <si>
    <t>变量</t>
    <phoneticPr fontId="1" type="noConversion"/>
  </si>
  <si>
    <t>收入影响</t>
    <phoneticPr fontId="1" type="noConversion"/>
  </si>
  <si>
    <t>影响贡献</t>
    <phoneticPr fontId="1" type="noConversion"/>
  </si>
  <si>
    <t>平均增长</t>
    <phoneticPr fontId="1" type="noConversion"/>
  </si>
  <si>
    <t>原平均余额</t>
    <phoneticPr fontId="1" type="noConversion"/>
  </si>
  <si>
    <t>总计</t>
    <phoneticPr fontId="1" type="noConversion"/>
  </si>
  <si>
    <t>存放央行及系统内</t>
    <phoneticPr fontId="1" type="noConversion"/>
  </si>
  <si>
    <t>其他存款及保证金</t>
    <phoneticPr fontId="1" type="noConversion"/>
  </si>
  <si>
    <t>等比增长</t>
    <phoneticPr fontId="1" type="noConversion"/>
  </si>
  <si>
    <t>包括系统内存放</t>
    <phoneticPr fontId="1" type="noConversion"/>
  </si>
  <si>
    <t>包括保证金、通知、定活两便等其他</t>
    <phoneticPr fontId="1" type="noConversion"/>
  </si>
  <si>
    <t>包括一般定期及协议存款、结构性，不包括通知及定活两便</t>
    <phoneticPr fontId="1" type="noConversion"/>
  </si>
  <si>
    <t>包括一般活期及协定存款</t>
    <phoneticPr fontId="1" type="noConversion"/>
  </si>
  <si>
    <t>不包括系统内存放，原因：清算性质，非盈利</t>
    <phoneticPr fontId="1" type="noConversion"/>
  </si>
  <si>
    <t>打包</t>
    <phoneticPr fontId="1" type="noConversion"/>
  </si>
  <si>
    <t>不包括交易类其他、可供出售其他、持有至到期其他</t>
    <phoneticPr fontId="1" type="noConversion"/>
  </si>
  <si>
    <t>包括交易类其他、可供出售其他、持有至到期其他</t>
    <phoneticPr fontId="1" type="noConversion"/>
  </si>
  <si>
    <t>不包括存放系统内，原因：清算性质，非盈利</t>
    <phoneticPr fontId="1" type="noConversion"/>
  </si>
  <si>
    <t>包括存放系统内，原因：清算资金，性质同备付金</t>
    <phoneticPr fontId="1" type="noConversion"/>
  </si>
  <si>
    <t>口径</t>
    <phoneticPr fontId="1" type="noConversion"/>
  </si>
  <si>
    <t>主要生息资产</t>
    <phoneticPr fontId="1" type="noConversion"/>
  </si>
  <si>
    <t>日均余额</t>
    <phoneticPr fontId="1" type="noConversion"/>
  </si>
  <si>
    <t>外部利息收支</t>
    <phoneticPr fontId="1" type="noConversion"/>
  </si>
  <si>
    <t>外部利率</t>
    <phoneticPr fontId="1" type="noConversion"/>
  </si>
  <si>
    <t>单位活期</t>
    <phoneticPr fontId="1" type="noConversion"/>
  </si>
  <si>
    <t>单位定期</t>
    <phoneticPr fontId="1" type="noConversion"/>
  </si>
  <si>
    <t>个人活期</t>
    <phoneticPr fontId="1" type="noConversion"/>
  </si>
  <si>
    <t>资金</t>
    <phoneticPr fontId="1" type="noConversion"/>
  </si>
  <si>
    <t>存放央行</t>
    <phoneticPr fontId="1" type="noConversion"/>
  </si>
  <si>
    <t>存拆放同业</t>
    <phoneticPr fontId="1" type="noConversion"/>
  </si>
  <si>
    <t>买入返售资产</t>
    <phoneticPr fontId="1" type="noConversion"/>
  </si>
  <si>
    <t>应收款项类投资</t>
    <phoneticPr fontId="1" type="noConversion"/>
  </si>
  <si>
    <t>债券投资</t>
    <phoneticPr fontId="1" type="noConversion"/>
  </si>
  <si>
    <t>代客保本理财资产</t>
    <phoneticPr fontId="1" type="noConversion"/>
  </si>
  <si>
    <t>同业存拆放</t>
    <phoneticPr fontId="1" type="noConversion"/>
  </si>
  <si>
    <t>卖出回购</t>
    <phoneticPr fontId="1" type="noConversion"/>
  </si>
  <si>
    <t>应付债券</t>
    <phoneticPr fontId="1" type="noConversion"/>
  </si>
  <si>
    <t>单位：元</t>
    <phoneticPr fontId="1" type="noConversion"/>
  </si>
  <si>
    <t>单位：亿元</t>
    <phoneticPr fontId="1" type="noConversion"/>
  </si>
  <si>
    <t>单位贷款</t>
    <phoneticPr fontId="1" type="noConversion"/>
  </si>
  <si>
    <t>个人贷款</t>
    <phoneticPr fontId="1" type="noConversion"/>
  </si>
  <si>
    <t>微小贷款</t>
    <phoneticPr fontId="1" type="noConversion"/>
  </si>
  <si>
    <t>贴现</t>
    <phoneticPr fontId="1" type="noConversion"/>
  </si>
  <si>
    <t>信用卡透支</t>
    <phoneticPr fontId="1" type="noConversion"/>
  </si>
  <si>
    <t>主要付息负债</t>
    <phoneticPr fontId="1" type="noConversion"/>
  </si>
  <si>
    <t>公司贷款</t>
    <phoneticPr fontId="1" type="noConversion"/>
  </si>
  <si>
    <t>信用卡透支</t>
    <phoneticPr fontId="1" type="noConversion"/>
  </si>
  <si>
    <t>合计</t>
    <phoneticPr fontId="1" type="noConversion"/>
  </si>
  <si>
    <t>资产合计</t>
    <phoneticPr fontId="1" type="noConversion"/>
  </si>
  <si>
    <t>负债合计</t>
    <phoneticPr fontId="1" type="noConversion"/>
  </si>
  <si>
    <t>年化利息增长</t>
    <phoneticPr fontId="1" type="noConversion"/>
  </si>
  <si>
    <t>年化利息收入/支出</t>
    <phoneticPr fontId="1" type="noConversion"/>
  </si>
  <si>
    <t>净息差</t>
    <phoneticPr fontId="1" type="noConversion"/>
  </si>
  <si>
    <t>对净息差的影响(基点)</t>
    <phoneticPr fontId="1" type="noConversion"/>
  </si>
  <si>
    <t>等比增长</t>
    <phoneticPr fontId="1" type="noConversion"/>
  </si>
  <si>
    <t>日均</t>
    <phoneticPr fontId="1" type="noConversion"/>
  </si>
  <si>
    <t xml:space="preserve"> 日均占比变动</t>
    <phoneticPr fontId="1" type="noConversion"/>
  </si>
  <si>
    <t>单位：亿元</t>
    <phoneticPr fontId="23" type="noConversion"/>
  </si>
  <si>
    <t>2013年</t>
  </si>
  <si>
    <t>日均余额</t>
  </si>
  <si>
    <t>收益/付息率</t>
  </si>
  <si>
    <t>等比增长</t>
    <phoneticPr fontId="23" type="noConversion"/>
  </si>
  <si>
    <t>年化利息增长</t>
  </si>
  <si>
    <t>主要生息资产</t>
  </si>
  <si>
    <t>贷款</t>
    <phoneticPr fontId="23" type="noConversion"/>
  </si>
  <si>
    <t>同业资产</t>
  </si>
  <si>
    <t>债券投资</t>
  </si>
  <si>
    <t>代客保本理财资产</t>
  </si>
  <si>
    <t>存放央行</t>
  </si>
  <si>
    <t>主要付息负债</t>
    <phoneticPr fontId="23" type="noConversion"/>
  </si>
  <si>
    <t>存款</t>
  </si>
  <si>
    <t>同业负债</t>
  </si>
  <si>
    <t>应付债券</t>
  </si>
  <si>
    <t>净值</t>
    <phoneticPr fontId="23" type="noConversion"/>
  </si>
  <si>
    <t>实际日均余额</t>
    <phoneticPr fontId="23" type="noConversion"/>
  </si>
  <si>
    <t>日均余额变动</t>
    <phoneticPr fontId="23" type="noConversion"/>
  </si>
  <si>
    <t>年化利息影响</t>
    <phoneticPr fontId="23" type="noConversion"/>
  </si>
  <si>
    <t>净息差影响(bp)</t>
    <phoneticPr fontId="23" type="noConversion"/>
  </si>
  <si>
    <t>净值</t>
    <phoneticPr fontId="23" type="noConversion"/>
  </si>
  <si>
    <t>代客保本理财资产</t>
    <phoneticPr fontId="1" type="noConversion"/>
  </si>
  <si>
    <t>代客保本理财负债</t>
    <phoneticPr fontId="1" type="noConversion"/>
  </si>
  <si>
    <t>存款（不含结构性存款）</t>
    <phoneticPr fontId="1" type="noConversion"/>
  </si>
  <si>
    <t>单位：亿元</t>
    <phoneticPr fontId="23" type="noConversion"/>
  </si>
  <si>
    <t>等比增长（11%）</t>
    <phoneticPr fontId="23" type="noConversion"/>
  </si>
  <si>
    <t>实际日均余额</t>
    <phoneticPr fontId="23" type="noConversion"/>
  </si>
  <si>
    <t>日均余额变动</t>
    <phoneticPr fontId="23" type="noConversion"/>
  </si>
  <si>
    <t>2013年利率</t>
    <phoneticPr fontId="23" type="noConversion"/>
  </si>
  <si>
    <t>2014年利率</t>
    <phoneticPr fontId="23" type="noConversion"/>
  </si>
  <si>
    <t>年化利息影响</t>
    <phoneticPr fontId="23" type="noConversion"/>
  </si>
  <si>
    <t>净息差影响</t>
    <phoneticPr fontId="23" type="noConversion"/>
  </si>
  <si>
    <t>贷款</t>
    <phoneticPr fontId="23" type="noConversion"/>
  </si>
  <si>
    <t>主要付息负债</t>
    <phoneticPr fontId="23" type="noConversion"/>
  </si>
  <si>
    <t>净值</t>
    <phoneticPr fontId="23" type="noConversion"/>
  </si>
  <si>
    <t>净息差影响</t>
  </si>
  <si>
    <t>买入返售资产</t>
  </si>
  <si>
    <t>应收款项投资</t>
  </si>
  <si>
    <t>贷款</t>
  </si>
  <si>
    <t>公司贷款</t>
  </si>
  <si>
    <t>微小贷款</t>
  </si>
  <si>
    <t>个人贷款</t>
  </si>
  <si>
    <t>同业存拆放</t>
  </si>
  <si>
    <t>卖出回购负债</t>
  </si>
  <si>
    <t>单位定期</t>
  </si>
  <si>
    <t>个人定期</t>
  </si>
  <si>
    <t xml:space="preserve">重要业务 </t>
    <phoneticPr fontId="1" type="noConversion"/>
  </si>
  <si>
    <t>结构调整影响</t>
    <phoneticPr fontId="1" type="noConversion"/>
  </si>
  <si>
    <t>利率变动影响</t>
    <phoneticPr fontId="1" type="noConversion"/>
  </si>
  <si>
    <t>利息影响</t>
    <phoneticPr fontId="1" type="noConversion"/>
  </si>
  <si>
    <t>备注：存贷日均、贷款利息收入取自管会系统，存款利息支出、资金业务日均和利息收支取自总账系统</t>
    <phoneticPr fontId="1" type="noConversion"/>
  </si>
  <si>
    <t>收益率变动</t>
    <phoneticPr fontId="1" type="noConversion"/>
  </si>
  <si>
    <t>单位：亿元</t>
    <phoneticPr fontId="1" type="noConversion"/>
  </si>
  <si>
    <t>日均余额</t>
    <phoneticPr fontId="1" type="noConversion"/>
  </si>
  <si>
    <t>利息收入/支出</t>
    <phoneticPr fontId="1" type="noConversion"/>
  </si>
  <si>
    <t>收益/付息率</t>
    <phoneticPr fontId="1" type="noConversion"/>
  </si>
  <si>
    <t>主要生息资产</t>
    <phoneticPr fontId="1" type="noConversion"/>
  </si>
  <si>
    <t>存放央行</t>
    <phoneticPr fontId="1" type="noConversion"/>
  </si>
  <si>
    <t>同业资产</t>
    <phoneticPr fontId="1" type="noConversion"/>
  </si>
  <si>
    <t>债券投资</t>
    <phoneticPr fontId="1" type="noConversion"/>
  </si>
  <si>
    <t>贷款</t>
    <phoneticPr fontId="1" type="noConversion"/>
  </si>
  <si>
    <t>代客保本理财资产</t>
    <phoneticPr fontId="1" type="noConversion"/>
  </si>
  <si>
    <t>主要付息负债</t>
    <phoneticPr fontId="1" type="noConversion"/>
  </si>
  <si>
    <t>同业负债</t>
    <phoneticPr fontId="1" type="noConversion"/>
  </si>
  <si>
    <t>存款（不包含结构性存款）</t>
    <phoneticPr fontId="1" type="noConversion"/>
  </si>
  <si>
    <t>代客保本理财负债</t>
    <phoneticPr fontId="1" type="noConversion"/>
  </si>
  <si>
    <t>应付债券</t>
    <phoneticPr fontId="1" type="noConversion"/>
  </si>
  <si>
    <t>增幅</t>
    <phoneticPr fontId="1" type="noConversion"/>
  </si>
  <si>
    <t>活期存款</t>
    <phoneticPr fontId="1" type="noConversion"/>
  </si>
  <si>
    <t>-活期存款</t>
    <phoneticPr fontId="1" type="noConversion"/>
  </si>
  <si>
    <t>-定期存款</t>
    <phoneticPr fontId="1" type="noConversion"/>
  </si>
  <si>
    <t>规模增长影响</t>
    <phoneticPr fontId="1" type="noConversion"/>
  </si>
  <si>
    <t>总计</t>
    <phoneticPr fontId="1" type="noConversion"/>
  </si>
  <si>
    <t>单位：亿元/bp</t>
    <phoneticPr fontId="23" type="noConversion"/>
  </si>
  <si>
    <t>规模增长影响</t>
    <phoneticPr fontId="1" type="noConversion"/>
  </si>
  <si>
    <t>结构调整影响</t>
    <phoneticPr fontId="1" type="noConversion"/>
  </si>
  <si>
    <t>利率变动影响</t>
    <phoneticPr fontId="1" type="noConversion"/>
  </si>
  <si>
    <t>利息影响</t>
    <phoneticPr fontId="1" type="noConversion"/>
  </si>
  <si>
    <t>主要付息负债</t>
    <phoneticPr fontId="23" type="noConversion"/>
  </si>
  <si>
    <t>-活期存款</t>
    <phoneticPr fontId="1" type="noConversion"/>
  </si>
  <si>
    <t>-定期存款</t>
    <phoneticPr fontId="1" type="noConversion"/>
  </si>
  <si>
    <t>存拆放同业</t>
    <phoneticPr fontId="1" type="noConversion"/>
  </si>
  <si>
    <t>信用卡透支</t>
    <phoneticPr fontId="1" type="noConversion"/>
  </si>
  <si>
    <t>贴现</t>
    <phoneticPr fontId="1" type="noConversion"/>
  </si>
  <si>
    <t>净利息收入/净息差</t>
    <phoneticPr fontId="23" type="noConversion"/>
  </si>
  <si>
    <t>微小贷</t>
    <phoneticPr fontId="1" type="noConversion"/>
  </si>
  <si>
    <t>2014年</t>
    <phoneticPr fontId="1" type="noConversion"/>
  </si>
  <si>
    <t>2014年</t>
    <phoneticPr fontId="23" type="noConversion"/>
  </si>
  <si>
    <t>项目</t>
    <phoneticPr fontId="1" type="noConversion"/>
  </si>
  <si>
    <t>主要付息负债</t>
  </si>
  <si>
    <t>单位存款</t>
  </si>
  <si>
    <t>个人存款</t>
  </si>
  <si>
    <t>存放央行</t>
    <phoneticPr fontId="1" type="noConversion"/>
  </si>
  <si>
    <t>一级产品</t>
  </si>
  <si>
    <t>二级产品</t>
  </si>
  <si>
    <t>三级产品</t>
  </si>
  <si>
    <t>四级产品</t>
  </si>
  <si>
    <t>五级产品</t>
  </si>
  <si>
    <t>六级产品</t>
  </si>
  <si>
    <t>七级产品</t>
  </si>
  <si>
    <t>投资收益</t>
  </si>
  <si>
    <t>其他业务收入</t>
  </si>
  <si>
    <t>其他业务支出</t>
  </si>
  <si>
    <t>单位活期存款</t>
  </si>
  <si>
    <t>公司类客户活期存款</t>
  </si>
  <si>
    <t>机构客户活期存款</t>
  </si>
  <si>
    <t>财政性客户活期存款</t>
  </si>
  <si>
    <t>公积金活期存款</t>
  </si>
  <si>
    <t>保险公司活期存款</t>
  </si>
  <si>
    <t>社保活期存款</t>
  </si>
  <si>
    <t>机关团体活期存款</t>
  </si>
  <si>
    <t>公安政法活期存款</t>
  </si>
  <si>
    <t>其他机构活期存款</t>
  </si>
  <si>
    <t>单位协定存款</t>
  </si>
  <si>
    <t>单位定期存款</t>
  </si>
  <si>
    <t>单位整存整取存款</t>
  </si>
  <si>
    <t>三个月整存整取</t>
  </si>
  <si>
    <t>公司类客户三个月整存整取</t>
  </si>
  <si>
    <t>机构客户三个月整存整取</t>
  </si>
  <si>
    <t>财政性客户三个月整存整取</t>
  </si>
  <si>
    <t>其他机构三个月整存整取</t>
  </si>
  <si>
    <t>六个月整存整取</t>
  </si>
  <si>
    <t>公司类客户六个月整存整取</t>
  </si>
  <si>
    <t>机构客户六个月整存整取</t>
  </si>
  <si>
    <t>财政性客户六个月整存整取存款</t>
  </si>
  <si>
    <t>机关团体六个月整存整取存款</t>
  </si>
  <si>
    <t>其他机构六个月整存整取</t>
  </si>
  <si>
    <t>国库六个月定期存款</t>
  </si>
  <si>
    <t>九个月整存整取存款</t>
  </si>
  <si>
    <t>国库九个月定期存款</t>
  </si>
  <si>
    <t>一年期整存整取</t>
  </si>
  <si>
    <t>公司类客户一年期整存整取</t>
  </si>
  <si>
    <t>机构客户一年期整存整取</t>
  </si>
  <si>
    <t>财政性客户一年期整存整取</t>
  </si>
  <si>
    <t>公积金一年期整存整取存款</t>
  </si>
  <si>
    <t>机关团体一年期整存整取</t>
  </si>
  <si>
    <t>其他机构一年期整存整取</t>
  </si>
  <si>
    <t>国库一年期定期存款</t>
  </si>
  <si>
    <t>二年期整存整取</t>
  </si>
  <si>
    <t>公司类客户二年期整存整取</t>
  </si>
  <si>
    <t>机构客户二年期整存整取</t>
  </si>
  <si>
    <t>财政性客户二年期整存整取存款</t>
  </si>
  <si>
    <t>公积金二年期整存整取存款</t>
  </si>
  <si>
    <t>其他机构二年期整存整取</t>
  </si>
  <si>
    <t>三年期整存整取</t>
  </si>
  <si>
    <t>公司类客户三年期整存整取</t>
  </si>
  <si>
    <t>机构客户三年期整存整取</t>
  </si>
  <si>
    <t>财政性客户三年期整存整取</t>
  </si>
  <si>
    <t>公积金三年期整存整取存款</t>
  </si>
  <si>
    <t>机关团体三年期整存整取存款</t>
  </si>
  <si>
    <t>其他机构三年期整存整取</t>
  </si>
  <si>
    <t>五年期整存整取</t>
  </si>
  <si>
    <t>公司类客户五年期整存整取</t>
  </si>
  <si>
    <t>机构客户五年期整存整取</t>
  </si>
  <si>
    <t>财政性客户五年期整存整取存款</t>
  </si>
  <si>
    <t>其他机构五年期整存整取</t>
  </si>
  <si>
    <t>单位协议存款</t>
  </si>
  <si>
    <t>对公通知存款</t>
  </si>
  <si>
    <t>对公7天通知存款</t>
  </si>
  <si>
    <t>对公智能通知存款A款</t>
  </si>
  <si>
    <t>对公智能通知存款B款</t>
  </si>
  <si>
    <t>对公智能存款C款</t>
  </si>
  <si>
    <t>对公智能存款E款</t>
  </si>
  <si>
    <t>对公智能存款E款（三年）</t>
  </si>
  <si>
    <t>对公智能存款E款（两年）</t>
  </si>
  <si>
    <t>对公智能存款E款（五年）</t>
  </si>
  <si>
    <t>单位活期保证金存款</t>
  </si>
  <si>
    <t>银行承兑汇票保证金</t>
  </si>
  <si>
    <t>货押授信项下银行承兑汇票保证金</t>
  </si>
  <si>
    <t>国内保理项下银行承兑汇票保证金</t>
  </si>
  <si>
    <t>订单融资项下银行承兑汇票保证金</t>
  </si>
  <si>
    <t>票据质押项下银行承兑汇票保证金</t>
  </si>
  <si>
    <t>其他项下银行承兑汇票保证金</t>
  </si>
  <si>
    <t>商业承兑汇票保贴保证金</t>
  </si>
  <si>
    <t>票据质押项下商业承兑汇票保证金</t>
  </si>
  <si>
    <t>其他项下商业承兑汇票保证金</t>
  </si>
  <si>
    <t>保函保证金</t>
  </si>
  <si>
    <t>信用险项下保函保证金</t>
  </si>
  <si>
    <t>其他项下保函保证金</t>
  </si>
  <si>
    <t>信用证保证金存款</t>
  </si>
  <si>
    <t>国际信用证保证金</t>
  </si>
  <si>
    <t>担保贷款保证金存款</t>
  </si>
  <si>
    <t>楼宇按揭贷款保证金存款</t>
  </si>
  <si>
    <t>外汇交易保证金存款</t>
  </si>
  <si>
    <t>衍生金融产品保证金存款</t>
  </si>
  <si>
    <t>其他保证金存款</t>
  </si>
  <si>
    <t>国内贸融流贷保证金存款</t>
  </si>
  <si>
    <t>货押授信项下国内贸融流贷保证金</t>
  </si>
  <si>
    <t>其他项下国内贸融流贷保证金</t>
  </si>
  <si>
    <t>单位定期保证金存款</t>
  </si>
  <si>
    <t>三个月保证金存款</t>
  </si>
  <si>
    <t>国际贸易融资保证金</t>
  </si>
  <si>
    <t>六个月保证金存款</t>
  </si>
  <si>
    <t>信用险项下银行承兑汇票保证金</t>
  </si>
  <si>
    <t>一年保证金存款</t>
  </si>
  <si>
    <t>订单融资项下保函保证金</t>
  </si>
  <si>
    <t>其他国际贸易融资保证金</t>
  </si>
  <si>
    <t>财政性存款</t>
  </si>
  <si>
    <t>个人活期存款</t>
  </si>
  <si>
    <t>个人活期储蓄存款（本币）</t>
  </si>
  <si>
    <t>活期储蓄存款</t>
  </si>
  <si>
    <t>结算账户存款</t>
  </si>
  <si>
    <t>创富理财卡存款</t>
  </si>
  <si>
    <t>定利灵活账户存款（活期）</t>
  </si>
  <si>
    <t>电子银行e账户存款</t>
  </si>
  <si>
    <t>米宝业务存款</t>
  </si>
  <si>
    <t>智多薪活期存款</t>
  </si>
  <si>
    <t>个人定期存款</t>
  </si>
  <si>
    <t>个人整存整取</t>
  </si>
  <si>
    <t>三个月整存整取储蓄存款</t>
  </si>
  <si>
    <t>六个月整存整取储蓄存款</t>
  </si>
  <si>
    <t>九个月整存整取储蓄存款</t>
  </si>
  <si>
    <t>一年期整存整取储蓄存款</t>
  </si>
  <si>
    <t>二年期整存整取储蓄存款</t>
  </si>
  <si>
    <t>三年期整存整取储蓄存款</t>
  </si>
  <si>
    <t>五年期整存整取储蓄存款</t>
  </si>
  <si>
    <t>八年整存整取储蓄存款</t>
  </si>
  <si>
    <t>一个月整存整取储蓄存款</t>
  </si>
  <si>
    <t>定利灵活账户存款</t>
  </si>
  <si>
    <t>个人零存整取</t>
  </si>
  <si>
    <t>一年期零存整取储蓄存款</t>
  </si>
  <si>
    <t>三年期零存整取储蓄存款</t>
  </si>
  <si>
    <t>五年期零存整取储蓄存款</t>
  </si>
  <si>
    <t>个人存本取息</t>
  </si>
  <si>
    <t>三年期存本取息储蓄存款</t>
  </si>
  <si>
    <t>个人定活两便</t>
  </si>
  <si>
    <t>个人大额可转让定期</t>
  </si>
  <si>
    <t>个人通知存款</t>
  </si>
  <si>
    <t>1天通知储蓄存款</t>
  </si>
  <si>
    <t>7天通知储蓄存款</t>
  </si>
  <si>
    <t>悦享存存款A款</t>
  </si>
  <si>
    <t>悦享存存款B款</t>
  </si>
  <si>
    <t>智富账户通</t>
  </si>
  <si>
    <t>智富周末</t>
  </si>
  <si>
    <t>智富七天</t>
  </si>
  <si>
    <t>智富定期</t>
  </si>
  <si>
    <t>三个月智富整存整取储蓄存款</t>
  </si>
  <si>
    <t>六个月智富整存整取储蓄存款</t>
  </si>
  <si>
    <t>一年期智富整存整取储蓄存款</t>
  </si>
  <si>
    <t>二年期智富整存整取储蓄存款</t>
  </si>
  <si>
    <t>三年期智富整存整取储蓄存款</t>
  </si>
  <si>
    <t>个人其他定期存款</t>
  </si>
  <si>
    <t>个人活期保证金存款</t>
  </si>
  <si>
    <t>个人担保贷款保证金</t>
  </si>
  <si>
    <t>个人楼宇按揭贷款保证金</t>
  </si>
  <si>
    <t>其他个人保证金存款</t>
  </si>
  <si>
    <t>个人定期保证金存款</t>
  </si>
  <si>
    <t>表内信贷业务</t>
  </si>
  <si>
    <t>单位表内信贷业务</t>
  </si>
  <si>
    <t>项目贷款</t>
  </si>
  <si>
    <t>固定资产贷款</t>
  </si>
  <si>
    <t>基本建设项目贷款</t>
  </si>
  <si>
    <t>技术改造项目贷款</t>
  </si>
  <si>
    <t>三旧改造项目贷款</t>
  </si>
  <si>
    <t>经营性物业抵押贷款</t>
  </si>
  <si>
    <t>其它类项目贷款</t>
  </si>
  <si>
    <t>房地产开发贷款</t>
  </si>
  <si>
    <t>银团贷款</t>
  </si>
  <si>
    <t>并购贷款</t>
  </si>
  <si>
    <t>单位流动资金贷款</t>
  </si>
  <si>
    <t>短期流动资金贷款</t>
  </si>
  <si>
    <t>广东塑料交易所会员线上贷款</t>
  </si>
  <si>
    <t>中长期流动资金贷款</t>
  </si>
  <si>
    <t>法人按揭贷款</t>
  </si>
  <si>
    <t>房屋按揭</t>
  </si>
  <si>
    <t>设备按揭</t>
  </si>
  <si>
    <t>微小企业类贷款</t>
  </si>
  <si>
    <t>微小企业（主）贷款</t>
  </si>
  <si>
    <t>小企业（主）贷款</t>
  </si>
  <si>
    <t>国内贸易融资贷款</t>
  </si>
  <si>
    <t>货押授信项下贷款</t>
  </si>
  <si>
    <t>国内保理项下贷款</t>
  </si>
  <si>
    <t>订单融资项下贷款</t>
  </si>
  <si>
    <t>票据质押项下贷款</t>
  </si>
  <si>
    <t>其他贸融产品项下贷款</t>
  </si>
  <si>
    <t>票据融资</t>
  </si>
  <si>
    <t>银行承兑汇票贴现</t>
  </si>
  <si>
    <t>我行承兑银行承兑汇票贴现</t>
  </si>
  <si>
    <t>他行承兑银行承兑汇票贴现</t>
  </si>
  <si>
    <t>商业承兑汇票贴现</t>
  </si>
  <si>
    <t>代理银行承兑汇票贴现</t>
  </si>
  <si>
    <t>国际贸易融资</t>
  </si>
  <si>
    <t>订单/打包贷款</t>
  </si>
  <si>
    <t>出口发票融资</t>
  </si>
  <si>
    <t>出口信保融资</t>
  </si>
  <si>
    <t>进口信用证押汇</t>
  </si>
  <si>
    <t>进口T/T融资</t>
  </si>
  <si>
    <t>进口代收押汇</t>
  </si>
  <si>
    <t>垫款</t>
  </si>
  <si>
    <t>银行承兑汇票垫款</t>
  </si>
  <si>
    <t>自偿性银承贷款</t>
  </si>
  <si>
    <t>个人表内信贷业务</t>
  </si>
  <si>
    <t>购房类贷款</t>
  </si>
  <si>
    <t>一手类按揭贷款</t>
  </si>
  <si>
    <t>一手楼宇按揭贷款</t>
  </si>
  <si>
    <t>直客式一手楼宇按揭贷款</t>
  </si>
  <si>
    <t>“押旧买新”一手房贷款</t>
  </si>
  <si>
    <t>二手类按揭贷款</t>
  </si>
  <si>
    <t>二手楼宇按揭贷款</t>
  </si>
  <si>
    <t>“押旧买新”二手房贷款</t>
  </si>
  <si>
    <t>置换式个人住房贷款</t>
  </si>
  <si>
    <t>同行异名转按揭贷款</t>
  </si>
  <si>
    <t>跨行同名转（加）按揭贷款</t>
  </si>
  <si>
    <t>住房公积金组合贷款</t>
  </si>
  <si>
    <t>一手住房公积金组合贷款</t>
  </si>
  <si>
    <t>二手住房公积金组合贷款</t>
  </si>
  <si>
    <t>其它消费类贷款</t>
  </si>
  <si>
    <t>个人汽车贷款</t>
  </si>
  <si>
    <t>个人装修贷款</t>
  </si>
  <si>
    <t>城乡个人消费贷款</t>
  </si>
  <si>
    <t>“新家园”住房贷款</t>
  </si>
  <si>
    <t>定利灵活账户透支</t>
  </si>
  <si>
    <t>信用快贷</t>
  </si>
  <si>
    <t>智多薪账户透支</t>
  </si>
  <si>
    <t>生产经营类贷款</t>
  </si>
  <si>
    <t>城乡个人生产经营贷款</t>
  </si>
  <si>
    <t>其他个人贷款</t>
  </si>
  <si>
    <t>其他贷款</t>
  </si>
  <si>
    <t>小微企业（主）贷款</t>
  </si>
  <si>
    <t>林安物流会员线上贷款</t>
  </si>
  <si>
    <t>定期存款质押贷款</t>
  </si>
  <si>
    <t>定期存款质押贷款（消费）</t>
  </si>
  <si>
    <t>定期存款质押贷款（经营）</t>
  </si>
  <si>
    <t>银行承兑汇票</t>
  </si>
  <si>
    <t>资金</t>
  </si>
  <si>
    <t>存放同业</t>
  </si>
  <si>
    <t>存放境外同业款项</t>
  </si>
  <si>
    <t>活期存放境外同业款项（清算）</t>
  </si>
  <si>
    <t>同业存放</t>
  </si>
  <si>
    <t>政策性银行同业存放款项</t>
  </si>
  <si>
    <t>活期政策性银行同业存放款项</t>
  </si>
  <si>
    <t>商业银行同业存放款项</t>
  </si>
  <si>
    <t>活期商业银行同业存放款项</t>
  </si>
  <si>
    <t>定期商业银行同业存放款项</t>
  </si>
  <si>
    <t>境内外资银行同业存放款项</t>
  </si>
  <si>
    <t>活期境内外资银行同业存放款项</t>
  </si>
  <si>
    <t>集团内村镇银行同业存放款项</t>
  </si>
  <si>
    <t>活期集团内村镇银行同业存放款项</t>
  </si>
  <si>
    <t>定期集团内村镇银行同业存放款项</t>
  </si>
  <si>
    <t>证券回购</t>
  </si>
  <si>
    <t>质押式回购</t>
  </si>
  <si>
    <t>质押式正回购</t>
  </si>
  <si>
    <t>质押式逆回购</t>
  </si>
  <si>
    <t>买断式逆回购</t>
  </si>
  <si>
    <t>票据转贴</t>
  </si>
  <si>
    <t>系统外票据转贴现</t>
  </si>
  <si>
    <t>银行承兑汇票转贴现</t>
  </si>
  <si>
    <t>商业承兑汇票转贴现</t>
  </si>
  <si>
    <t>系统内票据转贴现</t>
  </si>
  <si>
    <t>系统内银行承兑汇票转贴现</t>
  </si>
  <si>
    <t>系统内商业承兑汇票转贴现</t>
  </si>
  <si>
    <t>交易类投资</t>
  </si>
  <si>
    <t>国债</t>
  </si>
  <si>
    <t>政策性金融债</t>
  </si>
  <si>
    <t>信用债</t>
  </si>
  <si>
    <t>次级债及混合资本债</t>
  </si>
  <si>
    <t>代客非保本理财</t>
  </si>
  <si>
    <t>交易性金融负债</t>
  </si>
  <si>
    <t>同业存单</t>
  </si>
  <si>
    <t>现金及银行存款</t>
  </si>
  <si>
    <t>中央银行往来</t>
  </si>
  <si>
    <t>省联社往来</t>
  </si>
  <si>
    <t>其他</t>
  </si>
  <si>
    <t>其它</t>
  </si>
  <si>
    <t>普通卡</t>
  </si>
  <si>
    <t>账户管理费收入</t>
  </si>
  <si>
    <t>信用卡业务</t>
  </si>
  <si>
    <t>信用卡透支</t>
  </si>
  <si>
    <t>个人卡透支</t>
  </si>
  <si>
    <t>标准卡</t>
  </si>
  <si>
    <t>分期付款透支</t>
  </si>
  <si>
    <t>其他透支</t>
  </si>
  <si>
    <t>金卡</t>
  </si>
  <si>
    <t>联名卡</t>
  </si>
  <si>
    <t>淘宝卡</t>
  </si>
  <si>
    <t>金逸卡</t>
  </si>
  <si>
    <t>特色卡</t>
  </si>
  <si>
    <t>创富融通卡</t>
  </si>
  <si>
    <t>幸福套卡</t>
  </si>
  <si>
    <t>高端卡</t>
  </si>
  <si>
    <t>钱钱卡</t>
  </si>
  <si>
    <t>商务卡透支</t>
  </si>
  <si>
    <t>公务卡</t>
  </si>
  <si>
    <t>信用卡存款</t>
  </si>
  <si>
    <t>个人卡存款</t>
  </si>
  <si>
    <t>商务卡存款</t>
  </si>
  <si>
    <t>股权投资</t>
  </si>
  <si>
    <t>资产管理收入</t>
  </si>
  <si>
    <t>自有资产租金收入</t>
  </si>
  <si>
    <t>其他业务</t>
  </si>
  <si>
    <t>非经营性资产及负债</t>
  </si>
  <si>
    <t>产品码为空（贷款）</t>
  </si>
  <si>
    <t>单位活期保证金存款</t>
    <phoneticPr fontId="1" type="noConversion"/>
  </si>
  <si>
    <t>单位定期保证金存款</t>
    <phoneticPr fontId="1" type="noConversion"/>
  </si>
  <si>
    <t>银行卡存款</t>
  </si>
  <si>
    <t>待结算财政款项</t>
  </si>
  <si>
    <t>结构性存款</t>
  </si>
  <si>
    <t>国库定期存款</t>
  </si>
  <si>
    <t>应解汇款</t>
  </si>
  <si>
    <t>汇出汇款</t>
  </si>
  <si>
    <t>开出本票</t>
  </si>
  <si>
    <t>保证金存款</t>
  </si>
  <si>
    <t>个人活期保证金存款</t>
    <phoneticPr fontId="1" type="noConversion"/>
  </si>
  <si>
    <t>个人定期保证金存款</t>
    <phoneticPr fontId="1" type="noConversion"/>
  </si>
  <si>
    <t>保证金存款利息支出</t>
  </si>
  <si>
    <t>单位活期银行承兑汇票保证金存款利息支出</t>
  </si>
  <si>
    <t>单位三个月银行承兑汇票保证金存款利息支出</t>
  </si>
  <si>
    <t>单位六个月银行承兑汇票保证金存款利息支出</t>
  </si>
  <si>
    <t>单位一年银行承兑汇票保证金存款利息支出</t>
  </si>
  <si>
    <t>个人活期银行承兑汇票保证金存款利息支出</t>
  </si>
  <si>
    <t>个人三个月银行承兑汇票保证金存款利息支出</t>
  </si>
  <si>
    <t>个人六个月银行承兑汇票保证金存款利息支出</t>
  </si>
  <si>
    <t>个人一年银行承兑汇票保证金存款利息支出</t>
  </si>
  <si>
    <t>单位活期担保贷款保证金存款利息支出</t>
  </si>
  <si>
    <t>单位三个月担保贷款保证金存款利息支出</t>
  </si>
  <si>
    <t>单位六个月担保贷款保证金存款利息支出</t>
  </si>
  <si>
    <t>单位一年担保贷款保证金存款利息支出</t>
  </si>
  <si>
    <t>个人活期担保贷款保证金存款利息支出</t>
  </si>
  <si>
    <t>个人三个月担保贷款保证金存款利息支出</t>
  </si>
  <si>
    <t>个人六个月担保贷款保证金存款利息支出</t>
  </si>
  <si>
    <t>个人一年担保贷款保证金存款利息支出</t>
  </si>
  <si>
    <t>单位活期保函保证金存款利息支出</t>
  </si>
  <si>
    <t>单位三个月保函保证金存款利息支出</t>
  </si>
  <si>
    <t>单位六个月保函保证金存款利息支出</t>
  </si>
  <si>
    <t>单位一年保函保证金存款利息支出</t>
  </si>
  <si>
    <t>个人活期保函保证金存款利息支出</t>
  </si>
  <si>
    <t>个人三个月保函保证金存款利息支出</t>
  </si>
  <si>
    <t>个人六个月保函保证金存款利息支出</t>
  </si>
  <si>
    <t>个人一年保函保证金存款利息支出</t>
  </si>
  <si>
    <t>单位活期信用证保证金存款利息支出</t>
  </si>
  <si>
    <t>单位三个月信用证保证金存款利息支出</t>
  </si>
  <si>
    <t>单位六个月信用证保证金存款利息支出</t>
  </si>
  <si>
    <t>单位一年信用证保证金存款利息支出</t>
  </si>
  <si>
    <t>个人活期信用证保证金存款利息支出</t>
  </si>
  <si>
    <t>个人三个月信用证保证金存款利息支出</t>
  </si>
  <si>
    <t>个人六个月信用证保证金存款利息支出</t>
  </si>
  <si>
    <t>个人一年信用证保证金存款利息支出</t>
  </si>
  <si>
    <t>单位活期楼宇按揭贷款保证金存款利息支出</t>
  </si>
  <si>
    <t>单位三个月楼宇按揭贷款保证金存款利息支出</t>
  </si>
  <si>
    <t>单位六个月楼宇按揭贷款保证金存款利息支出</t>
  </si>
  <si>
    <t>单位一年楼宇按揭贷款保证金存款利息支出</t>
  </si>
  <si>
    <t>个人活期楼宇按揭贷款保证金存款利息支出</t>
  </si>
  <si>
    <t>个人三个月楼宇按揭贷款保证金存款利息支出</t>
  </si>
  <si>
    <t>个人六个月楼宇按揭贷款保证金存款利息支出</t>
  </si>
  <si>
    <t>个人一年楼宇按揭贷款保证金存款利息支出</t>
  </si>
  <si>
    <t>单位活期外汇交易保证金存款利息支出</t>
  </si>
  <si>
    <t>单位三个月外汇交易保证金存款利息支出</t>
  </si>
  <si>
    <t>单位六个月外汇交易保证金存款利息支出</t>
  </si>
  <si>
    <t>单位一年外汇交易保证金存款利息支出</t>
  </si>
  <si>
    <t>个人活期外汇交易保证金存款利息支出</t>
  </si>
  <si>
    <t>个人三个月外汇交易保证金存款利息支出</t>
  </si>
  <si>
    <t>个人六个月外汇交易保证金存款利息支出</t>
  </si>
  <si>
    <t>个人一年外汇交易保证金存款利息支出</t>
  </si>
  <si>
    <t>单位活期衍生金融产品保证金存款利息支出</t>
  </si>
  <si>
    <t>单位三个月衍生金融产品保证金存款利息支出</t>
  </si>
  <si>
    <t>单位六个月衍生金融产品保证金存款利息支出</t>
  </si>
  <si>
    <t>单位一年衍生金融产品保证金存款利息支出</t>
  </si>
  <si>
    <t>个人活期衍生金融产品保证金存款利息支出</t>
  </si>
  <si>
    <t>个人三个月衍生金融产品保证金存款利息支出</t>
  </si>
  <si>
    <t>个人六个月衍生金融产品保证金存款利息支出</t>
  </si>
  <si>
    <t>个人一年衍生金融产品保证金存款利息支出</t>
  </si>
  <si>
    <t>单位活期其他保证金存款利息支出</t>
  </si>
  <si>
    <t>单位三个月其他保证金存款利息支出</t>
  </si>
  <si>
    <t>单位六个月其他保证金存款利息支出</t>
  </si>
  <si>
    <t>单位一年其他保证金存款利息支出</t>
  </si>
  <si>
    <t>个人活期其他保证金存款利息支出</t>
  </si>
  <si>
    <t>个人三个月其他保证金存款利息支出</t>
  </si>
  <si>
    <t>个人六个月其他保证金存款利息支出</t>
  </si>
  <si>
    <t>个人一年其他保证金存款利息支出</t>
  </si>
  <si>
    <t>科目代码</t>
  </si>
  <si>
    <t>科目名称</t>
  </si>
  <si>
    <t>现金</t>
  </si>
  <si>
    <t>  1001</t>
  </si>
  <si>
    <t>尾箱现金</t>
  </si>
  <si>
    <t>  100102</t>
  </si>
  <si>
    <t>  10010201</t>
  </si>
  <si>
    <t>自助设备占款</t>
  </si>
  <si>
    <t>  100103</t>
  </si>
  <si>
    <t>  10010301</t>
  </si>
  <si>
    <t>库存现金</t>
  </si>
  <si>
    <t>  100104</t>
  </si>
  <si>
    <t>  10010401</t>
  </si>
  <si>
    <t>存放中央银行款项</t>
  </si>
  <si>
    <t>  1002</t>
  </si>
  <si>
    <t>准备金存款</t>
  </si>
  <si>
    <t>  100201</t>
  </si>
  <si>
    <t>  10020101</t>
  </si>
  <si>
    <t>缴存财政性存款</t>
  </si>
  <si>
    <t>  100202</t>
  </si>
  <si>
    <t>  10020201</t>
  </si>
  <si>
    <t>其他存放中央银行款项</t>
  </si>
  <si>
    <t>  100299</t>
  </si>
  <si>
    <t>  10029999</t>
  </si>
  <si>
    <t>央行专项扶持资金</t>
  </si>
  <si>
    <t>  1004</t>
  </si>
  <si>
    <t>  100401</t>
  </si>
  <si>
    <t>  10040101</t>
  </si>
  <si>
    <t>存放同业款项</t>
  </si>
  <si>
    <t>  1011</t>
  </si>
  <si>
    <t>存放商业银行</t>
  </si>
  <si>
    <t>  101102</t>
  </si>
  <si>
    <t>  10110201</t>
  </si>
  <si>
    <t>  10110202</t>
  </si>
  <si>
    <t>存放商业银行其他款项</t>
  </si>
  <si>
    <t>  10110299</t>
  </si>
  <si>
    <t>  101104</t>
  </si>
  <si>
    <t>  10110401</t>
  </si>
  <si>
    <t>存放系统内款项</t>
  </si>
  <si>
    <t>  1012</t>
  </si>
  <si>
    <t>存放省联社</t>
  </si>
  <si>
    <t>  101201</t>
  </si>
  <si>
    <t>存放省联社的清算款项</t>
  </si>
  <si>
    <t>  10120101</t>
  </si>
  <si>
    <t>拆放同业款项</t>
  </si>
  <si>
    <t>  1013</t>
  </si>
  <si>
    <t>  101399</t>
  </si>
  <si>
    <t>  10139999</t>
  </si>
  <si>
    <t>存出保证金</t>
  </si>
  <si>
    <t>  1031</t>
  </si>
  <si>
    <t>  103101</t>
  </si>
  <si>
    <t>  10310101</t>
  </si>
  <si>
    <t>以公允价值计量且变动计入当期损益的金融资产</t>
  </si>
  <si>
    <t>  1101</t>
  </si>
  <si>
    <t>交易性债券资产</t>
  </si>
  <si>
    <t>  110101</t>
  </si>
  <si>
    <t>交易性债券投资-成本</t>
  </si>
  <si>
    <t>  11010101</t>
  </si>
  <si>
    <t>交易性债券投资-公允价值变动</t>
  </si>
  <si>
    <t>  11010102</t>
  </si>
  <si>
    <t>其他交易性金融资产</t>
  </si>
  <si>
    <t>  110199</t>
  </si>
  <si>
    <t>其他交易性金融资产-成本</t>
  </si>
  <si>
    <t>  11019901</t>
  </si>
  <si>
    <t>买入返售金融资产</t>
  </si>
  <si>
    <t>  1111</t>
  </si>
  <si>
    <t>质押式买入返售其他金融资产</t>
  </si>
  <si>
    <t>  111102</t>
  </si>
  <si>
    <t>质押式买入返售债券</t>
  </si>
  <si>
    <t>  11110201</t>
  </si>
  <si>
    <t>买断式买入返售票据</t>
  </si>
  <si>
    <t>  111103</t>
  </si>
  <si>
    <t>买断式买入返售票据-面值</t>
  </si>
  <si>
    <t>  11110301</t>
  </si>
  <si>
    <t>买断式买入返售票据-利息调整</t>
  </si>
  <si>
    <t>  11110302</t>
  </si>
  <si>
    <t>买断式买入返售其他金融资产</t>
  </si>
  <si>
    <t>  111104</t>
  </si>
  <si>
    <t>应收利息</t>
  </si>
  <si>
    <t>  1132</t>
  </si>
  <si>
    <t>存放中央银行款项应收利息</t>
  </si>
  <si>
    <t>  113201</t>
  </si>
  <si>
    <t>准备金存款应收利息</t>
  </si>
  <si>
    <t>  11320101</t>
  </si>
  <si>
    <t>其他存放中央银行款项应收利息</t>
  </si>
  <si>
    <t>  11320199</t>
  </si>
  <si>
    <t>存放系统内款项应收利息</t>
  </si>
  <si>
    <t>  113202</t>
  </si>
  <si>
    <t>存放省联社应收利息</t>
  </si>
  <si>
    <t>  11320201</t>
  </si>
  <si>
    <t>存放同业款项利息</t>
  </si>
  <si>
    <t>  113203</t>
  </si>
  <si>
    <t>  11320302</t>
  </si>
  <si>
    <t>  113205</t>
  </si>
  <si>
    <t>交易性金融资产应收利息</t>
  </si>
  <si>
    <t>  113207</t>
  </si>
  <si>
    <t>交易性金融资产-债券应收利息</t>
  </si>
  <si>
    <t>  11320701</t>
  </si>
  <si>
    <t>其他交易性金融资产应收利息</t>
  </si>
  <si>
    <t>  11320799</t>
  </si>
  <si>
    <t>买入返售金融资产应收利息</t>
  </si>
  <si>
    <t>  113208</t>
  </si>
  <si>
    <t>质押式买入返售金融资产应收利息</t>
  </si>
  <si>
    <t>  11320801</t>
  </si>
  <si>
    <t>买断式买入返售金融资产应收利息</t>
  </si>
  <si>
    <t>  11320802</t>
  </si>
  <si>
    <t>应收贷款利息</t>
  </si>
  <si>
    <t>  113210</t>
  </si>
  <si>
    <t>应收小额中期农户消费贷款利息</t>
  </si>
  <si>
    <t>  11321002</t>
  </si>
  <si>
    <t>应收小额长期农户消费贷款利息</t>
  </si>
  <si>
    <t>  11321003</t>
  </si>
  <si>
    <t>应收短期农户消费贷款利息</t>
  </si>
  <si>
    <t>  11321004</t>
  </si>
  <si>
    <t>应收中期农户消费贷款利息</t>
  </si>
  <si>
    <t>  11321005</t>
  </si>
  <si>
    <t>应收长期农户消费贷款利息</t>
  </si>
  <si>
    <t>  11321006</t>
  </si>
  <si>
    <t>应收小额短期农户生产经营性贷款利息</t>
  </si>
  <si>
    <t>  11321007</t>
  </si>
  <si>
    <t>应收短期农户生产经营性贷款利息</t>
  </si>
  <si>
    <t>  11321010</t>
  </si>
  <si>
    <t>应收中期农户生产经营性贷款利息</t>
  </si>
  <si>
    <t>  11321011</t>
  </si>
  <si>
    <t>应收长期农户生产经营性贷款利息</t>
  </si>
  <si>
    <t>  11321012</t>
  </si>
  <si>
    <t>应收短期农村经济组织流动资金贷款利息</t>
  </si>
  <si>
    <t>  11321013</t>
  </si>
  <si>
    <t>应收中期农村经济组织流动资金贷款利息</t>
  </si>
  <si>
    <t>  11321014</t>
  </si>
  <si>
    <t>应收中期农村经济组织固定资产贷款利息</t>
  </si>
  <si>
    <t>  11321016</t>
  </si>
  <si>
    <t>应收长期农村经济组织固定资产贷款利息</t>
  </si>
  <si>
    <t>  11321017</t>
  </si>
  <si>
    <t>应收短期农村企业流动资金贷款利息</t>
  </si>
  <si>
    <t>  11321018</t>
  </si>
  <si>
    <t>应收中期农村企业流动资金贷款利息</t>
  </si>
  <si>
    <t>  11321019</t>
  </si>
  <si>
    <t>应收短期农村企业固定资产贷款利息</t>
  </si>
  <si>
    <t>  11321020</t>
  </si>
  <si>
    <t>应收中期农村企业固定资产贷款利息</t>
  </si>
  <si>
    <t>  11321021</t>
  </si>
  <si>
    <t>应收长期农村企业固定资产贷款利息</t>
  </si>
  <si>
    <t>  11321022</t>
  </si>
  <si>
    <t>应收短期非农个人消费性贷款利息</t>
  </si>
  <si>
    <t>  11321023</t>
  </si>
  <si>
    <t>应收中期非农个人消费性贷款利息</t>
  </si>
  <si>
    <t>  11321024</t>
  </si>
  <si>
    <t>应收长期非农个人消费性贷款利息</t>
  </si>
  <si>
    <t>  11321025</t>
  </si>
  <si>
    <t>应收短期非农个人经营性贷款利息</t>
  </si>
  <si>
    <t>  11321026</t>
  </si>
  <si>
    <t>应收中期非农个人经营性贷款利息</t>
  </si>
  <si>
    <t>  11321027</t>
  </si>
  <si>
    <t>应收长期非农个人经营性贷款利息</t>
  </si>
  <si>
    <t>  11321028</t>
  </si>
  <si>
    <t>应收短期非农单位流动资金贷款利息</t>
  </si>
  <si>
    <t>  11321029</t>
  </si>
  <si>
    <t>应收中期非农单位流动资金贷款利息</t>
  </si>
  <si>
    <t>  11321030</t>
  </si>
  <si>
    <t>应收短期非农单位固定资产贷款利息</t>
  </si>
  <si>
    <t>  11321031</t>
  </si>
  <si>
    <t>应收中期非农单位固定资产贷款利息</t>
  </si>
  <si>
    <t>  11321032</t>
  </si>
  <si>
    <t>应收长期非农单位固定资产贷款利息</t>
  </si>
  <si>
    <t>  11321033</t>
  </si>
  <si>
    <t>应收短期城市企业涉农贷款利息</t>
  </si>
  <si>
    <t>  11321034</t>
  </si>
  <si>
    <t>应收中期城市企业涉农贷款利息</t>
  </si>
  <si>
    <t>  11321035</t>
  </si>
  <si>
    <t>应收长期城市企业涉农贷款利息</t>
  </si>
  <si>
    <t>  11321036</t>
  </si>
  <si>
    <t>垫款应收利息</t>
  </si>
  <si>
    <t>  113211</t>
  </si>
  <si>
    <t>银行承兑汇票垫款应收利息</t>
  </si>
  <si>
    <t>  11321102</t>
  </si>
  <si>
    <t>出口押汇垫款应收利息</t>
  </si>
  <si>
    <t>  11321105</t>
  </si>
  <si>
    <t>其他贸易融资垫款应收利息</t>
  </si>
  <si>
    <t>  11321107</t>
  </si>
  <si>
    <t>信用卡透支应收利息</t>
  </si>
  <si>
    <t>  113212</t>
  </si>
  <si>
    <t>个人信用卡透支应收利息</t>
  </si>
  <si>
    <t>  11321202</t>
  </si>
  <si>
    <t>可供出售金融资产应收利息</t>
  </si>
  <si>
    <t>  113213</t>
  </si>
  <si>
    <t>可供出售金融资产-债券应收利息</t>
  </si>
  <si>
    <t>  11321301</t>
  </si>
  <si>
    <t>持有至到期投资应收利息</t>
  </si>
  <si>
    <t>  113214</t>
  </si>
  <si>
    <t>持有至到期投资-债券应收利息</t>
  </si>
  <si>
    <t>  11321401</t>
  </si>
  <si>
    <t>应收款项类投资应收利息</t>
  </si>
  <si>
    <t>  113215</t>
  </si>
  <si>
    <t>其他应收款项类投资应收利息</t>
  </si>
  <si>
    <t>  11321599</t>
  </si>
  <si>
    <t>其他应收款</t>
  </si>
  <si>
    <t>  1221</t>
  </si>
  <si>
    <t>保证金、押金</t>
  </si>
  <si>
    <t>  122102</t>
  </si>
  <si>
    <t>  12210201</t>
  </si>
  <si>
    <t>待查错账</t>
  </si>
  <si>
    <t>  122103</t>
  </si>
  <si>
    <t>  12210301</t>
  </si>
  <si>
    <t>公务借款</t>
  </si>
  <si>
    <t>  122104</t>
  </si>
  <si>
    <t>  12210401</t>
  </si>
  <si>
    <t>代垫诉讼费</t>
  </si>
  <si>
    <t>  122106</t>
  </si>
  <si>
    <t>  12210601</t>
  </si>
  <si>
    <t>出纳短款</t>
  </si>
  <si>
    <t>  122107</t>
  </si>
  <si>
    <t>  12210701</t>
  </si>
  <si>
    <t>待结算款项</t>
  </si>
  <si>
    <t>  122109</t>
  </si>
  <si>
    <t>  12210901</t>
  </si>
  <si>
    <t>ATM短款</t>
  </si>
  <si>
    <t>  122110</t>
  </si>
  <si>
    <t>  12211001</t>
  </si>
  <si>
    <t>预付款项</t>
  </si>
  <si>
    <t>  122111</t>
  </si>
  <si>
    <t>预付其他款</t>
  </si>
  <si>
    <t>  12211102</t>
  </si>
  <si>
    <t>财务周转金</t>
  </si>
  <si>
    <t>  122115</t>
  </si>
  <si>
    <t>  12211501</t>
  </si>
  <si>
    <t>  122199</t>
  </si>
  <si>
    <t>应收案件挂账款</t>
  </si>
  <si>
    <t>  12219903</t>
  </si>
  <si>
    <t>其他应收款-其他</t>
  </si>
  <si>
    <t>  12219999</t>
  </si>
  <si>
    <t>坏账准备</t>
  </si>
  <si>
    <t>  1231</t>
  </si>
  <si>
    <t>其他应收款坏账准备</t>
  </si>
  <si>
    <t>  123104</t>
  </si>
  <si>
    <t>  12310401</t>
  </si>
  <si>
    <t>其他坏账准备</t>
  </si>
  <si>
    <t>  123199</t>
  </si>
  <si>
    <t>  12319999</t>
  </si>
  <si>
    <t>农户贷款</t>
  </si>
  <si>
    <t>  1301</t>
  </si>
  <si>
    <t>农户消费贷款</t>
  </si>
  <si>
    <t>  130101</t>
  </si>
  <si>
    <t>小额中期农户消费贷款-本金</t>
  </si>
  <si>
    <t>  13010106</t>
  </si>
  <si>
    <t>小额长期农户消费贷款-本金</t>
  </si>
  <si>
    <t>  13010111</t>
  </si>
  <si>
    <t>短期农户消费贷款-本金</t>
  </si>
  <si>
    <t>  13010116</t>
  </si>
  <si>
    <t>中期农户消费贷款-本金</t>
  </si>
  <si>
    <t>  13010121</t>
  </si>
  <si>
    <t>长期农户消费贷款-本金</t>
  </si>
  <si>
    <t>  13010126</t>
  </si>
  <si>
    <t>农户生产经营性贷款</t>
  </si>
  <si>
    <t>  130102</t>
  </si>
  <si>
    <t>小额短期农户生产经营性贷款-本金</t>
  </si>
  <si>
    <t>  13010201</t>
  </si>
  <si>
    <t>短期农户生产经营性贷款-本金</t>
  </si>
  <si>
    <t>  13010216</t>
  </si>
  <si>
    <t>中期农户生产经营性贷款-本金</t>
  </si>
  <si>
    <t>  13010221</t>
  </si>
  <si>
    <t>长期农户生产经营性贷款-本金</t>
  </si>
  <si>
    <t>  13010226</t>
  </si>
  <si>
    <t>农村经济组织贷款</t>
  </si>
  <si>
    <t>农村企业贷款</t>
  </si>
  <si>
    <t>  1303</t>
  </si>
  <si>
    <t>农村企业流动资金贷款</t>
  </si>
  <si>
    <t>  130301</t>
  </si>
  <si>
    <t>短期农村企业流动资金贷款-本金</t>
  </si>
  <si>
    <t>  13030101</t>
  </si>
  <si>
    <t>中期农村企业流动资金贷款-本金</t>
  </si>
  <si>
    <t>  13030106</t>
  </si>
  <si>
    <t>农村企业固定资产贷款</t>
  </si>
  <si>
    <t>  130302</t>
  </si>
  <si>
    <t>短期农村企业固定资产贷款-本金</t>
  </si>
  <si>
    <t>  13030201</t>
  </si>
  <si>
    <t>中期农村企业固定资产贷款-本金</t>
  </si>
  <si>
    <t>  13030206</t>
  </si>
  <si>
    <t>长期农村企业固定资产贷款-本金</t>
  </si>
  <si>
    <t>  13030211</t>
  </si>
  <si>
    <t>非农贷款</t>
  </si>
  <si>
    <t>  1304</t>
  </si>
  <si>
    <t>非农个人消费贷款</t>
  </si>
  <si>
    <t>  130401</t>
  </si>
  <si>
    <t>短期非农个人消费贷款-本金</t>
  </si>
  <si>
    <t>  13040101</t>
  </si>
  <si>
    <t>中期非农个人消费贷款-本金</t>
  </si>
  <si>
    <t>  13040106</t>
  </si>
  <si>
    <t>长期非农个人消费贷款-本金</t>
  </si>
  <si>
    <t>  13040111</t>
  </si>
  <si>
    <t>非农个人经营性贷款</t>
  </si>
  <si>
    <t>  130402</t>
  </si>
  <si>
    <t>短期非农个人经营性贷款-本金</t>
  </si>
  <si>
    <t>  13040201</t>
  </si>
  <si>
    <t>中期非农个人经营性贷款-本金</t>
  </si>
  <si>
    <t>  13040206</t>
  </si>
  <si>
    <t>长期非农个人经营性贷款-本金</t>
  </si>
  <si>
    <t>  13040211</t>
  </si>
  <si>
    <t>非农单位流动资金贷款</t>
  </si>
  <si>
    <t>  130403</t>
  </si>
  <si>
    <t>短期非农单位流动资金贷款-本金</t>
  </si>
  <si>
    <t>  13040301</t>
  </si>
  <si>
    <t>中期非农单位流动资金贷款-本金</t>
  </si>
  <si>
    <t>  13040306</t>
  </si>
  <si>
    <t>非农单位固定资产贷款</t>
  </si>
  <si>
    <t>  130404</t>
  </si>
  <si>
    <t>短期非农单位固定资产贷款-本金</t>
  </si>
  <si>
    <t>  13040401</t>
  </si>
  <si>
    <t>中期非农单位固定资产贷款-本金</t>
  </si>
  <si>
    <t>  13040406</t>
  </si>
  <si>
    <t>长期非农单位固定资产贷款-本金</t>
  </si>
  <si>
    <t>  13040411</t>
  </si>
  <si>
    <t>城市企业涉农贷款</t>
  </si>
  <si>
    <t>  130405</t>
  </si>
  <si>
    <t>短期城市企业涉农贷款-本金</t>
  </si>
  <si>
    <t>  13040501</t>
  </si>
  <si>
    <t>中期城市企业涉农贷款-本金</t>
  </si>
  <si>
    <t>  13040506</t>
  </si>
  <si>
    <t>长期城市企业涉农贷款-本金</t>
  </si>
  <si>
    <t>  13040511</t>
  </si>
  <si>
    <t>  1305</t>
  </si>
  <si>
    <t>个人信用卡透支</t>
  </si>
  <si>
    <t>  130502</t>
  </si>
  <si>
    <t>个人信用卡透支-本金</t>
  </si>
  <si>
    <t>  13050201</t>
  </si>
  <si>
    <t>个人信用卡透支-已减值</t>
  </si>
  <si>
    <t>  13050203</t>
  </si>
  <si>
    <t>个人信用卡透支-应收费用</t>
  </si>
  <si>
    <t>  13050206</t>
  </si>
  <si>
    <t>信用卡分期付款透支</t>
  </si>
  <si>
    <t>  130503</t>
  </si>
  <si>
    <t>信用卡分期付款透支-个人信用卡</t>
  </si>
  <si>
    <t>  13050301</t>
  </si>
  <si>
    <t>  130504</t>
  </si>
  <si>
    <t>个人定利灵活账户透支—本金</t>
  </si>
  <si>
    <t>  13050401</t>
  </si>
  <si>
    <t>贴现资产</t>
  </si>
  <si>
    <t>  1306</t>
  </si>
  <si>
    <t>  130603</t>
  </si>
  <si>
    <t>银行承兑汇票转贴现-面值</t>
  </si>
  <si>
    <t>  13060301</t>
  </si>
  <si>
    <t>银行承兑汇票转贴现-利息调整</t>
  </si>
  <si>
    <t>  13060302</t>
  </si>
  <si>
    <t>  130604</t>
  </si>
  <si>
    <t>商业承兑汇票转贴现-面值</t>
  </si>
  <si>
    <t>  13060401</t>
  </si>
  <si>
    <t>商业承兑汇票转贴现-利息调整</t>
  </si>
  <si>
    <t>  13060402</t>
  </si>
  <si>
    <t>银行承兑汇票系统内转贴现</t>
  </si>
  <si>
    <t>  130605</t>
  </si>
  <si>
    <t>银行承兑汇票系统内转贴现-面值</t>
  </si>
  <si>
    <t>  13060501</t>
  </si>
  <si>
    <t>银行承兑汇票系统内转贴现-利息调整</t>
  </si>
  <si>
    <t>  13060502</t>
  </si>
  <si>
    <t>商业承兑汇票系统内转贴现</t>
  </si>
  <si>
    <t>  130606</t>
  </si>
  <si>
    <t>商业承兑汇票系统内转贴现-面值</t>
  </si>
  <si>
    <t>  13060601</t>
  </si>
  <si>
    <t>商业承兑汇票系统内转贴现-利息调整</t>
  </si>
  <si>
    <t>  13060602</t>
  </si>
  <si>
    <t>贸易融资</t>
  </si>
  <si>
    <t>  1307</t>
  </si>
  <si>
    <t>进口押汇</t>
  </si>
  <si>
    <t>  130701</t>
  </si>
  <si>
    <t>进口押汇-本金</t>
  </si>
  <si>
    <t>  13070101</t>
  </si>
  <si>
    <t>其他贸易融资</t>
  </si>
  <si>
    <t>  130799</t>
  </si>
  <si>
    <t>其他贸易融资-本金</t>
  </si>
  <si>
    <t>  13079901</t>
  </si>
  <si>
    <t>  1308</t>
  </si>
  <si>
    <t>贴现垫款</t>
  </si>
  <si>
    <t>  130801</t>
  </si>
  <si>
    <t>贴现垫款-本金</t>
  </si>
  <si>
    <t>  13080101</t>
  </si>
  <si>
    <t>  130802</t>
  </si>
  <si>
    <t>银行承兑汇票垫款-本金</t>
  </si>
  <si>
    <t>  13080201</t>
  </si>
  <si>
    <t>贷款损失准备</t>
  </si>
  <si>
    <t>  1309</t>
  </si>
  <si>
    <t>组合计提专项准备</t>
  </si>
  <si>
    <t>  130902</t>
  </si>
  <si>
    <t>组合计提贷款专项准备-对公贷款</t>
  </si>
  <si>
    <t>  13090201</t>
  </si>
  <si>
    <t>组合计提贷款专项准备-信用卡</t>
  </si>
  <si>
    <t>  13090204</t>
  </si>
  <si>
    <t>组合计提贷款专项准备-其他</t>
  </si>
  <si>
    <t>  13090299</t>
  </si>
  <si>
    <t>代理业务资产</t>
  </si>
  <si>
    <t>  1321</t>
  </si>
  <si>
    <t>代理业务资产-代客理财</t>
  </si>
  <si>
    <t>  132101</t>
  </si>
  <si>
    <t>代理业务资产-代客理财-本金</t>
  </si>
  <si>
    <t>  13210101</t>
  </si>
  <si>
    <t>  13210102</t>
  </si>
  <si>
    <t>委托贷款</t>
  </si>
  <si>
    <t>  132102</t>
  </si>
  <si>
    <t>政府委托贷款-本金</t>
  </si>
  <si>
    <t>  13210201</t>
  </si>
  <si>
    <t>公积金委托贷款-本金</t>
  </si>
  <si>
    <t>  13210203</t>
  </si>
  <si>
    <t>企业委托贷款-本金</t>
  </si>
  <si>
    <t>  13210205</t>
  </si>
  <si>
    <t>其他委托贷款-本金</t>
  </si>
  <si>
    <t>  13210207</t>
  </si>
  <si>
    <t>现金管理业务委托贷款-本金</t>
  </si>
  <si>
    <t>  13210209</t>
  </si>
  <si>
    <t>  132103</t>
  </si>
  <si>
    <t>银团贷款-本金</t>
  </si>
  <si>
    <t>  13210301</t>
  </si>
  <si>
    <t>抵债资产</t>
  </si>
  <si>
    <t>  1441</t>
  </si>
  <si>
    <t>抵债资产-房屋及建筑物</t>
  </si>
  <si>
    <t>  144101</t>
  </si>
  <si>
    <t>  14410101</t>
  </si>
  <si>
    <t>抵债资产-土地使用权</t>
  </si>
  <si>
    <t>  144102</t>
  </si>
  <si>
    <t>  14410201</t>
  </si>
  <si>
    <t>抵债资产-交通工具</t>
  </si>
  <si>
    <t>  144103</t>
  </si>
  <si>
    <t>  14410301</t>
  </si>
  <si>
    <t>抵债资产减值准备</t>
  </si>
  <si>
    <t>  1442</t>
  </si>
  <si>
    <t>抵债资产减值准备-房屋及建筑物</t>
  </si>
  <si>
    <t>  144201</t>
  </si>
  <si>
    <t>  14420101</t>
  </si>
  <si>
    <t>抵债资产减值准备-土地使用权</t>
  </si>
  <si>
    <t>  144202</t>
  </si>
  <si>
    <t>  14420201</t>
  </si>
  <si>
    <t>抵债资产减值准备-交通工具</t>
  </si>
  <si>
    <t>  144203</t>
  </si>
  <si>
    <t>  14420301</t>
  </si>
  <si>
    <t>持有至到期投资</t>
  </si>
  <si>
    <t>  1501</t>
  </si>
  <si>
    <t>持有至到期债券</t>
  </si>
  <si>
    <t>  150101</t>
  </si>
  <si>
    <t>持有至到期债券-成本</t>
  </si>
  <si>
    <t>  15010101</t>
  </si>
  <si>
    <t>持有至到期债券-利息调整</t>
  </si>
  <si>
    <t>  15010102</t>
  </si>
  <si>
    <t>可供出售金融资产</t>
  </si>
  <si>
    <t>  1503</t>
  </si>
  <si>
    <t>可供出售债券</t>
  </si>
  <si>
    <t>  150301</t>
  </si>
  <si>
    <t>可供出售债券-成本</t>
  </si>
  <si>
    <t>  15030101</t>
  </si>
  <si>
    <t>可供出售债券-利息调整</t>
  </si>
  <si>
    <t>  15030102</t>
  </si>
  <si>
    <t>可供出售债券-公允价值变动</t>
  </si>
  <si>
    <t>  15030104</t>
  </si>
  <si>
    <t>其他可供出售金融资产</t>
  </si>
  <si>
    <t>  150399</t>
  </si>
  <si>
    <t>其他可供出售金融资产-成本</t>
  </si>
  <si>
    <t>  15039901</t>
  </si>
  <si>
    <t>长期股权投资</t>
  </si>
  <si>
    <t>  1511</t>
  </si>
  <si>
    <t>投资性房地产原值</t>
  </si>
  <si>
    <t>  1521</t>
  </si>
  <si>
    <t>投资性房地产原值-房屋</t>
  </si>
  <si>
    <t>  152101</t>
  </si>
  <si>
    <t>  15210101</t>
  </si>
  <si>
    <t>投资性房地产累计折旧（摊销）</t>
  </si>
  <si>
    <t>  1522</t>
  </si>
  <si>
    <t>投资性房地产累计折旧-房屋</t>
  </si>
  <si>
    <t>  152201</t>
  </si>
  <si>
    <t>  15220101</t>
  </si>
  <si>
    <t>应收款项类投资</t>
  </si>
  <si>
    <t>  1531</t>
  </si>
  <si>
    <t>其他应收款项类投资</t>
  </si>
  <si>
    <t>  153199</t>
  </si>
  <si>
    <t>其他应收款项类投资-本金</t>
  </si>
  <si>
    <t>  15319901</t>
  </si>
  <si>
    <t>其他应收款项类投资-应计利息</t>
  </si>
  <si>
    <t>  15319903</t>
  </si>
  <si>
    <t>固定资产原值</t>
  </si>
  <si>
    <t>  1601</t>
  </si>
  <si>
    <t>  160101</t>
  </si>
  <si>
    <t>  16010101</t>
  </si>
  <si>
    <t>固定资产累计折旧</t>
  </si>
  <si>
    <t>  1602</t>
  </si>
  <si>
    <t>  160201</t>
  </si>
  <si>
    <t>  16020101</t>
  </si>
  <si>
    <t>在建工程</t>
  </si>
  <si>
    <t>  1604</t>
  </si>
  <si>
    <t>  160401</t>
  </si>
  <si>
    <t>  16040101</t>
  </si>
  <si>
    <t>固定资产清理</t>
  </si>
  <si>
    <t>  1606</t>
  </si>
  <si>
    <t>  160601</t>
  </si>
  <si>
    <t>  16060101</t>
  </si>
  <si>
    <t>16A101</t>
  </si>
  <si>
    <t>实物资产采购</t>
  </si>
  <si>
    <t>  16A101</t>
  </si>
  <si>
    <t>16A10101</t>
  </si>
  <si>
    <t>  16A10101</t>
  </si>
  <si>
    <t>16A102</t>
  </si>
  <si>
    <t>长期待摊费用</t>
  </si>
  <si>
    <t>  16A102</t>
  </si>
  <si>
    <t>16A10201</t>
  </si>
  <si>
    <t>  16A10201</t>
  </si>
  <si>
    <t>16A104</t>
  </si>
  <si>
    <t>在建工程采购</t>
  </si>
  <si>
    <t>  16A104</t>
  </si>
  <si>
    <t>16A10401</t>
  </si>
  <si>
    <t>  16A10401</t>
  </si>
  <si>
    <t>无形资产原值</t>
  </si>
  <si>
    <t>  1701</t>
  </si>
  <si>
    <t>  170101</t>
  </si>
  <si>
    <t>  17010101</t>
  </si>
  <si>
    <t>无形资产累计摊销</t>
  </si>
  <si>
    <t>  1702</t>
  </si>
  <si>
    <t>  170201</t>
  </si>
  <si>
    <t>  17020101</t>
  </si>
  <si>
    <t>  1801</t>
  </si>
  <si>
    <t>  180101</t>
  </si>
  <si>
    <t>  18010101</t>
  </si>
  <si>
    <t>递延所得税资产</t>
  </si>
  <si>
    <t>  1811</t>
  </si>
  <si>
    <t>递延所得税资产-其他</t>
  </si>
  <si>
    <t>  181199</t>
  </si>
  <si>
    <t>  18119999</t>
  </si>
  <si>
    <t>待处理财产损溢</t>
  </si>
  <si>
    <t>  1901</t>
  </si>
  <si>
    <t>待处理流动资产损溢</t>
  </si>
  <si>
    <t>  190101</t>
  </si>
  <si>
    <t>  19010101</t>
  </si>
  <si>
    <t>待处理固定资产损溢</t>
  </si>
  <si>
    <t>  190102</t>
  </si>
  <si>
    <t>  19010201</t>
  </si>
  <si>
    <t>   </t>
  </si>
  <si>
    <t>  2001</t>
  </si>
  <si>
    <t>  200101</t>
  </si>
  <si>
    <t>单位活期存款本金</t>
  </si>
  <si>
    <t>  20010101</t>
  </si>
  <si>
    <t>  2002</t>
  </si>
  <si>
    <t>单位双整存款</t>
  </si>
  <si>
    <t>  200201</t>
  </si>
  <si>
    <t>单位三个月双整存款本金</t>
  </si>
  <si>
    <t>  20020103</t>
  </si>
  <si>
    <t>单位六个月双整存款本金</t>
  </si>
  <si>
    <t>  20020105</t>
  </si>
  <si>
    <t>单位一年双整存款本金</t>
  </si>
  <si>
    <t>  20020109</t>
  </si>
  <si>
    <t>单位两年双整存款本金</t>
  </si>
  <si>
    <t>  20020111</t>
  </si>
  <si>
    <t>单位三年双整存款本金</t>
  </si>
  <si>
    <t>  20020113</t>
  </si>
  <si>
    <t>单位五年双整存款本金</t>
  </si>
  <si>
    <t>  20020115</t>
  </si>
  <si>
    <t>  200202</t>
  </si>
  <si>
    <t>单位协议存款本金</t>
  </si>
  <si>
    <t>  20020201</t>
  </si>
  <si>
    <t>单位通知存款</t>
  </si>
  <si>
    <t>  200203</t>
  </si>
  <si>
    <t>单位通知存款本金</t>
  </si>
  <si>
    <t>  20020301</t>
  </si>
  <si>
    <t>  2003</t>
  </si>
  <si>
    <t>个人活期储蓄存款</t>
  </si>
  <si>
    <t>  200301</t>
  </si>
  <si>
    <t>个人活期储蓄存款本金</t>
  </si>
  <si>
    <t>  20030101</t>
  </si>
  <si>
    <t>个人活期储蓄存款本金（特殊类）</t>
  </si>
  <si>
    <t>  20030103</t>
  </si>
  <si>
    <t>个人结算账户存款</t>
  </si>
  <si>
    <t>  200302</t>
  </si>
  <si>
    <t>个人结算账户存款本金</t>
  </si>
  <si>
    <t>  20030201</t>
  </si>
  <si>
    <t>  2004</t>
  </si>
  <si>
    <t>个人整存整取储蓄存款</t>
  </si>
  <si>
    <t>  200401</t>
  </si>
  <si>
    <t>个人一个月整存整取储蓄存款本金</t>
  </si>
  <si>
    <t>  20040101</t>
  </si>
  <si>
    <t>个人三个月整存整取储蓄存款本金</t>
  </si>
  <si>
    <t>  20040103</t>
  </si>
  <si>
    <t>个人六个月整存整取储蓄存款本金</t>
  </si>
  <si>
    <t>  20040105</t>
  </si>
  <si>
    <t>个人九个月整存整取储蓄存款本金</t>
  </si>
  <si>
    <t>  20040107</t>
  </si>
  <si>
    <t>个人一年整存整取储蓄存款本金</t>
  </si>
  <si>
    <t>  20040109</t>
  </si>
  <si>
    <t>个人两年整存整取储蓄存款本金</t>
  </si>
  <si>
    <t>  20040111</t>
  </si>
  <si>
    <t>个人三年整存整取储蓄存款本金</t>
  </si>
  <si>
    <t>  20040113</t>
  </si>
  <si>
    <t>个人五年整存整取储蓄存款本金</t>
  </si>
  <si>
    <t>  20040115</t>
  </si>
  <si>
    <t>个人八年整存整取储蓄存款本金</t>
  </si>
  <si>
    <t>  20040117</t>
  </si>
  <si>
    <t>个人零存整取定期储蓄存款</t>
  </si>
  <si>
    <t>  200402</t>
  </si>
  <si>
    <t>个人一年零存整取储蓄存款本金</t>
  </si>
  <si>
    <t>  20040201</t>
  </si>
  <si>
    <t>个人三年零存整取储蓄存款本金</t>
  </si>
  <si>
    <t>  20040203</t>
  </si>
  <si>
    <t>个人五年零存整取储蓄存款本金</t>
  </si>
  <si>
    <t>  20040205</t>
  </si>
  <si>
    <t>个人存本取息储蓄存款</t>
  </si>
  <si>
    <t>  200403</t>
  </si>
  <si>
    <t>个人三年存本取息储蓄存款本金</t>
  </si>
  <si>
    <t>  20040303</t>
  </si>
  <si>
    <t>个人通知储蓄存款</t>
  </si>
  <si>
    <t>  200406</t>
  </si>
  <si>
    <t>个人通知储蓄存款本金</t>
  </si>
  <si>
    <t>  20040601</t>
  </si>
  <si>
    <t>个人定活两便储蓄存款</t>
  </si>
  <si>
    <t>  200407</t>
  </si>
  <si>
    <t>个人定活两便储蓄存款本金</t>
  </si>
  <si>
    <t>  20040701</t>
  </si>
  <si>
    <t>个人定期存款（特殊类）</t>
  </si>
  <si>
    <t>  200408</t>
  </si>
  <si>
    <t>  20040801</t>
  </si>
  <si>
    <t>  200499</t>
  </si>
  <si>
    <t>个人其他定期存款本金</t>
  </si>
  <si>
    <t>  20049901</t>
  </si>
  <si>
    <t>  2005</t>
  </si>
  <si>
    <t>个人银行卡活期存款</t>
  </si>
  <si>
    <t>  200503</t>
  </si>
  <si>
    <t>个人贷记卡溢缴存款本金</t>
  </si>
  <si>
    <t>  20050303</t>
  </si>
  <si>
    <t>电子现金存款</t>
  </si>
  <si>
    <t>  200505</t>
  </si>
  <si>
    <t>个人IC卡电子现金存款本金</t>
  </si>
  <si>
    <t>  20050501</t>
  </si>
  <si>
    <t>个人IC卡电子现金补登账户</t>
  </si>
  <si>
    <t>  20050502</t>
  </si>
  <si>
    <t>个人信用IC卡电子现金存款本金</t>
  </si>
  <si>
    <t>  20050503</t>
  </si>
  <si>
    <t>  2006</t>
  </si>
  <si>
    <t>  200601</t>
  </si>
  <si>
    <t>财政性存款本金</t>
  </si>
  <si>
    <t>  20060101</t>
  </si>
  <si>
    <t>  2007</t>
  </si>
  <si>
    <t>  200701</t>
  </si>
  <si>
    <t>待结算财政款项本金</t>
  </si>
  <si>
    <t>  20070101</t>
  </si>
  <si>
    <t>  2008</t>
  </si>
  <si>
    <t>单位定期结构性存款</t>
  </si>
  <si>
    <t>  200802</t>
  </si>
  <si>
    <t>单位定期结构性存款本金</t>
  </si>
  <si>
    <t>  20080201</t>
  </si>
  <si>
    <t>个人定期结构性存款</t>
  </si>
  <si>
    <t>  200804</t>
  </si>
  <si>
    <t>个人定期结构性存款本金</t>
  </si>
  <si>
    <t>  20080401</t>
  </si>
  <si>
    <t>  2009</t>
  </si>
  <si>
    <t>  200901</t>
  </si>
  <si>
    <t>国库定期存款本金</t>
  </si>
  <si>
    <t>  20090101</t>
  </si>
  <si>
    <t>  2011</t>
  </si>
  <si>
    <t>应解汇款-银行承兑汇票</t>
  </si>
  <si>
    <t>  201102</t>
  </si>
  <si>
    <t>  20110201</t>
  </si>
  <si>
    <t>结算应解汇款</t>
  </si>
  <si>
    <t>  201104</t>
  </si>
  <si>
    <t>  20110401</t>
  </si>
  <si>
    <t>应解汇款-其他</t>
  </si>
  <si>
    <t>  201199</t>
  </si>
  <si>
    <t>  20119999</t>
  </si>
  <si>
    <t>  2012</t>
  </si>
  <si>
    <t>  201201</t>
  </si>
  <si>
    <t>应销记汇出汇款</t>
  </si>
  <si>
    <t>  20120101</t>
  </si>
  <si>
    <t>  2014</t>
  </si>
  <si>
    <t>银行承兑汇票保证金存款</t>
  </si>
  <si>
    <t>  201401</t>
  </si>
  <si>
    <t>单位活期银行承兑汇票保证金存款本金</t>
  </si>
  <si>
    <t>  20140101</t>
  </si>
  <si>
    <t>单位三个月银行承兑汇票保证金存款本金</t>
  </si>
  <si>
    <t>  20140103</t>
  </si>
  <si>
    <t>单位六个月银行承兑汇票保证金存款本金</t>
  </si>
  <si>
    <t>  20140105</t>
  </si>
  <si>
    <t>单位一年银行承兑汇票保证金存款本金</t>
  </si>
  <si>
    <t>  20140107</t>
  </si>
  <si>
    <t>  201402</t>
  </si>
  <si>
    <t>单位活期担保贷款保证金存款本金</t>
  </si>
  <si>
    <t>  20140201</t>
  </si>
  <si>
    <t>单位三个月担保贷款保证金存款本金</t>
  </si>
  <si>
    <t>  20140203</t>
  </si>
  <si>
    <t>单位六个月担保贷款保证金存款本金</t>
  </si>
  <si>
    <t>  20140205</t>
  </si>
  <si>
    <t>单位一年担保贷款保证金存款本金</t>
  </si>
  <si>
    <t>  20140207</t>
  </si>
  <si>
    <t>个人活期担保贷款保证金存款本金</t>
  </si>
  <si>
    <t>  20140209</t>
  </si>
  <si>
    <t>个人三个月担保贷款保证金存款本金</t>
  </si>
  <si>
    <t>  20140211</t>
  </si>
  <si>
    <t>个人六个月担保贷款保证金存款本金</t>
  </si>
  <si>
    <t>  20140213</t>
  </si>
  <si>
    <t>个人一年担保贷款保证金存款本金</t>
  </si>
  <si>
    <t>  20140215</t>
  </si>
  <si>
    <t>保函保证金存款</t>
  </si>
  <si>
    <t>  201403</t>
  </si>
  <si>
    <t>单位活期保函保证金存款本金</t>
  </si>
  <si>
    <t>  20140301</t>
  </si>
  <si>
    <t>单位三个月保函保证金存款本金</t>
  </si>
  <si>
    <t>  20140303</t>
  </si>
  <si>
    <t>单位六个月保函保证金存款本金</t>
  </si>
  <si>
    <t>  20140305</t>
  </si>
  <si>
    <t>单位一年保函保证金存款本金</t>
  </si>
  <si>
    <t>  20140307</t>
  </si>
  <si>
    <t>  201404</t>
  </si>
  <si>
    <t>单位活期信用证保证金存款本金</t>
  </si>
  <si>
    <t>  20140401</t>
  </si>
  <si>
    <t>单位三个月信用证保证金存款本金</t>
  </si>
  <si>
    <t>  20140403</t>
  </si>
  <si>
    <t>单位六个月信用证保证金存款本金</t>
  </si>
  <si>
    <t>  20140405</t>
  </si>
  <si>
    <t>单位一年信用证保证金存款本金</t>
  </si>
  <si>
    <t>  20140407</t>
  </si>
  <si>
    <t>  201405</t>
  </si>
  <si>
    <t>单位活期楼宇按揭贷款保证金存款本金</t>
  </si>
  <si>
    <t>  20140501</t>
  </si>
  <si>
    <t>  201406</t>
  </si>
  <si>
    <t>单位活期外汇交易保证金存款本金</t>
  </si>
  <si>
    <t>  20140601</t>
  </si>
  <si>
    <t>  201407</t>
  </si>
  <si>
    <t>单位活期衍生金融产品保证金存款本金</t>
  </si>
  <si>
    <t>  20140701</t>
  </si>
  <si>
    <t>  201499</t>
  </si>
  <si>
    <t>单位活期其他保证金存款本金</t>
  </si>
  <si>
    <t>  20149901</t>
  </si>
  <si>
    <t>单位三个月其他保证金存款本金</t>
  </si>
  <si>
    <t>  20149903</t>
  </si>
  <si>
    <t>单位六个月其他保证金存款本金</t>
  </si>
  <si>
    <t>  20149905</t>
  </si>
  <si>
    <t>单位一年其他保证金存款本金</t>
  </si>
  <si>
    <t>  20149907</t>
  </si>
  <si>
    <t>个人活期其他保证金存款本金</t>
  </si>
  <si>
    <t>  20149909</t>
  </si>
  <si>
    <t>个人六个月其他保证金存款本金</t>
  </si>
  <si>
    <t>  20149913</t>
  </si>
  <si>
    <t>个人一年其他保证金存款本金</t>
  </si>
  <si>
    <t>  20149915</t>
  </si>
  <si>
    <t>央行拨付专项票据资金</t>
  </si>
  <si>
    <t>  2016</t>
  </si>
  <si>
    <t>  201601</t>
  </si>
  <si>
    <t>  20160101</t>
  </si>
  <si>
    <t>同业存放款项</t>
  </si>
  <si>
    <t>  2017</t>
  </si>
  <si>
    <t>商业银行存放</t>
  </si>
  <si>
    <t>  201702</t>
  </si>
  <si>
    <t>定期商业银行存放本金</t>
  </si>
  <si>
    <t>  20170203</t>
  </si>
  <si>
    <t>集团内村镇银行存放</t>
  </si>
  <si>
    <t>  201705</t>
  </si>
  <si>
    <t>活期集团内村镇银行存放本金</t>
  </si>
  <si>
    <t>  20170501</t>
  </si>
  <si>
    <t>定期集团内村镇银行存放本金</t>
  </si>
  <si>
    <t>  20170503</t>
  </si>
  <si>
    <t>  201799</t>
  </si>
  <si>
    <t>  20179901</t>
  </si>
  <si>
    <t>系统内存放款项</t>
  </si>
  <si>
    <t>信用社存放</t>
  </si>
  <si>
    <t>同业拆入资金</t>
  </si>
  <si>
    <t>  2019</t>
  </si>
  <si>
    <t>卖出回购金融资产款</t>
  </si>
  <si>
    <t>  2111</t>
  </si>
  <si>
    <t>质押式卖出回购其他金融资产</t>
  </si>
  <si>
    <t>  211102</t>
  </si>
  <si>
    <t>质押式卖出回购债券</t>
  </si>
  <si>
    <t>  21110201</t>
  </si>
  <si>
    <t>应付职工薪酬</t>
  </si>
  <si>
    <t>  2211</t>
  </si>
  <si>
    <t>应付工资</t>
  </si>
  <si>
    <t>  221101</t>
  </si>
  <si>
    <t>应付绩效工资</t>
  </si>
  <si>
    <t>  22110102</t>
  </si>
  <si>
    <t>应付社会保险费</t>
  </si>
  <si>
    <t>  221103</t>
  </si>
  <si>
    <t>应付基本养老保险</t>
  </si>
  <si>
    <t>  22110301</t>
  </si>
  <si>
    <t>应付基本医疗保险</t>
  </si>
  <si>
    <t>  22110302</t>
  </si>
  <si>
    <t>应付失业保险</t>
  </si>
  <si>
    <t>  22110303</t>
  </si>
  <si>
    <t>应付工伤保险</t>
  </si>
  <si>
    <t>  22110304</t>
  </si>
  <si>
    <t>应付生育保险</t>
  </si>
  <si>
    <t>  22110305</t>
  </si>
  <si>
    <t>应付其他社会保险费</t>
  </si>
  <si>
    <t>  22110399</t>
  </si>
  <si>
    <t>应付工会经费</t>
  </si>
  <si>
    <t>  221104</t>
  </si>
  <si>
    <t>  22110401</t>
  </si>
  <si>
    <t>应付职工教育经费</t>
  </si>
  <si>
    <t>  221105</t>
  </si>
  <si>
    <t>  22110501</t>
  </si>
  <si>
    <t>应付住房公积金</t>
  </si>
  <si>
    <t>  221106</t>
  </si>
  <si>
    <t>  22110601</t>
  </si>
  <si>
    <t>应付补充养老保险费（企业年金）</t>
  </si>
  <si>
    <t>  221107</t>
  </si>
  <si>
    <t>应付企业年金</t>
  </si>
  <si>
    <t>  22110701</t>
  </si>
  <si>
    <t>应付补充医疗保险费</t>
  </si>
  <si>
    <t>  221108</t>
  </si>
  <si>
    <t>  22110801</t>
  </si>
  <si>
    <t>应付辞退福利</t>
  </si>
  <si>
    <t>  221111</t>
  </si>
  <si>
    <t>  22111101</t>
  </si>
  <si>
    <t>应付其他职工薪酬</t>
  </si>
  <si>
    <t>  221199</t>
  </si>
  <si>
    <t>  22119999</t>
  </si>
  <si>
    <t>应交税费</t>
  </si>
  <si>
    <t>  2221</t>
  </si>
  <si>
    <t>应交营业税及附加</t>
  </si>
  <si>
    <t>  222101</t>
  </si>
  <si>
    <t>应交教育费附加</t>
  </si>
  <si>
    <t>  22210102</t>
  </si>
  <si>
    <t>应交城市维护建设费</t>
  </si>
  <si>
    <t>  22210103</t>
  </si>
  <si>
    <t>应交企业所得税</t>
  </si>
  <si>
    <t>  222102</t>
  </si>
  <si>
    <t>  22210201</t>
  </si>
  <si>
    <t>应交土地使用税</t>
  </si>
  <si>
    <t>  222103</t>
  </si>
  <si>
    <t>  22210301</t>
  </si>
  <si>
    <t>应交房产税</t>
  </si>
  <si>
    <t>  222104</t>
  </si>
  <si>
    <t>  22210401</t>
  </si>
  <si>
    <t>应交堤围防护费</t>
  </si>
  <si>
    <t>  222106</t>
  </si>
  <si>
    <t>  22210601</t>
  </si>
  <si>
    <t>应交代扣代缴税款</t>
  </si>
  <si>
    <t>  222107</t>
  </si>
  <si>
    <t>应交代扣个人所得税</t>
  </si>
  <si>
    <t>  22210701</t>
  </si>
  <si>
    <t>应交代扣利息税</t>
  </si>
  <si>
    <t>  22210703</t>
  </si>
  <si>
    <t>应交代扣其他税</t>
  </si>
  <si>
    <t>  22210799</t>
  </si>
  <si>
    <t>应交其他税费</t>
  </si>
  <si>
    <t>  222199</t>
  </si>
  <si>
    <t>应交印花税</t>
  </si>
  <si>
    <t>  22219901</t>
  </si>
  <si>
    <t>  22219999</t>
  </si>
  <si>
    <t>应付利息</t>
  </si>
  <si>
    <t>  2231</t>
  </si>
  <si>
    <t>同业存放款项应付利息</t>
  </si>
  <si>
    <t>  223103</t>
  </si>
  <si>
    <t>定期商业银行存放应付利息</t>
  </si>
  <si>
    <t>  22310304</t>
  </si>
  <si>
    <t>活期集团内村镇银行存放应付利息</t>
  </si>
  <si>
    <t>  22310309</t>
  </si>
  <si>
    <t>定期集团内村镇银行存放应付利息</t>
  </si>
  <si>
    <t>  22310310</t>
  </si>
  <si>
    <t>  22310313</t>
  </si>
  <si>
    <t>同业拆入资金应付利息</t>
  </si>
  <si>
    <t>  223105</t>
  </si>
  <si>
    <t>卖出回购金融资产款应付利息</t>
  </si>
  <si>
    <t>  223106</t>
  </si>
  <si>
    <t>质押式卖出回购金融资产应付利息</t>
  </si>
  <si>
    <t>  22310601</t>
  </si>
  <si>
    <t>应付单位活期存款利息</t>
  </si>
  <si>
    <t>  223107</t>
  </si>
  <si>
    <t>  22310701</t>
  </si>
  <si>
    <t>应付个人活期存款利息</t>
  </si>
  <si>
    <t>  223108</t>
  </si>
  <si>
    <t>应付活期储蓄存款利息</t>
  </si>
  <si>
    <t>  22310801</t>
  </si>
  <si>
    <t>应付结算账户存款利息</t>
  </si>
  <si>
    <t>  22310802</t>
  </si>
  <si>
    <t>应付单位定期存款利息</t>
  </si>
  <si>
    <t>  223109</t>
  </si>
  <si>
    <t>应付单位三个月双整存款利息</t>
  </si>
  <si>
    <t>  22310902</t>
  </si>
  <si>
    <t>应付单位六个月双整存款利息</t>
  </si>
  <si>
    <t>  22310903</t>
  </si>
  <si>
    <t>应付单位一年双整存款利息</t>
  </si>
  <si>
    <t>  22310905</t>
  </si>
  <si>
    <t>应付单位两年双整存款利息</t>
  </si>
  <si>
    <t>  22310906</t>
  </si>
  <si>
    <t>应付单位三年双整存款利息</t>
  </si>
  <si>
    <t>  22310907</t>
  </si>
  <si>
    <t>应付单位五年双整存款利息</t>
  </si>
  <si>
    <t>  22310908</t>
  </si>
  <si>
    <t>应付协议存款利息</t>
  </si>
  <si>
    <t>  22310909</t>
  </si>
  <si>
    <t>应付通知存款利息</t>
  </si>
  <si>
    <t>  22310910</t>
  </si>
  <si>
    <t>应付定期储蓄存款利息</t>
  </si>
  <si>
    <t>  223110</t>
  </si>
  <si>
    <t>应付个人一个月整存整取储蓄存款利息</t>
  </si>
  <si>
    <t>  22311001</t>
  </si>
  <si>
    <t>应付个人三个月整存整取储蓄存款利息</t>
  </si>
  <si>
    <t>  22311002</t>
  </si>
  <si>
    <t>应付个人六个月整存整取储蓄存款利息</t>
  </si>
  <si>
    <t>  22311003</t>
  </si>
  <si>
    <t>应付个人九个月整存整取储蓄存款利息</t>
  </si>
  <si>
    <t>  22311004</t>
  </si>
  <si>
    <t>应付个人一年整存整取储蓄存款利息</t>
  </si>
  <si>
    <t>  22311005</t>
  </si>
  <si>
    <t>应付个人两年整存整取储蓄存款利息</t>
  </si>
  <si>
    <t>  22311006</t>
  </si>
  <si>
    <t>应付个人三年整存整取储蓄存款利息</t>
  </si>
  <si>
    <t>  22311007</t>
  </si>
  <si>
    <t>应付个人五年整存整取储蓄存款利息</t>
  </si>
  <si>
    <t>  22311008</t>
  </si>
  <si>
    <t>应付个人八年整存整取储蓄存款利息</t>
  </si>
  <si>
    <t>  22311009</t>
  </si>
  <si>
    <t>应付个人一年零存整取储蓄存款利息</t>
  </si>
  <si>
    <t>  22311010</t>
  </si>
  <si>
    <t>应付个人三年零存整取储蓄存款利息</t>
  </si>
  <si>
    <t>  22311011</t>
  </si>
  <si>
    <t>应付个人五年零存整取储蓄存款利息</t>
  </si>
  <si>
    <t>  22311012</t>
  </si>
  <si>
    <t>应付个人三年存本取息储蓄存款利息</t>
  </si>
  <si>
    <t>  22311014</t>
  </si>
  <si>
    <t>  22311022</t>
  </si>
  <si>
    <t>应付定活两便存款利息</t>
  </si>
  <si>
    <t>  22311023</t>
  </si>
  <si>
    <t>应付财政性存款利息</t>
  </si>
  <si>
    <t>  223111</t>
  </si>
  <si>
    <t>  22311101</t>
  </si>
  <si>
    <t>应付保证金存款利息</t>
  </si>
  <si>
    <t>  223114</t>
  </si>
  <si>
    <t>应付单位活期银行承兑汇票保证金存款利息</t>
  </si>
  <si>
    <t>  22311401</t>
  </si>
  <si>
    <t>应付单位三个月银行承兑汇票保证金存款利息</t>
  </si>
  <si>
    <t>  22311402</t>
  </si>
  <si>
    <t>应付单位六个月银行承兑汇票保证金存款利息</t>
  </si>
  <si>
    <t>  22311403</t>
  </si>
  <si>
    <t>应付单位一年银行承兑汇票保证金存款利息</t>
  </si>
  <si>
    <t>  22311404</t>
  </si>
  <si>
    <t>应付单位活期担保贷款保证金存款利息</t>
  </si>
  <si>
    <t>  22311409</t>
  </si>
  <si>
    <t>应付单位三个月担保贷款保证金存款利息</t>
  </si>
  <si>
    <t>  22311410</t>
  </si>
  <si>
    <t>应付单位六个月担保贷款保证金存款利息</t>
  </si>
  <si>
    <t>  22311411</t>
  </si>
  <si>
    <t>应付单位一年担保贷款保证金存款利息</t>
  </si>
  <si>
    <t>  22311412</t>
  </si>
  <si>
    <t>应付个人活期担保贷款保证金存款利息</t>
  </si>
  <si>
    <t>  22311413</t>
  </si>
  <si>
    <t>应付个人三个月担保贷款保证金存款利息</t>
  </si>
  <si>
    <t>  22311414</t>
  </si>
  <si>
    <t>应付个人六个月担保贷款保证金存款利息</t>
  </si>
  <si>
    <t>  22311415</t>
  </si>
  <si>
    <t>应付个人一年担保贷款保证金存款利息</t>
  </si>
  <si>
    <t>  22311416</t>
  </si>
  <si>
    <t>应付单位活期保函保证金存款利息</t>
  </si>
  <si>
    <t>  22311417</t>
  </si>
  <si>
    <t>应付单位三个月保函保证金存款利息</t>
  </si>
  <si>
    <t>  22311418</t>
  </si>
  <si>
    <t>应付单位六个月保函保证金存款利息</t>
  </si>
  <si>
    <t>  22311419</t>
  </si>
  <si>
    <t>应付单位一年保函保证金存款利息</t>
  </si>
  <si>
    <t>  22311420</t>
  </si>
  <si>
    <t>应付单位活期信用证保证金存款利息</t>
  </si>
  <si>
    <t>  22311425</t>
  </si>
  <si>
    <t>应付单位三个月信用证保证金存款利息</t>
  </si>
  <si>
    <t>  22311426</t>
  </si>
  <si>
    <t>应付单位六个月信用证保证金存款利息</t>
  </si>
  <si>
    <t>  22311427</t>
  </si>
  <si>
    <t>应付单位一年信用证保证金存款利息</t>
  </si>
  <si>
    <t>  22311428</t>
  </si>
  <si>
    <t>应付单位活期楼宇按揭贷款保证金存款利息</t>
  </si>
  <si>
    <t>  22311433</t>
  </si>
  <si>
    <t>应付单位活期外汇交易保证金存款利息</t>
  </si>
  <si>
    <t>  22311441</t>
  </si>
  <si>
    <t>应付单位活期衍生金融产品保证金存款利息</t>
  </si>
  <si>
    <t>  22311449</t>
  </si>
  <si>
    <t>应付单位活期其他保证金存款利息</t>
  </si>
  <si>
    <t>  22311457</t>
  </si>
  <si>
    <t>应付单位三个月其他保证金存款利息</t>
  </si>
  <si>
    <t>  22311458</t>
  </si>
  <si>
    <t>应付单位六个月其他保证金存款利息</t>
  </si>
  <si>
    <t>  22311459</t>
  </si>
  <si>
    <t>应付单位一年其他保证金存款利息</t>
  </si>
  <si>
    <t>  22311460</t>
  </si>
  <si>
    <t>应付个人活期其他保证金存款利息</t>
  </si>
  <si>
    <t>  22311461</t>
  </si>
  <si>
    <t>应付个人六个月其他保证金存款利息</t>
  </si>
  <si>
    <t>  22311463</t>
  </si>
  <si>
    <t>应付个人一年其他保证金存款利息</t>
  </si>
  <si>
    <t>  22311464</t>
  </si>
  <si>
    <t>应付发行债券利息</t>
  </si>
  <si>
    <t>  223115</t>
  </si>
  <si>
    <t>  22311501</t>
  </si>
  <si>
    <t>结构性存款应付利息</t>
  </si>
  <si>
    <t>  223117</t>
  </si>
  <si>
    <t>单位定期结构性存款应付利息</t>
  </si>
  <si>
    <t>  22311702</t>
  </si>
  <si>
    <t>个人定期结构性存款应付利息</t>
  </si>
  <si>
    <t>  22311704</t>
  </si>
  <si>
    <t>国库定期存款应付利息</t>
  </si>
  <si>
    <t>  223118</t>
  </si>
  <si>
    <t>  22311801</t>
  </si>
  <si>
    <t>其他应付利息</t>
  </si>
  <si>
    <t>  223199</t>
  </si>
  <si>
    <t>  22319999</t>
  </si>
  <si>
    <t>其他应付款</t>
  </si>
  <si>
    <t>  2241</t>
  </si>
  <si>
    <t>  224101</t>
  </si>
  <si>
    <t>其他待查错账</t>
  </si>
  <si>
    <t>  22410199</t>
  </si>
  <si>
    <t>久悬未取款项</t>
  </si>
  <si>
    <t>  224102</t>
  </si>
  <si>
    <t>  22410201</t>
  </si>
  <si>
    <t>出纳长款</t>
  </si>
  <si>
    <t>  224104</t>
  </si>
  <si>
    <t>  22410401</t>
  </si>
  <si>
    <t>ATM长款</t>
  </si>
  <si>
    <t>  224105</t>
  </si>
  <si>
    <t>  22410501</t>
  </si>
  <si>
    <t>暂收款项</t>
  </si>
  <si>
    <t>  224106</t>
  </si>
  <si>
    <t>  22410601</t>
  </si>
  <si>
    <t>  224107</t>
  </si>
  <si>
    <t>  22410701</t>
  </si>
  <si>
    <t>保证金或押金</t>
  </si>
  <si>
    <t>  224108</t>
  </si>
  <si>
    <t>  22410801</t>
  </si>
  <si>
    <t>信用合作管理费</t>
  </si>
  <si>
    <t>  224114</t>
  </si>
  <si>
    <t>  22411401</t>
  </si>
  <si>
    <t>应付手续费及佣金支出</t>
  </si>
  <si>
    <t>  224115</t>
  </si>
  <si>
    <t>  22411501</t>
  </si>
  <si>
    <t>其他应付款-其他</t>
  </si>
  <si>
    <t>  224199</t>
  </si>
  <si>
    <t>  22419999</t>
  </si>
  <si>
    <t>代理业务负债</t>
  </si>
  <si>
    <t>  2314</t>
  </si>
  <si>
    <t>受托理财资金</t>
  </si>
  <si>
    <t>  231401</t>
  </si>
  <si>
    <t>受托理财资金-本金</t>
  </si>
  <si>
    <t>  23140101</t>
  </si>
  <si>
    <t>委托贷款资金</t>
  </si>
  <si>
    <t>  231402</t>
  </si>
  <si>
    <t>政府委托贷款资金-本金</t>
  </si>
  <si>
    <t>  23140201</t>
  </si>
  <si>
    <t>公积金委托贷款资金-本金</t>
  </si>
  <si>
    <t>  23140203</t>
  </si>
  <si>
    <t>企业委托贷款资金-本金</t>
  </si>
  <si>
    <t>  23140205</t>
  </si>
  <si>
    <t>其他委托贷款资金-本金</t>
  </si>
  <si>
    <t>  23140207</t>
  </si>
  <si>
    <t>现金管理业务委托贷款资金-本金</t>
  </si>
  <si>
    <t>  23140209</t>
  </si>
  <si>
    <t>银团贷款资金</t>
  </si>
  <si>
    <t>  231403</t>
  </si>
  <si>
    <t>银团贷款资金-本金</t>
  </si>
  <si>
    <t>  23140301</t>
  </si>
  <si>
    <t>基金代销业务资金</t>
  </si>
  <si>
    <t>  231407</t>
  </si>
  <si>
    <t>基金代销业务资金－本金</t>
  </si>
  <si>
    <t>  23140701</t>
  </si>
  <si>
    <t>代理银保业务资金</t>
  </si>
  <si>
    <t>  231408</t>
  </si>
  <si>
    <t>代理银保业务资金-本金</t>
  </si>
  <si>
    <t>  23140801</t>
  </si>
  <si>
    <t>递延收益</t>
  </si>
  <si>
    <t>  2401</t>
  </si>
  <si>
    <t>  240101</t>
  </si>
  <si>
    <t>信用卡分期手续费递延</t>
  </si>
  <si>
    <t>  24010108</t>
  </si>
  <si>
    <t>其他递延收益</t>
  </si>
  <si>
    <t>  24010199</t>
  </si>
  <si>
    <t>  2502</t>
  </si>
  <si>
    <t>次级债券</t>
  </si>
  <si>
    <t>  250203</t>
  </si>
  <si>
    <t>次级债券-面值</t>
  </si>
  <si>
    <t>  25020301</t>
  </si>
  <si>
    <t>次级债券-利息调整</t>
  </si>
  <si>
    <t>  25020302</t>
  </si>
  <si>
    <t>同业存单发行</t>
  </si>
  <si>
    <t>  2503</t>
  </si>
  <si>
    <t>  250399</t>
  </si>
  <si>
    <t>  25039901</t>
  </si>
  <si>
    <t>预计负债</t>
  </si>
  <si>
    <t>  2801</t>
  </si>
  <si>
    <t>  280101</t>
  </si>
  <si>
    <t>  28010101</t>
  </si>
  <si>
    <t>清算资金往来</t>
  </si>
  <si>
    <t>  3031</t>
  </si>
  <si>
    <t>小额清算资金往来</t>
  </si>
  <si>
    <t>  303102</t>
  </si>
  <si>
    <t>小额清算资金往来-全国</t>
  </si>
  <si>
    <t>  30310201</t>
  </si>
  <si>
    <t>金融服务清算资金往来</t>
  </si>
  <si>
    <t>  303103</t>
  </si>
  <si>
    <t>  30310301</t>
  </si>
  <si>
    <t>农信银清算资金往来</t>
  </si>
  <si>
    <t>  303104</t>
  </si>
  <si>
    <t>农信银清算资金往来-全国</t>
  </si>
  <si>
    <t>  30310401</t>
  </si>
  <si>
    <t>银联资金往来</t>
  </si>
  <si>
    <t>  303107</t>
  </si>
  <si>
    <t>银联资金往来-ATM及POS待清算</t>
  </si>
  <si>
    <t>  30310701</t>
  </si>
  <si>
    <t>银联资金往来-银联清算汇差</t>
  </si>
  <si>
    <t>  30310703</t>
  </si>
  <si>
    <t>清算资金往来-其他</t>
  </si>
  <si>
    <t>  303199</t>
  </si>
  <si>
    <t>  30319999</t>
  </si>
  <si>
    <t>社（行）内部往来</t>
  </si>
  <si>
    <t>  3041</t>
  </si>
  <si>
    <t>一级往来</t>
  </si>
  <si>
    <t>  304101</t>
  </si>
  <si>
    <t>缴存准备金</t>
  </si>
  <si>
    <t>  30410101</t>
  </si>
  <si>
    <t>资金划拨户</t>
  </si>
  <si>
    <t>  30410111</t>
  </si>
  <si>
    <t>其他往来</t>
  </si>
  <si>
    <t>  30410199</t>
  </si>
  <si>
    <t>财务系统与核心系统往来</t>
  </si>
  <si>
    <t>  304105</t>
  </si>
  <si>
    <t>  30410501</t>
  </si>
  <si>
    <t>拨付营运资金</t>
  </si>
  <si>
    <t>  30410901</t>
  </si>
  <si>
    <t>拨入营运资金</t>
  </si>
  <si>
    <t>  30410902</t>
  </si>
  <si>
    <t>信用卡系统与核心系统往来</t>
  </si>
  <si>
    <t>  304114</t>
  </si>
  <si>
    <t>  30411401</t>
  </si>
  <si>
    <t>  305101</t>
  </si>
  <si>
    <t>  30510101</t>
  </si>
  <si>
    <t>  305102</t>
  </si>
  <si>
    <t>  30510201</t>
  </si>
  <si>
    <t>实收资本（股本）</t>
  </si>
  <si>
    <t>  4001</t>
  </si>
  <si>
    <t>法人股</t>
  </si>
  <si>
    <t>  400101</t>
  </si>
  <si>
    <t>  40010101</t>
  </si>
  <si>
    <t>职工自然人股</t>
  </si>
  <si>
    <t>  400102</t>
  </si>
  <si>
    <t>  40010201</t>
  </si>
  <si>
    <t>其他自然人股</t>
  </si>
  <si>
    <t>  400103</t>
  </si>
  <si>
    <t>  40010301</t>
  </si>
  <si>
    <t>资本公积</t>
  </si>
  <si>
    <t>  4002</t>
  </si>
  <si>
    <t>资本（股本）溢价</t>
  </si>
  <si>
    <t>  400201</t>
  </si>
  <si>
    <t>  40020101</t>
  </si>
  <si>
    <t>其他资本公积</t>
  </si>
  <si>
    <t>  400299</t>
  </si>
  <si>
    <t>  40029999</t>
  </si>
  <si>
    <t>盈余公积</t>
  </si>
  <si>
    <t>  4101</t>
  </si>
  <si>
    <t>法定盈余公积</t>
  </si>
  <si>
    <t>  410101</t>
  </si>
  <si>
    <t>  41010101</t>
  </si>
  <si>
    <t>一般风险准备</t>
  </si>
  <si>
    <t>  4102</t>
  </si>
  <si>
    <t>净利润提取</t>
  </si>
  <si>
    <t>  410201</t>
  </si>
  <si>
    <t>  41020101</t>
  </si>
  <si>
    <t>一般风险准备-其他</t>
  </si>
  <si>
    <t>  410299</t>
  </si>
  <si>
    <t>  41029999</t>
  </si>
  <si>
    <t>利润分配</t>
  </si>
  <si>
    <t>  4104</t>
  </si>
  <si>
    <t>未分配利润</t>
  </si>
  <si>
    <t>  410408</t>
  </si>
  <si>
    <t>  41040801</t>
  </si>
  <si>
    <t>利息收入</t>
  </si>
  <si>
    <t>  6011</t>
  </si>
  <si>
    <t>农户贷款利息收入</t>
  </si>
  <si>
    <t>  601101</t>
  </si>
  <si>
    <t>小额中期农户消费贷款利息收入</t>
  </si>
  <si>
    <t>  60110102</t>
  </si>
  <si>
    <t>小额长期农户消费贷款利息收入</t>
  </si>
  <si>
    <t>  60110103</t>
  </si>
  <si>
    <t>短期农户消费贷款利息收入</t>
  </si>
  <si>
    <t>  60110104</t>
  </si>
  <si>
    <t>中期农户消费贷款利息收入</t>
  </si>
  <si>
    <t>  60110105</t>
  </si>
  <si>
    <t>长期农户消费贷款利息收入</t>
  </si>
  <si>
    <t>  60110106</t>
  </si>
  <si>
    <t>小额短期农户生产经营性贷款利息收入</t>
  </si>
  <si>
    <t>  60110107</t>
  </si>
  <si>
    <t>短期农户生产经营性贷款利息收入</t>
  </si>
  <si>
    <t>  60110110</t>
  </si>
  <si>
    <t>中期农户生产经营性贷款利息收入</t>
  </si>
  <si>
    <t>  60110111</t>
  </si>
  <si>
    <t>长期农户生产经营性贷款利息收入</t>
  </si>
  <si>
    <t>  60110112</t>
  </si>
  <si>
    <t>农村企业贷款利息收入</t>
  </si>
  <si>
    <t>  601103</t>
  </si>
  <si>
    <t>短期农村企业流动资金贷款利息收入</t>
  </si>
  <si>
    <t>  60110301</t>
  </si>
  <si>
    <t>中期农村企业流动资金贷款利息收入</t>
  </si>
  <si>
    <t>  60110302</t>
  </si>
  <si>
    <t>短期农村企业固定资产贷款利息收入</t>
  </si>
  <si>
    <t>  60110303</t>
  </si>
  <si>
    <t>中期农村企业固定资产贷款利息收入</t>
  </si>
  <si>
    <t>  60110304</t>
  </si>
  <si>
    <t>长期农村企业固定资产贷款利息收入</t>
  </si>
  <si>
    <t>  60110305</t>
  </si>
  <si>
    <t>非农贷款利息收入</t>
  </si>
  <si>
    <t>  601104</t>
  </si>
  <si>
    <t>短期非农个人消费性贷款利息收入</t>
  </si>
  <si>
    <t>  60110401</t>
  </si>
  <si>
    <t>中期非农个人消费性贷款利息收入</t>
  </si>
  <si>
    <t>  60110402</t>
  </si>
  <si>
    <t>长期非农个人消费性贷款利息收入</t>
  </si>
  <si>
    <t>  60110403</t>
  </si>
  <si>
    <t>短期非农个人经营性贷款利息收入</t>
  </si>
  <si>
    <t>  60110404</t>
  </si>
  <si>
    <t>中期非农个人经营性贷款利息收入</t>
  </si>
  <si>
    <t>  60110405</t>
  </si>
  <si>
    <t>长期非农个人经营性贷款利息收入</t>
  </si>
  <si>
    <t>  60110406</t>
  </si>
  <si>
    <t>短期非农单位流动资金贷款利息收入</t>
  </si>
  <si>
    <t>  60110407</t>
  </si>
  <si>
    <t>中期非农单位流动资金贷款利息收入</t>
  </si>
  <si>
    <t>  60110408</t>
  </si>
  <si>
    <t>短期非农单位固定资产贷款利息收入</t>
  </si>
  <si>
    <t>  60110409</t>
  </si>
  <si>
    <t>中期非农单位固定资产贷款利息收入</t>
  </si>
  <si>
    <t>  60110410</t>
  </si>
  <si>
    <t>长期非农单位固定资产贷款利息收入</t>
  </si>
  <si>
    <t>  60110411</t>
  </si>
  <si>
    <t>短期城市企业涉农贷款利息收入</t>
  </si>
  <si>
    <t>  60110412</t>
  </si>
  <si>
    <t>中期城市企业涉农贷款利息收入</t>
  </si>
  <si>
    <t>  60110413</t>
  </si>
  <si>
    <t>长期城市企业涉农贷款利息收入</t>
  </si>
  <si>
    <t>  60110414</t>
  </si>
  <si>
    <t>信用卡透支利息收入</t>
  </si>
  <si>
    <t>  601105</t>
  </si>
  <si>
    <t>  60110501</t>
  </si>
  <si>
    <t>垫款利息收入</t>
  </si>
  <si>
    <t>  601108</t>
  </si>
  <si>
    <t>银行承兑汇票垫款利息收入</t>
  </si>
  <si>
    <t>  60110802</t>
  </si>
  <si>
    <t>出口押汇垫款利息收入</t>
  </si>
  <si>
    <t>  60110805</t>
  </si>
  <si>
    <t>其他贸易融资垫款利息收入</t>
  </si>
  <si>
    <t>  60110807</t>
  </si>
  <si>
    <t>已减值贷款利息收入</t>
  </si>
  <si>
    <t>  601109</t>
  </si>
  <si>
    <t>  60110901</t>
  </si>
  <si>
    <t>金融机构往来收入</t>
  </si>
  <si>
    <t>  6012</t>
  </si>
  <si>
    <t>存放中央银行款项利息收入</t>
  </si>
  <si>
    <t>  601201</t>
  </si>
  <si>
    <t>准备金存款利息收入</t>
  </si>
  <si>
    <t>  60120101</t>
  </si>
  <si>
    <t>其他存放中央银行款项利息收入</t>
  </si>
  <si>
    <t>  60120199</t>
  </si>
  <si>
    <t>存放同业款利息收入</t>
  </si>
  <si>
    <t>  601202</t>
  </si>
  <si>
    <t>  60120202</t>
  </si>
  <si>
    <t>  60120204</t>
  </si>
  <si>
    <t>存放系统内款项利息收入</t>
  </si>
  <si>
    <t>  601203</t>
  </si>
  <si>
    <t>存放省联社利息收入</t>
  </si>
  <si>
    <t>  60120301</t>
  </si>
  <si>
    <t>拆放同业款项利息收入</t>
  </si>
  <si>
    <t>  601204</t>
  </si>
  <si>
    <t>拆放商业银行利息收入</t>
  </si>
  <si>
    <t>  60120402</t>
  </si>
  <si>
    <t>拆放系统内款项利息收入</t>
  </si>
  <si>
    <t>  601205</t>
  </si>
  <si>
    <t>临时拆出清算资金利息收入</t>
  </si>
  <si>
    <t>  60120505</t>
  </si>
  <si>
    <t>买入返售金融资产利息收入</t>
  </si>
  <si>
    <t>  601207</t>
  </si>
  <si>
    <t>质押式买入返售其他金融资产利息收入</t>
  </si>
  <si>
    <t>  60120702</t>
  </si>
  <si>
    <t>买断式买入返售票据利息收入</t>
  </si>
  <si>
    <t>  60120703</t>
  </si>
  <si>
    <t>买断式买入返售其他金融资产利息收入</t>
  </si>
  <si>
    <t>  60120704</t>
  </si>
  <si>
    <t>转贴现利息收入</t>
  </si>
  <si>
    <t>  601208</t>
  </si>
  <si>
    <t>银行承兑汇票转贴现利息收入</t>
  </si>
  <si>
    <t>  60120801</t>
  </si>
  <si>
    <t>商业承兑汇票转贴现利息收入</t>
  </si>
  <si>
    <t>  60120802</t>
  </si>
  <si>
    <t>系统内转贴现利息收入</t>
  </si>
  <si>
    <t>  601209</t>
  </si>
  <si>
    <t>银行承兑汇票系统内转贴现利息收入</t>
  </si>
  <si>
    <t>  60120901</t>
  </si>
  <si>
    <t>商业承兑汇票系统内转贴现利息收入</t>
  </si>
  <si>
    <t>  60120902</t>
  </si>
  <si>
    <t>手续费及佣金收入</t>
  </si>
  <si>
    <t>  6021</t>
  </si>
  <si>
    <t>银行卡业务手续费收入</t>
  </si>
  <si>
    <t>  602101</t>
  </si>
  <si>
    <t>开卡工本费收入</t>
  </si>
  <si>
    <t>  60210101</t>
  </si>
  <si>
    <t>卡挂失手续费收入</t>
  </si>
  <si>
    <t>  60210102</t>
  </si>
  <si>
    <t>银行卡年费收入</t>
  </si>
  <si>
    <t>  60210103</t>
  </si>
  <si>
    <t>自助设备交易手续费收入</t>
  </si>
  <si>
    <t>  60210104</t>
  </si>
  <si>
    <t>自助设备结算手续费收入</t>
  </si>
  <si>
    <t>  60210105</t>
  </si>
  <si>
    <t>POS手续费收入</t>
  </si>
  <si>
    <t>  60210106</t>
  </si>
  <si>
    <t>信用卡支取手续费收入</t>
  </si>
  <si>
    <t>  60210107</t>
  </si>
  <si>
    <t>信用卡分期付款手续费收入</t>
  </si>
  <si>
    <t>  60210108</t>
  </si>
  <si>
    <t>信用IC卡圈存手续费收入</t>
  </si>
  <si>
    <t>  60210110</t>
  </si>
  <si>
    <t>其他银行卡业务手续费收入</t>
  </si>
  <si>
    <t>  60210199</t>
  </si>
  <si>
    <t>结算业务手续费收入</t>
  </si>
  <si>
    <t>  602102</t>
  </si>
  <si>
    <t>人民币支付结算业务手续费收入</t>
  </si>
  <si>
    <t>  60210201</t>
  </si>
  <si>
    <t>国际业务手续费收入</t>
  </si>
  <si>
    <t>  602103</t>
  </si>
  <si>
    <t>  60210301</t>
  </si>
  <si>
    <t>代理业务手续费收入</t>
  </si>
  <si>
    <t>  602104</t>
  </si>
  <si>
    <t>代理保险手续费收入</t>
  </si>
  <si>
    <t>  60210401</t>
  </si>
  <si>
    <t>代收税款手续费收入</t>
  </si>
  <si>
    <t>  60210402</t>
  </si>
  <si>
    <t>代发工资手续费收入</t>
  </si>
  <si>
    <t>  60210403</t>
  </si>
  <si>
    <t>代收公用事业收费手续费收入</t>
  </si>
  <si>
    <t>  60210404</t>
  </si>
  <si>
    <t>柜台代收代付手续费收入</t>
  </si>
  <si>
    <t>  60210406</t>
  </si>
  <si>
    <t>代理委托及代理贷款手续费收入</t>
  </si>
  <si>
    <t>  60210408</t>
  </si>
  <si>
    <t>其他代理业务手续费收入</t>
  </si>
  <si>
    <t>  60210499</t>
  </si>
  <si>
    <t>担保业务手续费收入</t>
  </si>
  <si>
    <t>  602105</t>
  </si>
  <si>
    <t>开出保函手续费收入</t>
  </si>
  <si>
    <t>  60210501</t>
  </si>
  <si>
    <t>  602106</t>
  </si>
  <si>
    <t>账户维护管理费收入</t>
  </si>
  <si>
    <t>  60210601</t>
  </si>
  <si>
    <t>账户开销手续费收入</t>
  </si>
  <si>
    <t>  60210602</t>
  </si>
  <si>
    <t>账户挂失手续费收入</t>
  </si>
  <si>
    <t>  60210603</t>
  </si>
  <si>
    <t>其他账户管理费收入</t>
  </si>
  <si>
    <t>  60210605</t>
  </si>
  <si>
    <t>咨询顾问业务手续费收入</t>
  </si>
  <si>
    <t>  602108</t>
  </si>
  <si>
    <t>融资顾问业务手续费收入</t>
  </si>
  <si>
    <t>  60210801</t>
  </si>
  <si>
    <t>其他财务顾问业务手续费收入</t>
  </si>
  <si>
    <t>  60210805</t>
  </si>
  <si>
    <t>电子渠道业务收入</t>
  </si>
  <si>
    <t>  602109</t>
  </si>
  <si>
    <t>网上银行业务收入</t>
  </si>
  <si>
    <t>  60210901</t>
  </si>
  <si>
    <t>短信通业务收入</t>
  </si>
  <si>
    <t>  60210903</t>
  </si>
  <si>
    <t>渠道合作业务收入</t>
  </si>
  <si>
    <t>  60210905</t>
  </si>
  <si>
    <t>其他手续费及佣金收入</t>
  </si>
  <si>
    <t>  602199</t>
  </si>
  <si>
    <t>承兑业务手续费收入</t>
  </si>
  <si>
    <t>  60219901</t>
  </si>
  <si>
    <t>保管箱业务手续费收入</t>
  </si>
  <si>
    <t>  60219904</t>
  </si>
  <si>
    <t>电子回单箱手续费收入</t>
  </si>
  <si>
    <t>  60219905</t>
  </si>
  <si>
    <t>承诺业务手续费收入</t>
  </si>
  <si>
    <t>  60219914</t>
  </si>
  <si>
    <t>现金管理业务手续费收入</t>
  </si>
  <si>
    <t>  60219915</t>
  </si>
  <si>
    <t>  60219999</t>
  </si>
  <si>
    <t>  6051</t>
  </si>
  <si>
    <t>投资性房地产租赁收入</t>
  </si>
  <si>
    <t>  605101</t>
  </si>
  <si>
    <t>  60510101</t>
  </si>
  <si>
    <t>抵债资产租赁收入</t>
  </si>
  <si>
    <t>  605102</t>
  </si>
  <si>
    <t>  60510201</t>
  </si>
  <si>
    <t>其他业务收入-其他</t>
  </si>
  <si>
    <t>  605199</t>
  </si>
  <si>
    <t>  60519999</t>
  </si>
  <si>
    <t>汇兑损益</t>
  </si>
  <si>
    <t>  6061</t>
  </si>
  <si>
    <t>代客外汇买卖损益</t>
  </si>
  <si>
    <t>  606101</t>
  </si>
  <si>
    <t>  60610101</t>
  </si>
  <si>
    <t>其他汇兑损益</t>
  </si>
  <si>
    <t>  606199</t>
  </si>
  <si>
    <t>外币折算损益</t>
  </si>
  <si>
    <t>  60619901</t>
  </si>
  <si>
    <t>公允价值变动损益</t>
  </si>
  <si>
    <t>  6101</t>
  </si>
  <si>
    <t>交易性金融资产公允价值变动损益</t>
  </si>
  <si>
    <t>  610101</t>
  </si>
  <si>
    <t>交易性金融资产公允价值变动损益-债券</t>
  </si>
  <si>
    <t>  61010101</t>
  </si>
  <si>
    <t>  6111</t>
  </si>
  <si>
    <t>投资买卖差价</t>
  </si>
  <si>
    <t>  611101</t>
  </si>
  <si>
    <t>交易性金融资产买卖差价</t>
  </si>
  <si>
    <t>  61110101</t>
  </si>
  <si>
    <t>应收款项类投资买卖差价</t>
  </si>
  <si>
    <t>  61110104</t>
  </si>
  <si>
    <t>  611104</t>
  </si>
  <si>
    <t>交易性金融资产利息收入</t>
  </si>
  <si>
    <t>  61110401</t>
  </si>
  <si>
    <t>持有至到期投资利息收入</t>
  </si>
  <si>
    <t>  61110402</t>
  </si>
  <si>
    <t>可供出售金融资产利息收入</t>
  </si>
  <si>
    <t>  61110403</t>
  </si>
  <si>
    <t>应收款项类投资利息收入</t>
  </si>
  <si>
    <t>  61110404</t>
  </si>
  <si>
    <t>营业外收入</t>
  </si>
  <si>
    <t>  6301</t>
  </si>
  <si>
    <t>罚没款收入</t>
  </si>
  <si>
    <t>  630104</t>
  </si>
  <si>
    <t>  63010401</t>
  </si>
  <si>
    <t>其他营业外收入</t>
  </si>
  <si>
    <t>  630199</t>
  </si>
  <si>
    <t>  63019999</t>
  </si>
  <si>
    <t>  6403</t>
  </si>
  <si>
    <t>其他税金及附加</t>
  </si>
  <si>
    <t>  640302</t>
  </si>
  <si>
    <t>城市维护建设税</t>
  </si>
  <si>
    <t>  64030201</t>
  </si>
  <si>
    <t>教育费附加</t>
  </si>
  <si>
    <t>  64030202</t>
  </si>
  <si>
    <t>利息支出</t>
  </si>
  <si>
    <t>  6411</t>
  </si>
  <si>
    <t>单位活期存款利息支出</t>
  </si>
  <si>
    <t>  641101</t>
  </si>
  <si>
    <t>  64110101</t>
  </si>
  <si>
    <t>单位定期存款利息支出</t>
  </si>
  <si>
    <t>  641102</t>
  </si>
  <si>
    <t>单位三个月双整存款利息支出</t>
  </si>
  <si>
    <t>  64110202</t>
  </si>
  <si>
    <t>单位六个月双整存款利息支出</t>
  </si>
  <si>
    <t>  64110203</t>
  </si>
  <si>
    <t>单位一年双整存款利息支出</t>
  </si>
  <si>
    <t>  64110205</t>
  </si>
  <si>
    <t>单位两年双整存款利息支出</t>
  </si>
  <si>
    <t>  64110206</t>
  </si>
  <si>
    <t>单位三年双整存款利息支出</t>
  </si>
  <si>
    <t>  64110207</t>
  </si>
  <si>
    <t>单位五年双整存款利息支出</t>
  </si>
  <si>
    <t>  64110208</t>
  </si>
  <si>
    <t>协议存款利息支出</t>
  </si>
  <si>
    <t>  64110209</t>
  </si>
  <si>
    <t>通知存款利息支出</t>
  </si>
  <si>
    <t>  64110210</t>
  </si>
  <si>
    <t>个人活期存款利息支出</t>
  </si>
  <si>
    <t>  641103</t>
  </si>
  <si>
    <t>活期储蓄存款利息支出</t>
  </si>
  <si>
    <t>  64110301</t>
  </si>
  <si>
    <t>结算账户存款利息支出</t>
  </si>
  <si>
    <t>  64110302</t>
  </si>
  <si>
    <t>个人定期存款利息支出</t>
  </si>
  <si>
    <t>  641104</t>
  </si>
  <si>
    <t>个人一个月整存整取储蓄存款利息支出</t>
  </si>
  <si>
    <t>  64110401</t>
  </si>
  <si>
    <t>个人三个月整存整取储蓄存款利息支出</t>
  </si>
  <si>
    <t>  64110402</t>
  </si>
  <si>
    <t>个人六个月整存整取储蓄存款利息支出</t>
  </si>
  <si>
    <t>  64110403</t>
  </si>
  <si>
    <t>个人九个月整存整取储蓄存款利息支出</t>
  </si>
  <si>
    <t>  64110404</t>
  </si>
  <si>
    <t>个人一年整存整取储蓄存款利息支出</t>
  </si>
  <si>
    <t>  64110405</t>
  </si>
  <si>
    <t>个人两年整存整取储蓄存款利息支出</t>
  </si>
  <si>
    <t>  64110406</t>
  </si>
  <si>
    <t>个人三年整存整取储蓄存款利息支出</t>
  </si>
  <si>
    <t>  64110407</t>
  </si>
  <si>
    <t>个人五年整存整取储蓄存款利息支出</t>
  </si>
  <si>
    <t>  64110408</t>
  </si>
  <si>
    <t>个人八年整存整取储蓄存款利息支出</t>
  </si>
  <si>
    <t>  64110409</t>
  </si>
  <si>
    <t>个人一年零存整取储蓄存款利息支出</t>
  </si>
  <si>
    <t>  64110410</t>
  </si>
  <si>
    <t>个人三年零存整取储蓄存款利息支出</t>
  </si>
  <si>
    <t>  64110411</t>
  </si>
  <si>
    <t>个人五年零存整取储蓄存款利息支出</t>
  </si>
  <si>
    <t>  64110412</t>
  </si>
  <si>
    <t>个人三年存本取息储蓄存款利息支出</t>
  </si>
  <si>
    <t>  64110414</t>
  </si>
  <si>
    <t>  64110422</t>
  </si>
  <si>
    <t>定活两便存款利息支出</t>
  </si>
  <si>
    <t>  64110423</t>
  </si>
  <si>
    <t>财政性存款利息支出</t>
  </si>
  <si>
    <t>  641106</t>
  </si>
  <si>
    <t>  64110601</t>
  </si>
  <si>
    <t>  641107</t>
  </si>
  <si>
    <t>  64110701</t>
  </si>
  <si>
    <t>  64110702</t>
  </si>
  <si>
    <t>  64110703</t>
  </si>
  <si>
    <t>  64110704</t>
  </si>
  <si>
    <t>  64110709</t>
  </si>
  <si>
    <t>  64110710</t>
  </si>
  <si>
    <t>  64110711</t>
  </si>
  <si>
    <t>  64110712</t>
  </si>
  <si>
    <t>  64110713</t>
  </si>
  <si>
    <t>  64110714</t>
  </si>
  <si>
    <t>  64110715</t>
  </si>
  <si>
    <t>  64110716</t>
  </si>
  <si>
    <t>  64110717</t>
  </si>
  <si>
    <t>  64110718</t>
  </si>
  <si>
    <t>  64110719</t>
  </si>
  <si>
    <t>  64110720</t>
  </si>
  <si>
    <t>  64110725</t>
  </si>
  <si>
    <t>  64110726</t>
  </si>
  <si>
    <t>  64110727</t>
  </si>
  <si>
    <t>  64110728</t>
  </si>
  <si>
    <t>  64110733</t>
  </si>
  <si>
    <t>  64110741</t>
  </si>
  <si>
    <t>  64110749</t>
  </si>
  <si>
    <t>  64110757</t>
  </si>
  <si>
    <t>  64110758</t>
  </si>
  <si>
    <t>  64110759</t>
  </si>
  <si>
    <t>  64110760</t>
  </si>
  <si>
    <t>  64110761</t>
  </si>
  <si>
    <t>  64110762</t>
  </si>
  <si>
    <t>  64110763</t>
  </si>
  <si>
    <t>  64110764</t>
  </si>
  <si>
    <t>结构性存款利息支出</t>
  </si>
  <si>
    <t>  641108</t>
  </si>
  <si>
    <t>单位定期结构性存款利息支出</t>
  </si>
  <si>
    <t>  64110802</t>
  </si>
  <si>
    <t>个人定期结构性存款利息支出</t>
  </si>
  <si>
    <t>  64110804</t>
  </si>
  <si>
    <t>其他利息支出</t>
  </si>
  <si>
    <t>  641199</t>
  </si>
  <si>
    <t>国库定期存款利息支出</t>
  </si>
  <si>
    <t>  64119905</t>
  </si>
  <si>
    <t>金融机构往来支出</t>
  </si>
  <si>
    <t>  6412</t>
  </si>
  <si>
    <t>同业存放款项利息支出</t>
  </si>
  <si>
    <t>  641204</t>
  </si>
  <si>
    <t>活期商业银行存放利息支出</t>
  </si>
  <si>
    <t>  64120403</t>
  </si>
  <si>
    <t>定期商业银行存放利息支出</t>
  </si>
  <si>
    <t>  64120404</t>
  </si>
  <si>
    <t>活期集团内村镇银行存放利息支出</t>
  </si>
  <si>
    <t>  64120409</t>
  </si>
  <si>
    <t>定期集团内村镇银行存放利息支出</t>
  </si>
  <si>
    <t>  64120410</t>
  </si>
  <si>
    <t>  64120413</t>
  </si>
  <si>
    <t>  641205</t>
  </si>
  <si>
    <t>商业银行拆入利息支出</t>
  </si>
  <si>
    <t>  64120502</t>
  </si>
  <si>
    <t>卖出回购金融资产利息支出</t>
  </si>
  <si>
    <t>  641206</t>
  </si>
  <si>
    <t>质押式卖出回购其他金融资产利息支出</t>
  </si>
  <si>
    <t>  64120602</t>
  </si>
  <si>
    <t>卖断式卖出回购其他金融资产利息支出</t>
  </si>
  <si>
    <t>  64120604</t>
  </si>
  <si>
    <t>转（再）贴现利息支出</t>
  </si>
  <si>
    <t>  641207</t>
  </si>
  <si>
    <t>转贴现利息支出</t>
  </si>
  <si>
    <t>  64120702</t>
  </si>
  <si>
    <t>同业存单利息支出</t>
  </si>
  <si>
    <t>  641209</t>
  </si>
  <si>
    <t>  64120999</t>
  </si>
  <si>
    <t>手续费及佣金支出</t>
  </si>
  <si>
    <t>  6421</t>
  </si>
  <si>
    <t>银行卡业务手续费支出</t>
  </si>
  <si>
    <t>  642101</t>
  </si>
  <si>
    <t>  64210101</t>
  </si>
  <si>
    <t>结算业务手续费支出</t>
  </si>
  <si>
    <t>  642102</t>
  </si>
  <si>
    <t>人民币结算手续费支出</t>
  </si>
  <si>
    <t>  64210201</t>
  </si>
  <si>
    <t>外汇结算手续费支出</t>
  </si>
  <si>
    <t>  64210202</t>
  </si>
  <si>
    <t>代理业务手续费支出</t>
  </si>
  <si>
    <t>  642103</t>
  </si>
  <si>
    <t>代办其他业务手续费支出</t>
  </si>
  <si>
    <t>  64210399</t>
  </si>
  <si>
    <t>其他手续费及佣金支出</t>
  </si>
  <si>
    <t>  642199</t>
  </si>
  <si>
    <t>  64219999</t>
  </si>
  <si>
    <t>业务及管理费用</t>
  </si>
  <si>
    <t>  6601</t>
  </si>
  <si>
    <t>广告及业务宣传费</t>
  </si>
  <si>
    <t>  660101</t>
  </si>
  <si>
    <t>  66010101</t>
  </si>
  <si>
    <t>印刷费</t>
  </si>
  <si>
    <t>  660102</t>
  </si>
  <si>
    <t>  66010201</t>
  </si>
  <si>
    <t>业务招待费</t>
  </si>
  <si>
    <t>  660103</t>
  </si>
  <si>
    <t>  66010301</t>
  </si>
  <si>
    <t>电子设备运转费</t>
  </si>
  <si>
    <t>  660104</t>
  </si>
  <si>
    <t>  66010401</t>
  </si>
  <si>
    <t>钞币运送费</t>
  </si>
  <si>
    <t>  660105</t>
  </si>
  <si>
    <t>  66010501</t>
  </si>
  <si>
    <t>安全防卫费</t>
  </si>
  <si>
    <t>  660106</t>
  </si>
  <si>
    <t>  66010601</t>
  </si>
  <si>
    <t>保险费</t>
  </si>
  <si>
    <t>  660107</t>
  </si>
  <si>
    <t>汽车保险费</t>
  </si>
  <si>
    <t>  66010702</t>
  </si>
  <si>
    <t>邮电费</t>
  </si>
  <si>
    <t>  660108</t>
  </si>
  <si>
    <t>  66010801</t>
  </si>
  <si>
    <t>诉讼费</t>
  </si>
  <si>
    <t>  660109</t>
  </si>
  <si>
    <t>  66010901</t>
  </si>
  <si>
    <t>咨询费</t>
  </si>
  <si>
    <t>  660111</t>
  </si>
  <si>
    <t>  66011101</t>
  </si>
  <si>
    <t>公杂费</t>
  </si>
  <si>
    <t>  660117</t>
  </si>
  <si>
    <t>  66011701</t>
  </si>
  <si>
    <t>差旅费</t>
  </si>
  <si>
    <t>  660118</t>
  </si>
  <si>
    <t>  66011801</t>
  </si>
  <si>
    <t>水电费</t>
  </si>
  <si>
    <t>  660119</t>
  </si>
  <si>
    <t>  66011901</t>
  </si>
  <si>
    <t>会议费</t>
  </si>
  <si>
    <t>  660120</t>
  </si>
  <si>
    <t>  66012001</t>
  </si>
  <si>
    <t>绿化费</t>
  </si>
  <si>
    <t>  660121</t>
  </si>
  <si>
    <t>  66012101</t>
  </si>
  <si>
    <t>会费</t>
  </si>
  <si>
    <t>  660123</t>
  </si>
  <si>
    <t>  66012301</t>
  </si>
  <si>
    <t>税费</t>
  </si>
  <si>
    <t>  660124</t>
  </si>
  <si>
    <t>印花税</t>
  </si>
  <si>
    <t>  66012403</t>
  </si>
  <si>
    <t>交通工具耗用费</t>
  </si>
  <si>
    <t>  660125</t>
  </si>
  <si>
    <t>  66012501</t>
  </si>
  <si>
    <t>物业费</t>
  </si>
  <si>
    <t>  660128</t>
  </si>
  <si>
    <t>  66012801</t>
  </si>
  <si>
    <t>职工工资</t>
  </si>
  <si>
    <t>  660129</t>
  </si>
  <si>
    <t>固定工资</t>
  </si>
  <si>
    <t>  66012901</t>
  </si>
  <si>
    <t>奖励工资</t>
  </si>
  <si>
    <t>  66012902</t>
  </si>
  <si>
    <t>加班工资</t>
  </si>
  <si>
    <t>  66012903</t>
  </si>
  <si>
    <t>临工工资</t>
  </si>
  <si>
    <t>  66012905</t>
  </si>
  <si>
    <t>职工福利费</t>
  </si>
  <si>
    <t>  660130</t>
  </si>
  <si>
    <t>  66013001</t>
  </si>
  <si>
    <t>职工教育经费</t>
  </si>
  <si>
    <t>  660131</t>
  </si>
  <si>
    <t>  66013101</t>
  </si>
  <si>
    <t>基本养老保险金</t>
  </si>
  <si>
    <t>  660134</t>
  </si>
  <si>
    <t>  66013401</t>
  </si>
  <si>
    <t>基本医疗保险金</t>
  </si>
  <si>
    <t>  660135</t>
  </si>
  <si>
    <t>  66013501</t>
  </si>
  <si>
    <t>工伤保险金</t>
  </si>
  <si>
    <t>  660136</t>
  </si>
  <si>
    <t>  66013601</t>
  </si>
  <si>
    <t>生育保险金</t>
  </si>
  <si>
    <t>  660137</t>
  </si>
  <si>
    <t>  66013701</t>
  </si>
  <si>
    <t>失业保险金</t>
  </si>
  <si>
    <t>  660138</t>
  </si>
  <si>
    <t>  66013801</t>
  </si>
  <si>
    <t>补充养老保险金</t>
  </si>
  <si>
    <t>  660139</t>
  </si>
  <si>
    <t>  66013901</t>
  </si>
  <si>
    <t>补充医疗保险金</t>
  </si>
  <si>
    <t>  660140</t>
  </si>
  <si>
    <t>  66014001</t>
  </si>
  <si>
    <t>其他保险金</t>
  </si>
  <si>
    <t>  660141</t>
  </si>
  <si>
    <t>其他个人保险金</t>
  </si>
  <si>
    <t>  66014199</t>
  </si>
  <si>
    <t>住房公积金</t>
  </si>
  <si>
    <t>  660145</t>
  </si>
  <si>
    <t>  66014501</t>
  </si>
  <si>
    <t>劳务派遣费用</t>
  </si>
  <si>
    <t>  660146</t>
  </si>
  <si>
    <t>  66014601</t>
  </si>
  <si>
    <t>租赁费</t>
  </si>
  <si>
    <t>  660147</t>
  </si>
  <si>
    <t>房屋租赁费</t>
  </si>
  <si>
    <t>  66014701</t>
  </si>
  <si>
    <t>其他租赁费</t>
  </si>
  <si>
    <t>  66014799</t>
  </si>
  <si>
    <t>修理费</t>
  </si>
  <si>
    <t>  660148</t>
  </si>
  <si>
    <t>房屋修理费</t>
  </si>
  <si>
    <t>  66014801</t>
  </si>
  <si>
    <t>汽车修理费</t>
  </si>
  <si>
    <t>  66014802</t>
  </si>
  <si>
    <t>其他修理费</t>
  </si>
  <si>
    <t>  66014899</t>
  </si>
  <si>
    <t>低值易耗品摊销</t>
  </si>
  <si>
    <t>  660149</t>
  </si>
  <si>
    <t>  66014901</t>
  </si>
  <si>
    <t>长期待摊费用摊销</t>
  </si>
  <si>
    <t>  660150</t>
  </si>
  <si>
    <t>  66015001</t>
  </si>
  <si>
    <t>无形资产摊销</t>
  </si>
  <si>
    <t>  660151</t>
  </si>
  <si>
    <t>  66015101</t>
  </si>
  <si>
    <t>固定资产折旧费</t>
  </si>
  <si>
    <t>  660152</t>
  </si>
  <si>
    <t>  66015201</t>
  </si>
  <si>
    <t>其他费用</t>
  </si>
  <si>
    <t>  660199</t>
  </si>
  <si>
    <t>其他业务费用</t>
  </si>
  <si>
    <t>  66019901</t>
  </si>
  <si>
    <t>其他个人费用</t>
  </si>
  <si>
    <t>  66019902</t>
  </si>
  <si>
    <t>  6602</t>
  </si>
  <si>
    <t>抵债资产保管费用</t>
  </si>
  <si>
    <t>  660201</t>
  </si>
  <si>
    <t>  66020101</t>
  </si>
  <si>
    <t>投资性房地产折旧及摊销</t>
  </si>
  <si>
    <t>  660202</t>
  </si>
  <si>
    <t>  66020201</t>
  </si>
  <si>
    <t>租赁房屋维修费</t>
  </si>
  <si>
    <t>  660205</t>
  </si>
  <si>
    <t>租赁房产维修费</t>
  </si>
  <si>
    <t>  66020501</t>
  </si>
  <si>
    <t>存贷双盈产品成本支出</t>
  </si>
  <si>
    <t>  660206</t>
  </si>
  <si>
    <t>  66020601</t>
  </si>
  <si>
    <t>营业外支出</t>
  </si>
  <si>
    <t>  6711</t>
  </si>
  <si>
    <t>其他营业外支出</t>
  </si>
  <si>
    <t>  671199</t>
  </si>
  <si>
    <t>  67119999</t>
  </si>
  <si>
    <t>承兑汇票</t>
  </si>
  <si>
    <t>  9103</t>
  </si>
  <si>
    <t>  910301</t>
  </si>
  <si>
    <t>  91030101</t>
  </si>
  <si>
    <t>开出信用证</t>
  </si>
  <si>
    <t>  9105</t>
  </si>
  <si>
    <t>开出即期信用证</t>
  </si>
  <si>
    <t>  910501</t>
  </si>
  <si>
    <t>开出国外即期信用证</t>
  </si>
  <si>
    <t>  91050102</t>
  </si>
  <si>
    <t>开出远期信用证</t>
  </si>
  <si>
    <t>  910502</t>
  </si>
  <si>
    <t>开出国外远期信用证</t>
  </si>
  <si>
    <t>  91050202</t>
  </si>
  <si>
    <t>开出保函款项</t>
  </si>
  <si>
    <t>  9106</t>
  </si>
  <si>
    <t>融资类保函</t>
  </si>
  <si>
    <t>  910601</t>
  </si>
  <si>
    <t>  91060101</t>
  </si>
  <si>
    <t>非融资类保函</t>
  </si>
  <si>
    <t>  910602</t>
  </si>
  <si>
    <t>  91060201</t>
  </si>
  <si>
    <t>备用信用证</t>
  </si>
  <si>
    <t>  9107</t>
  </si>
  <si>
    <t>  910701</t>
  </si>
  <si>
    <t>  91070101</t>
  </si>
  <si>
    <t>  9111</t>
  </si>
  <si>
    <t>应收即期信用证出口款项</t>
  </si>
  <si>
    <t>  911101</t>
  </si>
  <si>
    <t>  91110101</t>
  </si>
  <si>
    <t>应收远期信用证出口款项</t>
  </si>
  <si>
    <t>  911102</t>
  </si>
  <si>
    <t>  91110201</t>
  </si>
  <si>
    <t>应收外汇托收款项</t>
  </si>
  <si>
    <t>  9112</t>
  </si>
  <si>
    <t>跟单托收付款交单</t>
  </si>
  <si>
    <t>  911201</t>
  </si>
  <si>
    <t>  91120101</t>
  </si>
  <si>
    <t>跟单托收承兑交单</t>
  </si>
  <si>
    <t>  911202</t>
  </si>
  <si>
    <t>  91120201</t>
  </si>
  <si>
    <t>对公光票托收</t>
  </si>
  <si>
    <t>  911203</t>
  </si>
  <si>
    <t>  91120301</t>
  </si>
  <si>
    <t>对私光票托收</t>
  </si>
  <si>
    <t>  911204</t>
  </si>
  <si>
    <t>  91120401</t>
  </si>
  <si>
    <t>代收外汇托收款项</t>
  </si>
  <si>
    <t>  9113</t>
  </si>
  <si>
    <t>进口托收付款交单</t>
  </si>
  <si>
    <t>  911301</t>
  </si>
  <si>
    <t>  91130101</t>
  </si>
  <si>
    <t>进口托收承兑交单</t>
  </si>
  <si>
    <t>  911302</t>
  </si>
  <si>
    <t>  91130201</t>
  </si>
  <si>
    <t>  9114</t>
  </si>
  <si>
    <t>即期信用证通知</t>
  </si>
  <si>
    <t>  911401</t>
  </si>
  <si>
    <t>  91140101</t>
  </si>
  <si>
    <t>远期信用证通知</t>
  </si>
  <si>
    <t>  911402</t>
  </si>
  <si>
    <t>  91140201</t>
  </si>
  <si>
    <t>备用信用证通知</t>
  </si>
  <si>
    <t>  911404</t>
  </si>
  <si>
    <t>  91140401</t>
  </si>
  <si>
    <t>代客理财</t>
  </si>
  <si>
    <t>  9116</t>
  </si>
  <si>
    <t>  911601</t>
  </si>
  <si>
    <t>  91160101</t>
  </si>
  <si>
    <t>重要空白凭证</t>
  </si>
  <si>
    <t>  9120</t>
  </si>
  <si>
    <t>  912001</t>
  </si>
  <si>
    <t>在用库存重要空白凭证</t>
  </si>
  <si>
    <t>  91200101</t>
  </si>
  <si>
    <t>银行卡</t>
  </si>
  <si>
    <t>  912002</t>
  </si>
  <si>
    <t>预制卡</t>
  </si>
  <si>
    <t>  91200202</t>
  </si>
  <si>
    <t>待销毁卡</t>
  </si>
  <si>
    <t>  91200204</t>
  </si>
  <si>
    <t>有价单证</t>
  </si>
  <si>
    <t>  9121</t>
  </si>
  <si>
    <t>  912101</t>
  </si>
  <si>
    <t>在用库存有价单证</t>
  </si>
  <si>
    <t>  91210101</t>
  </si>
  <si>
    <t>代保管有价值品</t>
  </si>
  <si>
    <t>  9124</t>
  </si>
  <si>
    <t>代保管有价值品（其他）</t>
  </si>
  <si>
    <t>  912402</t>
  </si>
  <si>
    <t>  91240201</t>
  </si>
  <si>
    <t>抵押物品价值</t>
  </si>
  <si>
    <t>  9125</t>
  </si>
  <si>
    <t>  912501</t>
  </si>
  <si>
    <t>  91250101</t>
  </si>
  <si>
    <t>质押物品价值</t>
  </si>
  <si>
    <t>  9126</t>
  </si>
  <si>
    <t>  912601</t>
  </si>
  <si>
    <t>  91260101</t>
  </si>
  <si>
    <t>表外应收利息及费用</t>
  </si>
  <si>
    <t>  9130</t>
  </si>
  <si>
    <t>表外应收利息</t>
  </si>
  <si>
    <t>  913001</t>
  </si>
  <si>
    <t>贷款表外应收利息</t>
  </si>
  <si>
    <t>  91300101</t>
  </si>
  <si>
    <t>委托贷款应收利息</t>
  </si>
  <si>
    <t>  91300103</t>
  </si>
  <si>
    <t>信用卡表外应收利息</t>
  </si>
  <si>
    <t>  91300105</t>
  </si>
  <si>
    <t>表外应收费用</t>
  </si>
  <si>
    <t>  913002</t>
  </si>
  <si>
    <t>信用卡表外应收费用</t>
  </si>
  <si>
    <t>  91300201</t>
  </si>
  <si>
    <t>已核销资产</t>
  </si>
  <si>
    <t>  9131</t>
  </si>
  <si>
    <t>已核销本金</t>
  </si>
  <si>
    <t>  913101</t>
  </si>
  <si>
    <t>已核销贷款本金</t>
  </si>
  <si>
    <t>  91310101</t>
  </si>
  <si>
    <t>已核销坏账本金</t>
  </si>
  <si>
    <t>  91310103</t>
  </si>
  <si>
    <t>已核销信用卡本金</t>
  </si>
  <si>
    <t>  91310106</t>
  </si>
  <si>
    <t>已核销信用卡已减值应收费用</t>
  </si>
  <si>
    <t>  91310108</t>
  </si>
  <si>
    <t>已核销呆账利息</t>
  </si>
  <si>
    <t>  913102</t>
  </si>
  <si>
    <t>已核销贷款利息</t>
  </si>
  <si>
    <t>  91310201</t>
  </si>
  <si>
    <t>已核销信用卡应收利息</t>
  </si>
  <si>
    <t>  91310202</t>
  </si>
  <si>
    <t>  9132</t>
  </si>
  <si>
    <t>人行置换不良贷款</t>
  </si>
  <si>
    <t>  913201</t>
  </si>
  <si>
    <t>人行置换不良贷款本金</t>
  </si>
  <si>
    <t>  91320101</t>
  </si>
  <si>
    <t>人行置换待处理抵债资产</t>
  </si>
  <si>
    <t>  913202</t>
  </si>
  <si>
    <t>  91320201</t>
  </si>
  <si>
    <t>待处理已置换资产损失</t>
  </si>
  <si>
    <t>  9133</t>
  </si>
  <si>
    <t>  913301</t>
  </si>
  <si>
    <t>  91330101</t>
  </si>
  <si>
    <t>已剥离待处理抵债资产</t>
  </si>
  <si>
    <t>  9134</t>
  </si>
  <si>
    <t>  913401</t>
  </si>
  <si>
    <t>  91340101</t>
  </si>
  <si>
    <t>低值易耗品</t>
  </si>
  <si>
    <t>  9140</t>
  </si>
  <si>
    <t>  914001</t>
  </si>
  <si>
    <t>  91400101</t>
  </si>
  <si>
    <t>进口代付</t>
  </si>
  <si>
    <t>  9601</t>
  </si>
  <si>
    <t>  960101</t>
  </si>
  <si>
    <t>  96010101</t>
  </si>
  <si>
    <t>核定额度</t>
  </si>
  <si>
    <t>  9606</t>
  </si>
  <si>
    <t>  960601</t>
  </si>
  <si>
    <t>核定额度（商票保贴）</t>
  </si>
  <si>
    <t>  96060102</t>
  </si>
  <si>
    <t>已剥离不良信贷资产</t>
  </si>
  <si>
    <t>  9609</t>
  </si>
  <si>
    <t>呆滞本金</t>
  </si>
  <si>
    <t>  960903</t>
  </si>
  <si>
    <t>  96090301</t>
  </si>
  <si>
    <t>呆账本金</t>
  </si>
  <si>
    <t>  960904</t>
  </si>
  <si>
    <t>  96090401</t>
  </si>
  <si>
    <t>已剥离不良非信贷资产</t>
  </si>
  <si>
    <t>  9610</t>
  </si>
  <si>
    <t>  961001</t>
  </si>
  <si>
    <t>  96100101</t>
  </si>
  <si>
    <t>已剥离不良贷款利息</t>
  </si>
  <si>
    <t>  9611</t>
  </si>
  <si>
    <t>应收已剥离不良贷款表外利息</t>
  </si>
  <si>
    <t>  961102</t>
  </si>
  <si>
    <t>  96110201</t>
  </si>
  <si>
    <t>已剥离不良非信贷资产利息</t>
  </si>
  <si>
    <t>  9612</t>
  </si>
  <si>
    <t>  961201</t>
  </si>
  <si>
    <t>  96120101</t>
  </si>
  <si>
    <t>金融远期交易协议</t>
  </si>
  <si>
    <t>  9615</t>
  </si>
  <si>
    <t>  961501</t>
  </si>
  <si>
    <t>  96150101</t>
  </si>
  <si>
    <t>代客合作远期合约</t>
  </si>
  <si>
    <t>  9616</t>
  </si>
  <si>
    <t>  961601</t>
  </si>
  <si>
    <t>代客合作远期结汇合约</t>
  </si>
  <si>
    <t>  96160101</t>
  </si>
  <si>
    <t>代客合作远期售汇合约</t>
  </si>
  <si>
    <t>  96160102</t>
  </si>
  <si>
    <t>表外暂记科目</t>
  </si>
  <si>
    <t>  9999</t>
  </si>
  <si>
    <t>  999901</t>
  </si>
  <si>
    <t>  99990101</t>
  </si>
  <si>
    <t>99A1</t>
  </si>
  <si>
    <t>低值易耗品累计摊销</t>
  </si>
  <si>
    <t>  99A1</t>
  </si>
  <si>
    <t>99A101</t>
  </si>
  <si>
    <t>  99A101</t>
  </si>
  <si>
    <t>99A10101</t>
  </si>
  <si>
    <t>  99A10101</t>
  </si>
  <si>
    <t>99ZZ</t>
  </si>
  <si>
    <t>表外配平科目</t>
  </si>
  <si>
    <t>  99ZZ</t>
  </si>
  <si>
    <t>99ZZ01</t>
  </si>
  <si>
    <t>  99ZZ01</t>
  </si>
  <si>
    <t>99ZZ0101</t>
  </si>
  <si>
    <t>  99ZZ0101</t>
  </si>
  <si>
    <t>法人账户透支</t>
  </si>
  <si>
    <t>商业银行拆入资金</t>
  </si>
  <si>
    <t>商业银行拆入资金本金</t>
  </si>
  <si>
    <t>商业银行拆入应付利息</t>
  </si>
  <si>
    <t>基金托管业务手续费收入</t>
  </si>
  <si>
    <t>管会</t>
    <phoneticPr fontId="1" type="noConversion"/>
  </si>
  <si>
    <t>  201902</t>
  </si>
  <si>
    <t>  20190201</t>
  </si>
  <si>
    <t>  22310502</t>
  </si>
  <si>
    <t>  60219903</t>
  </si>
  <si>
    <t>a01</t>
  </si>
  <si>
    <t>各项贷款</t>
  </si>
  <si>
    <t>a02</t>
  </si>
  <si>
    <t>农业贷款小计</t>
  </si>
  <si>
    <t>9.已减值贷款利息收入</t>
  </si>
  <si>
    <t>99.其他</t>
  </si>
  <si>
    <t>对公</t>
    <phoneticPr fontId="1" type="noConversion"/>
  </si>
  <si>
    <t>核心在表内，信贷在表外</t>
    <phoneticPr fontId="1" type="noConversion"/>
  </si>
  <si>
    <t>调整后</t>
    <phoneticPr fontId="1" type="noConversion"/>
  </si>
  <si>
    <t>系统内拆入资金</t>
  </si>
  <si>
    <t>同业存单发行</t>
    <phoneticPr fontId="34" type="noConversion"/>
  </si>
  <si>
    <t>含转帖</t>
    <phoneticPr fontId="1" type="noConversion"/>
  </si>
  <si>
    <t>净利差</t>
    <phoneticPr fontId="1" type="noConversion"/>
  </si>
  <si>
    <t xml:space="preserve">   单位存款</t>
    <phoneticPr fontId="1" type="noConversion"/>
  </si>
  <si>
    <t xml:space="preserve">   个人存款</t>
    <phoneticPr fontId="1" type="noConversion"/>
  </si>
  <si>
    <t>对净利息收入（年化）影响</t>
    <phoneticPr fontId="1" type="noConversion"/>
  </si>
  <si>
    <t>占比</t>
    <phoneticPr fontId="1" type="noConversion"/>
  </si>
  <si>
    <t>利率变动</t>
    <phoneticPr fontId="1" type="noConversion"/>
  </si>
  <si>
    <t>利息收/支</t>
    <phoneticPr fontId="1" type="noConversion"/>
  </si>
  <si>
    <t>公司金融管理总部</t>
  </si>
  <si>
    <t xml:space="preserve">对公贷款（不含贴现） </t>
  </si>
  <si>
    <t>对公存款</t>
  </si>
  <si>
    <t>零售金融管理总部</t>
  </si>
  <si>
    <t>零售贷款</t>
  </si>
  <si>
    <t>微小金融管理总部</t>
  </si>
  <si>
    <t xml:space="preserve">微小贷 </t>
  </si>
  <si>
    <t>金融市场管理总部</t>
  </si>
  <si>
    <t>金融市场业务资产（不含贴现）</t>
    <phoneticPr fontId="1" type="noConversion"/>
  </si>
  <si>
    <t>金融市场业务资产（含贴现）</t>
    <phoneticPr fontId="1" type="noConversion"/>
  </si>
  <si>
    <t>同业负债（含同业存单和同业保本理财）</t>
    <phoneticPr fontId="1" type="noConversion"/>
  </si>
  <si>
    <t>同业负债（含同业存单）</t>
    <phoneticPr fontId="1" type="noConversion"/>
  </si>
  <si>
    <t>日均</t>
    <phoneticPr fontId="1" type="noConversion"/>
  </si>
  <si>
    <t>利率</t>
    <phoneticPr fontId="1" type="noConversion"/>
  </si>
  <si>
    <t>对公</t>
    <phoneticPr fontId="23" type="noConversion"/>
  </si>
  <si>
    <t>个人</t>
    <phoneticPr fontId="23" type="noConversion"/>
  </si>
  <si>
    <t>活期存放商业银行</t>
  </si>
  <si>
    <t>定期存放商业银行</t>
  </si>
  <si>
    <t>拆放其他同业款项</t>
  </si>
  <si>
    <t>定期存放政策性银行应收利息</t>
  </si>
  <si>
    <t>定期存放商业银行应收利息</t>
  </si>
  <si>
    <t>  11320304</t>
  </si>
  <si>
    <t>拆放同业款项应收利息</t>
  </si>
  <si>
    <t>可供出售股权投资</t>
  </si>
  <si>
    <t>  150302</t>
  </si>
  <si>
    <t>可供出售股权投资-成本</t>
  </si>
  <si>
    <t>  15030201</t>
  </si>
  <si>
    <t>个人活期楼宇按揭贷款保证金存款本金</t>
  </si>
  <si>
    <t>  20140509</t>
  </si>
  <si>
    <t>活期商业银行存放本金</t>
  </si>
  <si>
    <t>  20170201</t>
  </si>
  <si>
    <t>  201709</t>
  </si>
  <si>
    <t>活期信用社存放本金</t>
  </si>
  <si>
    <t>  20170901</t>
  </si>
  <si>
    <t>活期商业银行存放应付利息</t>
  </si>
  <si>
    <t>  22310303</t>
  </si>
  <si>
    <t>活期信用社存放应付利息</t>
  </si>
  <si>
    <t>  22310369</t>
  </si>
  <si>
    <t>应付个人活期楼宇按揭贷款保证金存款利息</t>
  </si>
  <si>
    <t>  22311437</t>
  </si>
  <si>
    <t>定期存放政策性银行利息收入</t>
  </si>
  <si>
    <t>定期存放商业银行利息收入</t>
  </si>
  <si>
    <t>承销业务手续费收入</t>
  </si>
  <si>
    <t>  60219912</t>
  </si>
  <si>
    <t>  64110737</t>
  </si>
  <si>
    <t>活期信用社存放利息支出</t>
  </si>
  <si>
    <t>  64120469</t>
  </si>
  <si>
    <t>同业拆入资金利息支出</t>
  </si>
  <si>
    <t>电子渠道业务手续费支出</t>
  </si>
  <si>
    <t>  642105</t>
  </si>
  <si>
    <t>渠道合作业务手续费支出</t>
  </si>
  <si>
    <t>  64210501</t>
  </si>
  <si>
    <t>产品FTP创利分析表</t>
  </si>
  <si>
    <t>产品</t>
  </si>
  <si>
    <t>调节前</t>
  </si>
  <si>
    <t>准备金调节</t>
  </si>
  <si>
    <t>期限流动性溢价调节</t>
  </si>
  <si>
    <t>地区差异调节</t>
  </si>
  <si>
    <t>产品导向调节</t>
  </si>
  <si>
    <t>行业调节</t>
  </si>
  <si>
    <t>客户类别调节</t>
  </si>
  <si>
    <t>产品贷款价格调整</t>
  </si>
  <si>
    <t>产品担保方式组合调节</t>
  </si>
  <si>
    <t>产品期限结构组合调节</t>
  </si>
  <si>
    <t>涉农贷款调节项</t>
  </si>
  <si>
    <t>调节后</t>
  </si>
  <si>
    <t>七级产品ID</t>
  </si>
  <si>
    <t>FTP利率</t>
  </si>
  <si>
    <t>FTP利差</t>
  </si>
  <si>
    <t>FTP收支</t>
  </si>
  <si>
    <t>FTP利润</t>
  </si>
  <si>
    <t>点差</t>
  </si>
  <si>
    <t>金额</t>
  </si>
  <si>
    <t>对公1天通知存款</t>
  </si>
  <si>
    <t>国内保理项下保函保证金</t>
  </si>
  <si>
    <t>货押授信项下保函保证金</t>
  </si>
  <si>
    <t>城乡个人生产经营贷款（中小）</t>
  </si>
  <si>
    <t>城乡个人生产经营贷款（微小）</t>
  </si>
  <si>
    <t>小微企业（主）贷款（中小）</t>
  </si>
  <si>
    <t>小微企业（主）贷款（微小）</t>
  </si>
  <si>
    <t>定期存款质押贷款（经营微小）</t>
  </si>
  <si>
    <t>拆放系统内款项</t>
  </si>
  <si>
    <t xml:space="preserve">      结构性存款</t>
    <phoneticPr fontId="1" type="noConversion"/>
  </si>
  <si>
    <t>5、理财产品投资收益</t>
  </si>
  <si>
    <t>定期存款（含结构性存款）</t>
    <phoneticPr fontId="1" type="noConversion"/>
  </si>
  <si>
    <t>存款</t>
    <phoneticPr fontId="1" type="noConversion"/>
  </si>
  <si>
    <t xml:space="preserve">   结构性存款</t>
    <phoneticPr fontId="1" type="noConversion"/>
  </si>
  <si>
    <t>单位定期</t>
    <phoneticPr fontId="1" type="noConversion"/>
  </si>
  <si>
    <t>个人定期</t>
    <phoneticPr fontId="1" type="noConversion"/>
  </si>
  <si>
    <t>应收小额短期农户消费贷款利息</t>
  </si>
  <si>
    <t>  11321001</t>
  </si>
  <si>
    <t>应收小额中期农户生产经营性贷款利息</t>
  </si>
  <si>
    <t>  11321008</t>
  </si>
  <si>
    <t>小额短期农户消费贷款-本金</t>
  </si>
  <si>
    <t>  13010101</t>
  </si>
  <si>
    <t>小额中期农户生产经营性贷款-本金</t>
  </si>
  <si>
    <t>  13010206</t>
  </si>
  <si>
    <t>保函垫款</t>
  </si>
  <si>
    <t>  130803</t>
  </si>
  <si>
    <t>保函业务垫款-本金</t>
  </si>
  <si>
    <t>  13080301</t>
  </si>
  <si>
    <t>单位大额存单</t>
  </si>
  <si>
    <t>  200204</t>
  </si>
  <si>
    <t>单位大额存单本金</t>
  </si>
  <si>
    <t>  20020401</t>
  </si>
  <si>
    <t>个人大额存单</t>
  </si>
  <si>
    <t>  200409</t>
  </si>
  <si>
    <t>个人大额存单本金</t>
  </si>
  <si>
    <t>  20040901</t>
  </si>
  <si>
    <t>单位其他定期担保贷款保证金存款本金</t>
  </si>
  <si>
    <t>  20140217</t>
  </si>
  <si>
    <t>  201713</t>
  </si>
  <si>
    <t>活期基金公司存放本金</t>
  </si>
  <si>
    <t>  20171309</t>
  </si>
  <si>
    <t>应付单位大额存单利息</t>
  </si>
  <si>
    <t>  22310911</t>
  </si>
  <si>
    <t>应付个人大额存单利息</t>
  </si>
  <si>
    <t>  22311024</t>
  </si>
  <si>
    <t>应付单位其他定期担保贷款保证金存款利息</t>
  </si>
  <si>
    <t>  22311466</t>
  </si>
  <si>
    <t>应付租金</t>
  </si>
  <si>
    <t>  224116</t>
  </si>
  <si>
    <t>  22411601</t>
  </si>
  <si>
    <t>向银行业存款类金融机构发行</t>
  </si>
  <si>
    <t>  250302</t>
  </si>
  <si>
    <t>  25030201</t>
  </si>
  <si>
    <t>小额短期农户消费贷款利息收入</t>
  </si>
  <si>
    <t>  60110101</t>
  </si>
  <si>
    <t>小额中期农户生产经营性贷款利息收入</t>
  </si>
  <si>
    <t>  60110108</t>
  </si>
  <si>
    <t>活期存放商业银行利息收入</t>
  </si>
  <si>
    <t>  60120203</t>
  </si>
  <si>
    <t>自营外汇买卖损益</t>
  </si>
  <si>
    <t>  606102</t>
  </si>
  <si>
    <t>  60610201</t>
  </si>
  <si>
    <t>投资利息收入</t>
  </si>
  <si>
    <t>单位大额存单利息支出</t>
  </si>
  <si>
    <t>  64110211</t>
  </si>
  <si>
    <t>个人大额存单利息支出</t>
  </si>
  <si>
    <t>  64110424</t>
  </si>
  <si>
    <t>单位其他定期担保贷款保证金存款利息支出</t>
  </si>
  <si>
    <t>  64110766</t>
  </si>
  <si>
    <t>  64120902</t>
  </si>
  <si>
    <t>存款保险金</t>
  </si>
  <si>
    <t>  66010703</t>
  </si>
  <si>
    <t>两年保证金存款</t>
  </si>
  <si>
    <t>三年保证金存款</t>
  </si>
  <si>
    <t>商业承兑汇票贴现垫款</t>
  </si>
  <si>
    <t>速e贷款</t>
  </si>
  <si>
    <t>活期存放商业银行（清算）</t>
  </si>
  <si>
    <t>存放境内外资银行</t>
  </si>
  <si>
    <t>活期存放境内外资银行</t>
  </si>
  <si>
    <t>活期存放境内外资银行（清算）</t>
  </si>
  <si>
    <t>活期存放境外同业款项</t>
  </si>
  <si>
    <t>存放信用社</t>
  </si>
  <si>
    <t>活期存放信用社</t>
  </si>
  <si>
    <t>活期存放信用社（清算）</t>
  </si>
  <si>
    <t>活期商业银行同业存放款项（清算）</t>
  </si>
  <si>
    <t>活期境内外资银行同业存放款项（清算）</t>
  </si>
  <si>
    <t>活期集团内村镇银行同业存放款项（清算）</t>
  </si>
  <si>
    <t>活期信用社存放</t>
  </si>
  <si>
    <t>活期信用社存放（清算）</t>
  </si>
  <si>
    <t>定期信用社存放</t>
  </si>
  <si>
    <t>质押式正回购-债券</t>
  </si>
  <si>
    <t>质押式逆回购-债券</t>
  </si>
  <si>
    <t>买/卖断式回购</t>
  </si>
  <si>
    <t>卖断式正回购</t>
  </si>
  <si>
    <t>卖断式正回购-其他债券</t>
  </si>
  <si>
    <t>买断式逆回购-票据</t>
  </si>
  <si>
    <t>买断式逆回购-其他债券</t>
  </si>
  <si>
    <t>拆放同业</t>
  </si>
  <si>
    <t>拆放商业银行</t>
  </si>
  <si>
    <t>同业拆入</t>
  </si>
  <si>
    <t>政策性银行拆入</t>
  </si>
  <si>
    <t>商业银行拆入</t>
  </si>
  <si>
    <t>经营性债券</t>
  </si>
  <si>
    <t>交易类债券</t>
  </si>
  <si>
    <t>可供出售类债券</t>
  </si>
  <si>
    <t>地方政府债</t>
  </si>
  <si>
    <t>持有至到期类债券</t>
  </si>
  <si>
    <t>金融债</t>
  </si>
  <si>
    <t>理财投资</t>
  </si>
  <si>
    <t>自营理财类投资</t>
  </si>
  <si>
    <t>代客非保本理财（对公）</t>
  </si>
  <si>
    <t>代客非保本理财（个人）</t>
  </si>
  <si>
    <t>代客非保本理财（金融市场）</t>
  </si>
  <si>
    <t>代客非保本理财资产</t>
  </si>
  <si>
    <t>代客保本理财</t>
  </si>
  <si>
    <t>代客保本理财（金融市场）</t>
  </si>
  <si>
    <t>代客保本理财（对公）</t>
  </si>
  <si>
    <t>代客保本理财（个人）</t>
  </si>
  <si>
    <t>同业存单发行（其他同业）</t>
  </si>
  <si>
    <t>存放境外存款类金融机构</t>
  </si>
  <si>
    <t>活期存放境外存款类金融机构</t>
  </si>
  <si>
    <t>存放交易及结算类金融机构</t>
  </si>
  <si>
    <t>  101115</t>
  </si>
  <si>
    <t>  101302</t>
  </si>
  <si>
    <t>  10130201</t>
  </si>
  <si>
    <t>拆放其他非存款类金融机构</t>
  </si>
  <si>
    <t>其他交易性金融资产-公允价值变动</t>
  </si>
  <si>
    <t>  11019902</t>
  </si>
  <si>
    <t>买断式买入返售国债</t>
  </si>
  <si>
    <t>  11110401</t>
  </si>
  <si>
    <t>买断式买入返售金融债</t>
  </si>
  <si>
    <t>  11110402</t>
  </si>
  <si>
    <t>应收清算资金</t>
  </si>
  <si>
    <t>  122113</t>
  </si>
  <si>
    <t>  12211301</t>
  </si>
  <si>
    <t>银联渠道应收清算款</t>
  </si>
  <si>
    <t>  12211302</t>
  </si>
  <si>
    <t>应收手续费及佣金收入</t>
  </si>
  <si>
    <t>  12219904</t>
  </si>
  <si>
    <t>应收款项类投资减值准备</t>
  </si>
  <si>
    <t>  123105</t>
  </si>
  <si>
    <t>  12310501</t>
  </si>
  <si>
    <t>持有至到期投资减值准备</t>
  </si>
  <si>
    <t>  1502</t>
  </si>
  <si>
    <t>持有至到期其他投资减值准备</t>
  </si>
  <si>
    <t>  150202</t>
  </si>
  <si>
    <t>  15020201</t>
  </si>
  <si>
    <t>其他可供出售金融资产-公允价值变动</t>
  </si>
  <si>
    <t>  15039904</t>
  </si>
  <si>
    <t>长期股权投资-子公司</t>
  </si>
  <si>
    <t>  151101</t>
  </si>
  <si>
    <t>长期股权投资-子公司-成本</t>
  </si>
  <si>
    <t>  15110101</t>
  </si>
  <si>
    <t>其他单位定期结构性存款本金</t>
  </si>
  <si>
    <t>  20080203</t>
  </si>
  <si>
    <t>单位其他定期保函保证金存款本金</t>
  </si>
  <si>
    <t>  20140317</t>
  </si>
  <si>
    <t>个人六个月楼宇按揭贷款保证金存款本金</t>
  </si>
  <si>
    <t>  20140513</t>
  </si>
  <si>
    <t>个人三个月其他保证金存款本金</t>
  </si>
  <si>
    <t>  20149911</t>
  </si>
  <si>
    <t>单位其他存期其他保证金存款本金</t>
  </si>
  <si>
    <t>  20149917</t>
  </si>
  <si>
    <t>银行业非存款类存放</t>
  </si>
  <si>
    <t>  201712</t>
  </si>
  <si>
    <t>定期金融资产管理公司存放本金</t>
  </si>
  <si>
    <t>  20171207</t>
  </si>
  <si>
    <t>证券业金融机构存放</t>
  </si>
  <si>
    <t>活期证券公司存放本金</t>
  </si>
  <si>
    <t>  20171301</t>
  </si>
  <si>
    <t>定期基金公司存放本金</t>
  </si>
  <si>
    <t>  20171311</t>
  </si>
  <si>
    <t>其他非存款类金融机构存放</t>
  </si>
  <si>
    <t>活期其他非存款类金融机构存放本金</t>
  </si>
  <si>
    <t>活期其他非存款类金融机构存放应付利息</t>
  </si>
  <si>
    <t>定期金融资产管理公司存放应付利息</t>
  </si>
  <si>
    <t>  22310378</t>
  </si>
  <si>
    <t>活期基金公司存放应付利息</t>
  </si>
  <si>
    <t>  22310393</t>
  </si>
  <si>
    <t>定期基金公司存放应付利息</t>
  </si>
  <si>
    <t>  22310394</t>
  </si>
  <si>
    <t>应付个人六个月楼宇按揭贷款保证金存款利息</t>
  </si>
  <si>
    <t>  22311439</t>
  </si>
  <si>
    <t>应付个人三个月其他保证金存款利息</t>
  </si>
  <si>
    <t>  22311462</t>
  </si>
  <si>
    <t>应付单位其他定期保函保证金存款利息</t>
  </si>
  <si>
    <t>  22311467</t>
  </si>
  <si>
    <t>应付单位其他存期其他保证金存款利息</t>
  </si>
  <si>
    <t>  22311472</t>
  </si>
  <si>
    <t>其他单位定期结构性存款应付利息</t>
  </si>
  <si>
    <t>  22311705</t>
  </si>
  <si>
    <t>网上支付跨行清算</t>
  </si>
  <si>
    <t>  303111</t>
  </si>
  <si>
    <t>  30311101</t>
  </si>
  <si>
    <t>VISA资金往来</t>
  </si>
  <si>
    <t>  303112</t>
  </si>
  <si>
    <t>VISA取现清算资金往来</t>
  </si>
  <si>
    <t>  30311201</t>
  </si>
  <si>
    <t>VISA消费清算资金往来</t>
  </si>
  <si>
    <t>  30311202</t>
  </si>
  <si>
    <t>其他综合收益</t>
  </si>
  <si>
    <t>  4301</t>
  </si>
  <si>
    <t>  430101</t>
  </si>
  <si>
    <t>以后将重分类进损益的其他综合收益</t>
  </si>
  <si>
    <t>  43010101</t>
  </si>
  <si>
    <t>以后不能重分类进损益的其他综合收益</t>
  </si>
  <si>
    <t>  43010102</t>
  </si>
  <si>
    <t>VISA POS手续费收入</t>
  </si>
  <si>
    <t>  60210112</t>
  </si>
  <si>
    <t>VISA信用卡取现手续费收入</t>
  </si>
  <si>
    <t>  60210113</t>
  </si>
  <si>
    <t>VISA其他手续费收入</t>
  </si>
  <si>
    <t>  60210114</t>
  </si>
  <si>
    <t>  64110739</t>
  </si>
  <si>
    <t>单位其他定期保函保证金存款利息支出</t>
  </si>
  <si>
    <t>  64110767</t>
  </si>
  <si>
    <t>单位其他存期其他保证金存款利息支出</t>
  </si>
  <si>
    <t>  64110772</t>
  </si>
  <si>
    <t>其他单位定期结构性存款利息支出</t>
  </si>
  <si>
    <t>  64110805</t>
  </si>
  <si>
    <t>活期其他非存款类金融机构存放利息支出</t>
  </si>
  <si>
    <t>定期金融资产管理公司存放利息支出</t>
  </si>
  <si>
    <t>  64120478</t>
  </si>
  <si>
    <t>活期基金公司存放利息支出</t>
  </si>
  <si>
    <t>  64120493</t>
  </si>
  <si>
    <t>定期基金公司存放利息支出</t>
  </si>
  <si>
    <t>  64120494</t>
  </si>
  <si>
    <t>VISA费用支出</t>
  </si>
  <si>
    <t>  64210103</t>
  </si>
  <si>
    <t>已置换资产及其应收利息</t>
  </si>
  <si>
    <t>利率交易型结构性存款</t>
  </si>
  <si>
    <t>人民币利率交易型结构性存款</t>
  </si>
  <si>
    <t>票据质押项下保函保证金</t>
  </si>
  <si>
    <t>其他表内信贷业务</t>
  </si>
  <si>
    <t>存放其他同业款项</t>
  </si>
  <si>
    <t>定期存放其他同业款项</t>
  </si>
  <si>
    <t>活期政策性银行同业存放款项（清算）</t>
  </si>
  <si>
    <t>同业存单发行（银行业存款类机构）</t>
  </si>
  <si>
    <t>科目代号</t>
  </si>
  <si>
    <t>上年同期数</t>
  </si>
  <si>
    <t xml:space="preserve">本年累计数     </t>
  </si>
  <si>
    <t>001</t>
  </si>
  <si>
    <t>一、营业收入</t>
  </si>
  <si>
    <t>002</t>
  </si>
  <si>
    <t>6011利息收入</t>
  </si>
  <si>
    <t>003</t>
  </si>
  <si>
    <t>1、农户贷款利息收入</t>
  </si>
  <si>
    <t>004</t>
  </si>
  <si>
    <t>2、农村经济组织贷款利息收入</t>
  </si>
  <si>
    <t>005</t>
  </si>
  <si>
    <t>3、农村企业贷款利息收入</t>
  </si>
  <si>
    <t>006</t>
  </si>
  <si>
    <t>4、非农贷款利息收入</t>
  </si>
  <si>
    <t>007</t>
  </si>
  <si>
    <t>5、信用卡透支利息收入</t>
  </si>
  <si>
    <t>008</t>
  </si>
  <si>
    <t>6、贴现利息收入</t>
  </si>
  <si>
    <t>009</t>
  </si>
  <si>
    <t>7、贸易融资利息收入</t>
  </si>
  <si>
    <t>010</t>
  </si>
  <si>
    <t>8、垫款利息收入</t>
  </si>
  <si>
    <t>011</t>
  </si>
  <si>
    <t>9、已减值贷款利息收入</t>
  </si>
  <si>
    <t>012</t>
  </si>
  <si>
    <t>10、法人账户透支利息收入</t>
  </si>
  <si>
    <t>013</t>
  </si>
  <si>
    <t>014</t>
  </si>
  <si>
    <t>015</t>
  </si>
  <si>
    <t>6012金融机构往来收入</t>
  </si>
  <si>
    <t>016</t>
  </si>
  <si>
    <t>1、存放中央银行款项利息收入</t>
  </si>
  <si>
    <t>017</t>
  </si>
  <si>
    <t>2、存放同业款项利息收入</t>
  </si>
  <si>
    <t>018</t>
  </si>
  <si>
    <t>3、存放系统内款项利息收入</t>
  </si>
  <si>
    <t>019</t>
  </si>
  <si>
    <t>4、拆放同业款项利息收入</t>
  </si>
  <si>
    <t>020</t>
  </si>
  <si>
    <t>5、拆放系统内款项利息收入</t>
  </si>
  <si>
    <t>021</t>
  </si>
  <si>
    <t>6、存出保证金利息收入</t>
  </si>
  <si>
    <t>022</t>
  </si>
  <si>
    <t>7、买入返售金融资产利息收入</t>
  </si>
  <si>
    <t>023</t>
  </si>
  <si>
    <t>8、转贴现利息收入</t>
  </si>
  <si>
    <t>024</t>
  </si>
  <si>
    <t>9、系统内转贴现利息收入</t>
  </si>
  <si>
    <t>025</t>
  </si>
  <si>
    <t>10、其他金融机构往来收入</t>
  </si>
  <si>
    <t>026</t>
  </si>
  <si>
    <t>027</t>
  </si>
  <si>
    <t>6021手续费及佣金收入</t>
  </si>
  <si>
    <t>028</t>
  </si>
  <si>
    <t>1、银行卡业务手续费收入</t>
  </si>
  <si>
    <t>029</t>
  </si>
  <si>
    <t>2、结算业务手续费收入</t>
  </si>
  <si>
    <t>030</t>
  </si>
  <si>
    <t>3、外汇业务手续费收入</t>
  </si>
  <si>
    <t>031</t>
  </si>
  <si>
    <t>4、代理业务手续费收入</t>
  </si>
  <si>
    <t>032</t>
  </si>
  <si>
    <t>5、担保业务手续费收入</t>
  </si>
  <si>
    <t>033</t>
  </si>
  <si>
    <t>6、账户管理费收入</t>
  </si>
  <si>
    <t>034</t>
  </si>
  <si>
    <t>7、其他手续费及佣金收入</t>
  </si>
  <si>
    <t>035</t>
  </si>
  <si>
    <t>036</t>
  </si>
  <si>
    <t>6051其他业务收入</t>
  </si>
  <si>
    <t>037</t>
  </si>
  <si>
    <t>1、投资性房地产租赁收入</t>
  </si>
  <si>
    <t>038</t>
  </si>
  <si>
    <t>2、抵债资产租赁收入</t>
  </si>
  <si>
    <t>039</t>
  </si>
  <si>
    <t>3、管理服务费收入</t>
  </si>
  <si>
    <t>040</t>
  </si>
  <si>
    <t>4、其他业务收入-其他</t>
  </si>
  <si>
    <t>041</t>
  </si>
  <si>
    <t>042</t>
  </si>
  <si>
    <t>6061汇兑损益</t>
  </si>
  <si>
    <t>043</t>
  </si>
  <si>
    <t>1、代客外汇买卖损益</t>
  </si>
  <si>
    <t>044</t>
  </si>
  <si>
    <t>2、自营外汇买卖损益</t>
  </si>
  <si>
    <t>045</t>
  </si>
  <si>
    <t>3、其他汇兑损益</t>
  </si>
  <si>
    <t>046</t>
  </si>
  <si>
    <t>047</t>
  </si>
  <si>
    <t>6101公允价值变动损益</t>
  </si>
  <si>
    <t>048</t>
  </si>
  <si>
    <t>1、交易性金融资产公允价值变动损益</t>
  </si>
  <si>
    <t>049</t>
  </si>
  <si>
    <t>2、交易性金融负债公允价值变动损益</t>
  </si>
  <si>
    <t>050</t>
  </si>
  <si>
    <t>3、衍生金融工具公允价值变动损益</t>
  </si>
  <si>
    <t>051</t>
  </si>
  <si>
    <t>4、结构性存款公允价值变动损益</t>
  </si>
  <si>
    <t>052</t>
  </si>
  <si>
    <t>5、其他公允价值变动损益</t>
  </si>
  <si>
    <t>053</t>
  </si>
  <si>
    <t>054</t>
  </si>
  <si>
    <t>6111投资收益</t>
  </si>
  <si>
    <t>055</t>
  </si>
  <si>
    <t>1、投资利息收入</t>
  </si>
  <si>
    <t>056</t>
  </si>
  <si>
    <t>2、投资买卖差价</t>
  </si>
  <si>
    <t>057</t>
  </si>
  <si>
    <t>3、投资红利</t>
  </si>
  <si>
    <t>058</t>
  </si>
  <si>
    <t>4、长期股权投资收益</t>
  </si>
  <si>
    <t>059</t>
  </si>
  <si>
    <t>5、指定公允价值计量金融资产损益</t>
  </si>
  <si>
    <t>060</t>
  </si>
  <si>
    <t>6、其他投资收益</t>
  </si>
  <si>
    <t>061</t>
  </si>
  <si>
    <t>062</t>
  </si>
  <si>
    <t>二、营业支出</t>
  </si>
  <si>
    <t>063</t>
  </si>
  <si>
    <t>6411利息支出</t>
  </si>
  <si>
    <t>064</t>
  </si>
  <si>
    <t>1、单位活期存款利息支出</t>
  </si>
  <si>
    <t>065</t>
  </si>
  <si>
    <t>2、单位定期存款利息支出</t>
  </si>
  <si>
    <t>066</t>
  </si>
  <si>
    <t>3、个人活期存款利息支出</t>
  </si>
  <si>
    <t>067</t>
  </si>
  <si>
    <t>4、个人定期存款利息支出</t>
  </si>
  <si>
    <t>068</t>
  </si>
  <si>
    <t>5、银行卡存款利息支出</t>
  </si>
  <si>
    <t>069</t>
  </si>
  <si>
    <t>6、财政性存款利息支出</t>
  </si>
  <si>
    <t>070</t>
  </si>
  <si>
    <t>7、保证金存款利息支出</t>
  </si>
  <si>
    <t>071</t>
  </si>
  <si>
    <t>8、结构性存款利息支出</t>
  </si>
  <si>
    <t>072</t>
  </si>
  <si>
    <t>9、其他利息支出</t>
  </si>
  <si>
    <t>073</t>
  </si>
  <si>
    <t>074</t>
  </si>
  <si>
    <t>6412金融机构往来支出</t>
  </si>
  <si>
    <t>075</t>
  </si>
  <si>
    <t>1、向中央银行借款利息支出</t>
  </si>
  <si>
    <t>076</t>
  </si>
  <si>
    <t>2、系统内存放款项利息支出</t>
  </si>
  <si>
    <t>077</t>
  </si>
  <si>
    <t>3、系统内拆入款项利息支出</t>
  </si>
  <si>
    <t>078</t>
  </si>
  <si>
    <t>4、同业存放款项利息支出</t>
  </si>
  <si>
    <t>079</t>
  </si>
  <si>
    <t>5、同业拆入款项利息支出</t>
  </si>
  <si>
    <t>080</t>
  </si>
  <si>
    <t>6、卖出回购金融资产利息支出</t>
  </si>
  <si>
    <t>081</t>
  </si>
  <si>
    <t>7、转（再）贴现利息支出</t>
  </si>
  <si>
    <t>082</t>
  </si>
  <si>
    <t>8、系统内转贴现利息支出</t>
  </si>
  <si>
    <t>083</t>
  </si>
  <si>
    <t>9、同业存单利息支出</t>
  </si>
  <si>
    <t>084</t>
  </si>
  <si>
    <t>10、其他利息支出</t>
  </si>
  <si>
    <t>085</t>
  </si>
  <si>
    <t>086</t>
  </si>
  <si>
    <t>6421手续费及佣金支出</t>
  </si>
  <si>
    <t>087</t>
  </si>
  <si>
    <t>1、银行卡业务手续费支出</t>
  </si>
  <si>
    <t>088</t>
  </si>
  <si>
    <t>2、结算业务手续费支出</t>
  </si>
  <si>
    <t>089</t>
  </si>
  <si>
    <t>3、代理业务手续费支出</t>
  </si>
  <si>
    <t>090</t>
  </si>
  <si>
    <t>4、合作远期结售汇业务支出</t>
  </si>
  <si>
    <t>091</t>
  </si>
  <si>
    <t>5、电子渠道业务手续费支出</t>
  </si>
  <si>
    <t>092</t>
  </si>
  <si>
    <t>6、其他手续费及佣金支出</t>
  </si>
  <si>
    <t>093</t>
  </si>
  <si>
    <t>7、其他中间业务支出</t>
  </si>
  <si>
    <t>094</t>
  </si>
  <si>
    <t>095</t>
  </si>
  <si>
    <t>6601业务及管理费用</t>
  </si>
  <si>
    <t>096</t>
  </si>
  <si>
    <t>1、广告及业务宣传费</t>
  </si>
  <si>
    <t>097</t>
  </si>
  <si>
    <t>2、印刷费</t>
  </si>
  <si>
    <t>098</t>
  </si>
  <si>
    <t>3、业务招待费</t>
  </si>
  <si>
    <t>099</t>
  </si>
  <si>
    <t>4、电子设备运转费</t>
  </si>
  <si>
    <t>100</t>
  </si>
  <si>
    <t>5、钞币运送费</t>
  </si>
  <si>
    <t>101</t>
  </si>
  <si>
    <t>6、安全防卫费</t>
  </si>
  <si>
    <t>102</t>
  </si>
  <si>
    <t>7、保险费</t>
  </si>
  <si>
    <t>103</t>
  </si>
  <si>
    <t>8、邮电费</t>
  </si>
  <si>
    <t>104</t>
  </si>
  <si>
    <t>9、诉讼费</t>
  </si>
  <si>
    <t>105</t>
  </si>
  <si>
    <t>10、公证费</t>
  </si>
  <si>
    <t>106</t>
  </si>
  <si>
    <t>11、咨询费</t>
  </si>
  <si>
    <t>107</t>
  </si>
  <si>
    <t>12、审计费</t>
  </si>
  <si>
    <t>108</t>
  </si>
  <si>
    <t>13、监管费</t>
  </si>
  <si>
    <t>109</t>
  </si>
  <si>
    <t>14、技术转让费</t>
  </si>
  <si>
    <t>110</t>
  </si>
  <si>
    <t>15、研究开发费</t>
  </si>
  <si>
    <t>111</t>
  </si>
  <si>
    <t>16、外事费</t>
  </si>
  <si>
    <t>112</t>
  </si>
  <si>
    <t>17、公杂费</t>
  </si>
  <si>
    <t>113</t>
  </si>
  <si>
    <t>18、差旅费</t>
  </si>
  <si>
    <t>114</t>
  </si>
  <si>
    <t>19、水电费</t>
  </si>
  <si>
    <t>115</t>
  </si>
  <si>
    <t>20、会议费</t>
  </si>
  <si>
    <t>116</t>
  </si>
  <si>
    <t>21、绿化费</t>
  </si>
  <si>
    <t>117</t>
  </si>
  <si>
    <t>22、理（董）事会费</t>
  </si>
  <si>
    <t>118</t>
  </si>
  <si>
    <t>23、会费</t>
  </si>
  <si>
    <t>119</t>
  </si>
  <si>
    <t>24、税费</t>
  </si>
  <si>
    <t>120</t>
  </si>
  <si>
    <t>25、交通工具耗用费</t>
  </si>
  <si>
    <t>121</t>
  </si>
  <si>
    <t>26、开办费</t>
  </si>
  <si>
    <t>122</t>
  </si>
  <si>
    <t>27、管理服务费</t>
  </si>
  <si>
    <t>123</t>
  </si>
  <si>
    <t>28、物业费</t>
  </si>
  <si>
    <t>124</t>
  </si>
  <si>
    <t>29、职工工资</t>
  </si>
  <si>
    <t>125</t>
  </si>
  <si>
    <t>30、职工福利费</t>
  </si>
  <si>
    <t>126</t>
  </si>
  <si>
    <t>31、职工教育经费</t>
  </si>
  <si>
    <t>127</t>
  </si>
  <si>
    <t>32、工会经费</t>
  </si>
  <si>
    <t>128</t>
  </si>
  <si>
    <t>33、劳动保护费</t>
  </si>
  <si>
    <t>129</t>
  </si>
  <si>
    <t>34、基本养老保险金</t>
  </si>
  <si>
    <t>130</t>
  </si>
  <si>
    <t>35、基本医疗保险金</t>
  </si>
  <si>
    <t>131</t>
  </si>
  <si>
    <t>36、工伤保险金</t>
  </si>
  <si>
    <t>132</t>
  </si>
  <si>
    <t>37、生育保险金</t>
  </si>
  <si>
    <t>133</t>
  </si>
  <si>
    <t>38、失业保险金</t>
  </si>
  <si>
    <t>134</t>
  </si>
  <si>
    <t>39、补充养老保险金</t>
  </si>
  <si>
    <t>135</t>
  </si>
  <si>
    <t>40、补充医疗保险金</t>
  </si>
  <si>
    <t>136</t>
  </si>
  <si>
    <t>41、其他保险金</t>
  </si>
  <si>
    <t>137</t>
  </si>
  <si>
    <t>42、股份支付</t>
  </si>
  <si>
    <t>138</t>
  </si>
  <si>
    <t>43、辞退福利</t>
  </si>
  <si>
    <t>139</t>
  </si>
  <si>
    <t>44、非货币性福利</t>
  </si>
  <si>
    <t>140</t>
  </si>
  <si>
    <t>45、住房公积金</t>
  </si>
  <si>
    <t>141</t>
  </si>
  <si>
    <t>46、劳务派遣费用</t>
  </si>
  <si>
    <t>142</t>
  </si>
  <si>
    <t>47、租赁费</t>
  </si>
  <si>
    <t>143</t>
  </si>
  <si>
    <t>48、修理费</t>
  </si>
  <si>
    <t>144</t>
  </si>
  <si>
    <t>49、低值易耗品摊销</t>
  </si>
  <si>
    <t>145</t>
  </si>
  <si>
    <t>50、长期待摊费用摊销</t>
  </si>
  <si>
    <t>146</t>
  </si>
  <si>
    <t>51、无形资产摊销</t>
  </si>
  <si>
    <t>147</t>
  </si>
  <si>
    <t>52、固定资产折旧费</t>
  </si>
  <si>
    <t>148</t>
  </si>
  <si>
    <t>53、住房维修基金</t>
  </si>
  <si>
    <t>149</t>
  </si>
  <si>
    <t>54、其他费用</t>
  </si>
  <si>
    <t>150</t>
  </si>
  <si>
    <t>151</t>
  </si>
  <si>
    <t>6602其他业务支出</t>
  </si>
  <si>
    <t>152</t>
  </si>
  <si>
    <t>1、抵债资产保管费用</t>
  </si>
  <si>
    <t>153</t>
  </si>
  <si>
    <t>2、投资性房地产折旧及摊销</t>
  </si>
  <si>
    <t>154</t>
  </si>
  <si>
    <t>3、投资性房地产维修费</t>
  </si>
  <si>
    <t>155</t>
  </si>
  <si>
    <t>4、租赁资产折旧及摊销</t>
  </si>
  <si>
    <t>156</t>
  </si>
  <si>
    <t>5、租赁资产维修费</t>
  </si>
  <si>
    <t>157</t>
  </si>
  <si>
    <t>6、其他业务支出-其他</t>
  </si>
  <si>
    <t>158</t>
  </si>
  <si>
    <t>159</t>
  </si>
  <si>
    <t>160</t>
  </si>
  <si>
    <t>1、营业税</t>
  </si>
  <si>
    <t>161</t>
  </si>
  <si>
    <t>2、其他税金及附加</t>
  </si>
  <si>
    <t>162</t>
  </si>
  <si>
    <t>163</t>
  </si>
  <si>
    <t>6701资产减值损失</t>
  </si>
  <si>
    <t>164</t>
  </si>
  <si>
    <t>1、存放同业坏账损失</t>
  </si>
  <si>
    <t>165</t>
  </si>
  <si>
    <t>2、拆出资金减值损失</t>
  </si>
  <si>
    <t>166</t>
  </si>
  <si>
    <t>3、应收利息坏账损失</t>
  </si>
  <si>
    <t>167</t>
  </si>
  <si>
    <t>4、其他应收款坏账损失</t>
  </si>
  <si>
    <t>168</t>
  </si>
  <si>
    <t>5、贷款减值损失</t>
  </si>
  <si>
    <t>169</t>
  </si>
  <si>
    <t>6、可供出售金融资产减值损失</t>
  </si>
  <si>
    <t>170</t>
  </si>
  <si>
    <t>7、持有至到期投资减值损失</t>
  </si>
  <si>
    <t>171</t>
  </si>
  <si>
    <t>8、买入返售金融资产减值损失</t>
  </si>
  <si>
    <t>172</t>
  </si>
  <si>
    <t>9、长期股权投资减值损失</t>
  </si>
  <si>
    <t>173</t>
  </si>
  <si>
    <t>10、投资性房地产减值损失</t>
  </si>
  <si>
    <t>174</t>
  </si>
  <si>
    <t>11、固定资产减值损失</t>
  </si>
  <si>
    <t>175</t>
  </si>
  <si>
    <t>12、在建工程减值损失</t>
  </si>
  <si>
    <t>176</t>
  </si>
  <si>
    <t>13、无形资产减值损失</t>
  </si>
  <si>
    <t>177</t>
  </si>
  <si>
    <t>14、抵债资产减值损失</t>
  </si>
  <si>
    <t>178</t>
  </si>
  <si>
    <t>15、贵金属跌价损失</t>
  </si>
  <si>
    <t>179</t>
  </si>
  <si>
    <t>16、其他资产减值损失</t>
  </si>
  <si>
    <t>180</t>
  </si>
  <si>
    <t>181</t>
  </si>
  <si>
    <t>三、营业利润（净亏损以“—”号填列）</t>
  </si>
  <si>
    <t>182</t>
  </si>
  <si>
    <t>183</t>
  </si>
  <si>
    <t>加：6301营业外收入</t>
  </si>
  <si>
    <t>184</t>
  </si>
  <si>
    <t>1、固定资产处置利得</t>
  </si>
  <si>
    <t>185</t>
  </si>
  <si>
    <t>2、抵债资产处置收入</t>
  </si>
  <si>
    <t>186</t>
  </si>
  <si>
    <t>3、长款收入</t>
  </si>
  <si>
    <t>187</t>
  </si>
  <si>
    <t>4、罚没款收入</t>
  </si>
  <si>
    <t>188</t>
  </si>
  <si>
    <t>5、政府补贴</t>
  </si>
  <si>
    <t>189</t>
  </si>
  <si>
    <t>6、债务重组收益</t>
  </si>
  <si>
    <t>190</t>
  </si>
  <si>
    <t>7、捐赠利得</t>
  </si>
  <si>
    <t>191</t>
  </si>
  <si>
    <t>8、久悬未取款项收入</t>
  </si>
  <si>
    <t>192</t>
  </si>
  <si>
    <t>9、其他营业外收入</t>
  </si>
  <si>
    <t>193</t>
  </si>
  <si>
    <t>194</t>
  </si>
  <si>
    <t>减：6711营业外支出</t>
  </si>
  <si>
    <t>195</t>
  </si>
  <si>
    <t>1、抵债资产处置损失</t>
  </si>
  <si>
    <t>196</t>
  </si>
  <si>
    <t>2、非常损失</t>
  </si>
  <si>
    <t>197</t>
  </si>
  <si>
    <t>3、资产盘亏及清理损失</t>
  </si>
  <si>
    <t>198</t>
  </si>
  <si>
    <t>4、出纳结算赔款</t>
  </si>
  <si>
    <t>199</t>
  </si>
  <si>
    <t>5、罚没支出</t>
  </si>
  <si>
    <t>200</t>
  </si>
  <si>
    <t>6、久悬未取款项支出</t>
  </si>
  <si>
    <t>201</t>
  </si>
  <si>
    <t>7、债务重组损失</t>
  </si>
  <si>
    <t>202</t>
  </si>
  <si>
    <t>8、捐赠支出</t>
  </si>
  <si>
    <t>203</t>
  </si>
  <si>
    <t>9、其他营业外支出</t>
  </si>
  <si>
    <t>204</t>
  </si>
  <si>
    <t>加:5601以前年度损益调整</t>
  </si>
  <si>
    <t>205</t>
  </si>
  <si>
    <t>四、利润总额（净亏损以“—”号填列）</t>
  </si>
  <si>
    <t>206</t>
  </si>
  <si>
    <t>207</t>
  </si>
  <si>
    <t>减：6801所得税费用</t>
  </si>
  <si>
    <t>208</t>
  </si>
  <si>
    <t>1、当期所得税费用</t>
  </si>
  <si>
    <t>209</t>
  </si>
  <si>
    <t>2、递延所得税费用</t>
  </si>
  <si>
    <t>210</t>
  </si>
  <si>
    <t>211</t>
  </si>
  <si>
    <t>五、净利润（净亏损以“—”号填列）</t>
  </si>
  <si>
    <t>212</t>
  </si>
  <si>
    <t>213</t>
  </si>
  <si>
    <t>六、其他综合收益</t>
  </si>
  <si>
    <t>214</t>
  </si>
  <si>
    <t>215</t>
  </si>
  <si>
    <t>七、综合收益总额</t>
  </si>
  <si>
    <t>定期存款</t>
  </si>
  <si>
    <t xml:space="preserve">   对公定期存款</t>
  </si>
  <si>
    <t xml:space="preserve">   个人定期存款  </t>
  </si>
  <si>
    <t>活期存款</t>
  </si>
  <si>
    <t>实质性贷款</t>
  </si>
  <si>
    <t>金融市场业务资产</t>
    <phoneticPr fontId="1" type="noConversion"/>
  </si>
  <si>
    <t>金融市场业务负债</t>
    <phoneticPr fontId="1" type="noConversion"/>
  </si>
  <si>
    <t>其他单位</t>
    <phoneticPr fontId="1" type="noConversion"/>
  </si>
  <si>
    <t>2015年利息净收入</t>
  </si>
  <si>
    <t>2014年利息净收入</t>
  </si>
  <si>
    <t>变动</t>
  </si>
  <si>
    <t>规模（日均）</t>
  </si>
  <si>
    <t>利率</t>
  </si>
  <si>
    <t>利率变动</t>
  </si>
  <si>
    <t>收支</t>
  </si>
  <si>
    <t>收支变动</t>
  </si>
  <si>
    <t>保本理财资产</t>
  </si>
  <si>
    <t>公司存款</t>
  </si>
  <si>
    <t>2014年利率</t>
    <phoneticPr fontId="1" type="noConversion"/>
  </si>
  <si>
    <t>单位：亿元</t>
    <phoneticPr fontId="1" type="noConversion"/>
  </si>
  <si>
    <t>对净利息收入的影响</t>
    <phoneticPr fontId="1" type="noConversion"/>
  </si>
  <si>
    <t>规模增幅</t>
    <phoneticPr fontId="1" type="noConversion"/>
  </si>
  <si>
    <t>规模因素</t>
    <phoneticPr fontId="1" type="noConversion"/>
  </si>
  <si>
    <t>结构因素</t>
    <phoneticPr fontId="1" type="noConversion"/>
  </si>
  <si>
    <t>价格因素</t>
    <phoneticPr fontId="1" type="noConversion"/>
  </si>
  <si>
    <t>同业资产</t>
    <phoneticPr fontId="1" type="noConversion"/>
  </si>
  <si>
    <t>债券投资</t>
    <phoneticPr fontId="1" type="noConversion"/>
  </si>
  <si>
    <t>结构性存款</t>
    <phoneticPr fontId="1" type="noConversion"/>
  </si>
  <si>
    <t>生息资产</t>
    <phoneticPr fontId="1" type="noConversion"/>
  </si>
  <si>
    <t>付息负债</t>
    <phoneticPr fontId="1" type="noConversion"/>
  </si>
  <si>
    <t>较年初</t>
  </si>
  <si>
    <t>较上年同期</t>
  </si>
  <si>
    <t>付息率变动</t>
  </si>
  <si>
    <t>余额</t>
  </si>
  <si>
    <t>付息率</t>
  </si>
  <si>
    <t>按存款主体</t>
  </si>
  <si>
    <t>按存款期限</t>
  </si>
  <si>
    <t xml:space="preserve">   其中：协议存款</t>
  </si>
  <si>
    <t xml:space="preserve">         国库定期存款</t>
  </si>
  <si>
    <t xml:space="preserve">         对公保本理财</t>
  </si>
  <si>
    <t xml:space="preserve">   其中：个人保本理财</t>
  </si>
  <si>
    <t xml:space="preserve">   对公活期存款</t>
  </si>
  <si>
    <t xml:space="preserve">   个人活期存款</t>
  </si>
  <si>
    <t xml:space="preserve">   非银活期存款  </t>
  </si>
  <si>
    <t xml:space="preserve">   对公条线贷款</t>
    <phoneticPr fontId="105" type="noConversion"/>
  </si>
  <si>
    <t xml:space="preserve">         流动资金贷款</t>
    <phoneticPr fontId="105" type="noConversion"/>
  </si>
  <si>
    <t xml:space="preserve">         贸易融资</t>
  </si>
  <si>
    <t xml:space="preserve">         1000万以上个人经营性贷款</t>
    <phoneticPr fontId="105" type="noConversion"/>
  </si>
  <si>
    <t xml:space="preserve">         其他贷款及垫款</t>
  </si>
  <si>
    <t xml:space="preserve">   零售条线贷款</t>
    <phoneticPr fontId="105" type="noConversion"/>
  </si>
  <si>
    <t xml:space="preserve">        按揭贷款</t>
  </si>
  <si>
    <t xml:space="preserve">        其他消费贷款</t>
    <phoneticPr fontId="105" type="noConversion"/>
  </si>
  <si>
    <t xml:space="preserve">        微小贷（自营）</t>
    <phoneticPr fontId="105" type="noConversion"/>
  </si>
  <si>
    <t>贴现</t>
    <phoneticPr fontId="1" type="noConversion"/>
  </si>
  <si>
    <t>各项贷款</t>
    <phoneticPr fontId="1" type="noConversion"/>
  </si>
  <si>
    <t>（单位：亿元、%）</t>
    <phoneticPr fontId="1" type="noConversion"/>
  </si>
  <si>
    <t xml:space="preserve">         项目贷款</t>
    <phoneticPr fontId="1" type="noConversion"/>
  </si>
  <si>
    <t xml:space="preserve">        1000万（含）以下个人经营性贷款</t>
    <phoneticPr fontId="105" type="noConversion"/>
  </si>
  <si>
    <t>利息收入</t>
    <phoneticPr fontId="1" type="noConversion"/>
  </si>
  <si>
    <t>收益率</t>
    <phoneticPr fontId="1" type="noConversion"/>
  </si>
  <si>
    <t>付息率</t>
    <phoneticPr fontId="1" type="noConversion"/>
  </si>
  <si>
    <t>年初</t>
    <phoneticPr fontId="1" type="noConversion"/>
  </si>
  <si>
    <t>上年同期</t>
    <phoneticPr fontId="1" type="noConversion"/>
  </si>
  <si>
    <t>项目
（单位：亿元，%）</t>
  </si>
  <si>
    <t>日均规模</t>
  </si>
  <si>
    <t>存拆放同业</t>
  </si>
  <si>
    <t>正回购</t>
  </si>
  <si>
    <t>上年同期</t>
    <phoneticPr fontId="1" type="noConversion"/>
  </si>
  <si>
    <t>收益率/成本率</t>
    <phoneticPr fontId="1" type="noConversion"/>
  </si>
  <si>
    <t>存款（含结构性存款）</t>
    <phoneticPr fontId="1" type="noConversion"/>
  </si>
  <si>
    <t>定期存款</t>
    <phoneticPr fontId="1" type="noConversion"/>
  </si>
  <si>
    <t>零售条线贷款</t>
    <phoneticPr fontId="1" type="noConversion"/>
  </si>
  <si>
    <t>实质性贷款</t>
    <phoneticPr fontId="1" type="noConversion"/>
  </si>
  <si>
    <t>11、其他利息收入</t>
  </si>
  <si>
    <t>活期存放交易及结算类金融机构</t>
  </si>
  <si>
    <t>  10111501</t>
  </si>
  <si>
    <t>应收利息坏账准备</t>
  </si>
  <si>
    <t>  123103</t>
  </si>
  <si>
    <t>  12310301</t>
  </si>
  <si>
    <t>长期股权投资－子公司－溢价</t>
  </si>
  <si>
    <t>  15110104</t>
  </si>
  <si>
    <t>活期集团内金融租赁公司存放本金</t>
  </si>
  <si>
    <t>  20171209</t>
  </si>
  <si>
    <t>活期集团内金融租赁公司存放应付利息</t>
  </si>
  <si>
    <t>  22310379</t>
  </si>
  <si>
    <t>债券借贷业务手续费收入</t>
  </si>
  <si>
    <t>  60219917</t>
  </si>
  <si>
    <t>活期集团内金融租赁公司存放利息支出</t>
  </si>
  <si>
    <t>  64120479</t>
  </si>
  <si>
    <t>定期集团内金融租赁公司存放利息支出</t>
  </si>
  <si>
    <t>  64120480</t>
  </si>
  <si>
    <t>应收信用证卖方款项</t>
  </si>
  <si>
    <t>应收即期信用证卖方款项</t>
  </si>
  <si>
    <t>开来信用证凭信</t>
  </si>
  <si>
    <t>债券借贷业务债券</t>
  </si>
  <si>
    <t>  9127</t>
  </si>
  <si>
    <t>债券借贷业务借出债券</t>
  </si>
  <si>
    <t>  912701</t>
  </si>
  <si>
    <t>  91270101</t>
  </si>
  <si>
    <t>债券借贷业务质入债券</t>
  </si>
  <si>
    <t>  912704</t>
  </si>
  <si>
    <t>  91270401</t>
  </si>
  <si>
    <t>当前</t>
  </si>
  <si>
    <t>期间</t>
  </si>
  <si>
    <t>当天加权执行利率</t>
  </si>
  <si>
    <t>账面收支</t>
  </si>
  <si>
    <t>付息率或收息率</t>
  </si>
  <si>
    <t>中央国库九个月定期存款</t>
  </si>
  <si>
    <t>证券化业务</t>
  </si>
  <si>
    <t>活期存放其他同业款项</t>
  </si>
  <si>
    <t>活期存放其他同业款项（清算）</t>
  </si>
  <si>
    <t>非银存放</t>
  </si>
  <si>
    <t>活期非银存放</t>
  </si>
  <si>
    <t>定期非银存放</t>
  </si>
  <si>
    <t>卖断式正回购-金融债</t>
  </si>
  <si>
    <t>买断式逆回购-国债</t>
  </si>
  <si>
    <t>买断式逆回购-金融债</t>
  </si>
  <si>
    <t>买断式逆回购-企业债</t>
  </si>
  <si>
    <t>数据来源:统一报表平台－总帐科目查询</t>
    <phoneticPr fontId="1" type="noConversion"/>
  </si>
  <si>
    <t>交易性金融负债</t>
    <phoneticPr fontId="1" type="noConversion"/>
  </si>
  <si>
    <t>差异调整</t>
    <phoneticPr fontId="1" type="noConversion"/>
  </si>
  <si>
    <t>天数</t>
    <phoneticPr fontId="1" type="noConversion"/>
  </si>
  <si>
    <t>金融市场资产合计（包括保本理财）</t>
    <phoneticPr fontId="1" type="noConversion"/>
  </si>
  <si>
    <t>金融市场业务资产（含理财）</t>
    <phoneticPr fontId="1" type="noConversion"/>
  </si>
  <si>
    <t>同业存单</t>
    <phoneticPr fontId="1" type="noConversion"/>
  </si>
  <si>
    <t>同业存拆放(含同业保本理财）</t>
    <phoneticPr fontId="1" type="noConversion"/>
  </si>
  <si>
    <t>同业存单</t>
    <phoneticPr fontId="1" type="noConversion"/>
  </si>
  <si>
    <t>金融市场业务负债</t>
    <phoneticPr fontId="1" type="noConversion"/>
  </si>
  <si>
    <t>金融市场负债合计（包括同业保本理财）</t>
    <phoneticPr fontId="1" type="noConversion"/>
  </si>
  <si>
    <t>110199</t>
  </si>
  <si>
    <t>国库三个月定期存款</t>
  </si>
  <si>
    <t>借出境内同业</t>
  </si>
  <si>
    <t>  101317</t>
  </si>
  <si>
    <t>借出境内其他金融机构</t>
  </si>
  <si>
    <t>  10131703</t>
  </si>
  <si>
    <t>借出境内其他金融机构应收利息</t>
  </si>
  <si>
    <t>  11320531</t>
  </si>
  <si>
    <t>国际贸易融资应收利息</t>
  </si>
  <si>
    <t>  113209</t>
  </si>
  <si>
    <t>  11320901</t>
  </si>
  <si>
    <t>交互式账单跨行实时还款清算款</t>
  </si>
  <si>
    <t>  12211303</t>
  </si>
  <si>
    <t>国内信用证买方押汇</t>
  </si>
  <si>
    <t>  130705</t>
  </si>
  <si>
    <t>国内信用证买方押汇-本金</t>
  </si>
  <si>
    <t>  13070501</t>
  </si>
  <si>
    <t>代理业务资产-代客理财-应收代理损益</t>
  </si>
  <si>
    <t>代理业务资产-代客理财-利息调整</t>
  </si>
  <si>
    <t>  13210103</t>
  </si>
  <si>
    <t>代理业务资产-代客理财-减值准备</t>
  </si>
  <si>
    <t>  13210104</t>
  </si>
  <si>
    <t>其他应收款项类投资-利息调整</t>
  </si>
  <si>
    <t>  15319902</t>
  </si>
  <si>
    <t>动产清理</t>
  </si>
  <si>
    <t>动产清理（简易）</t>
  </si>
  <si>
    <t>单位活期结构性存款</t>
  </si>
  <si>
    <t>  200801</t>
  </si>
  <si>
    <t>单位活期结构性存款本金</t>
  </si>
  <si>
    <t>  20080101</t>
  </si>
  <si>
    <t>个人活期结构性存款</t>
  </si>
  <si>
    <t>  200803</t>
  </si>
  <si>
    <t>个人活期结构性存款本金</t>
  </si>
  <si>
    <t>  20080301</t>
  </si>
  <si>
    <t>单位其他定期银行承兑汇票保证金存款本金</t>
  </si>
  <si>
    <t>  20140117</t>
  </si>
  <si>
    <t>应交增值税</t>
  </si>
  <si>
    <t>  222108</t>
  </si>
  <si>
    <t>  22210801</t>
  </si>
  <si>
    <t>进项税额</t>
  </si>
  <si>
    <t>  22210802</t>
  </si>
  <si>
    <t>应付单位其他定期银行承兑汇票保证金存款利息</t>
  </si>
  <si>
    <t>  22311465</t>
  </si>
  <si>
    <t>单位活期结构性存款应付利息</t>
  </si>
  <si>
    <t>  22311701</t>
  </si>
  <si>
    <t>个人活期结构性存款应付利息</t>
  </si>
  <si>
    <t>  22311703</t>
  </si>
  <si>
    <t>受托理财资金-应付代理损益</t>
  </si>
  <si>
    <t>  23140102</t>
  </si>
  <si>
    <t>贸易融资利息收入</t>
  </si>
  <si>
    <t>  601107</t>
  </si>
  <si>
    <t>国内信用证买方押汇利息收入</t>
  </si>
  <si>
    <t>  60110705</t>
  </si>
  <si>
    <t>借出境内其他金融机构利息收入</t>
  </si>
  <si>
    <t>  60120431</t>
  </si>
  <si>
    <t>理财产品手续费收入</t>
  </si>
  <si>
    <t>  602107</t>
  </si>
  <si>
    <t>自营类个人理财产品手续费收入</t>
  </si>
  <si>
    <t>  60210702</t>
  </si>
  <si>
    <t>自营类公司理财产品手续费收入</t>
  </si>
  <si>
    <t>  60210703</t>
  </si>
  <si>
    <t>自营类同业理财产品手续费收入</t>
  </si>
  <si>
    <t>  60210704</t>
  </si>
  <si>
    <t>自营类其他理财产品手续费收入</t>
  </si>
  <si>
    <t>  60210705</t>
  </si>
  <si>
    <t>投资性房地产租赁收入（简易）</t>
  </si>
  <si>
    <t>抵债不动产租赁收入（简易）</t>
  </si>
  <si>
    <t>单位其他定期银行承兑汇票保证金存款利息支出</t>
  </si>
  <si>
    <t>  64110765</t>
  </si>
  <si>
    <t>单位活期结构性存款利息支出</t>
  </si>
  <si>
    <t>  64110801</t>
  </si>
  <si>
    <t>个人活期结构性存款利息支出</t>
  </si>
  <si>
    <t>  64110803</t>
  </si>
  <si>
    <t>定期证券公司存放利息支出</t>
  </si>
  <si>
    <t>  64120490</t>
  </si>
  <si>
    <t>系统内转贴现利息支出</t>
  </si>
  <si>
    <t>  641208</t>
  </si>
  <si>
    <t>商业承兑汇票系统内转贴现利息支出</t>
  </si>
  <si>
    <t>  64120802</t>
  </si>
  <si>
    <t>外事费</t>
  </si>
  <si>
    <t>  660116</t>
  </si>
  <si>
    <t>  66011601</t>
  </si>
  <si>
    <t>其他业务支出-其他</t>
  </si>
  <si>
    <t>  660299</t>
  </si>
  <si>
    <t>  66029999</t>
  </si>
  <si>
    <t>开出国内远期信用证</t>
  </si>
  <si>
    <t>  91050201</t>
  </si>
  <si>
    <t>应收国内远期信用证卖方款项</t>
  </si>
  <si>
    <t>  91110202</t>
  </si>
  <si>
    <t>承销债券额度</t>
  </si>
  <si>
    <t>  9617</t>
  </si>
  <si>
    <t>  961701</t>
  </si>
  <si>
    <t>  96170101</t>
  </si>
  <si>
    <t>公司类客户活期存款（NRA账户）</t>
  </si>
  <si>
    <t>国内信用证保证金存款</t>
  </si>
  <si>
    <t>国际保函/备用信用证保证金</t>
  </si>
  <si>
    <t>定期存款质押贷款（经营中小）</t>
  </si>
  <si>
    <r>
      <t>对公智能通知存款</t>
    </r>
    <r>
      <rPr>
        <sz val="10"/>
        <color rgb="FFFF0000"/>
        <rFont val="Arial"/>
        <family val="2"/>
      </rPr>
      <t>B</t>
    </r>
    <r>
      <rPr>
        <sz val="10"/>
        <color rgb="FFFF0000"/>
        <rFont val="宋体"/>
        <family val="3"/>
        <charset val="134"/>
      </rPr>
      <t>款</t>
    </r>
    <r>
      <rPr>
        <sz val="7"/>
        <color theme="1"/>
        <rFont val="Arial"/>
        <family val="2"/>
      </rPr>
      <t/>
    </r>
    <phoneticPr fontId="1" type="noConversion"/>
  </si>
  <si>
    <t>增长因素:</t>
    <phoneticPr fontId="1" type="noConversion"/>
  </si>
  <si>
    <t>结构因素：</t>
    <phoneticPr fontId="1" type="noConversion"/>
  </si>
  <si>
    <t>规模：G1和G2； 利率：I1和I2</t>
    <phoneticPr fontId="1" type="noConversion"/>
  </si>
  <si>
    <t>生息资产增速（a)*G1*I1</t>
    <phoneticPr fontId="1" type="noConversion"/>
  </si>
  <si>
    <t>((G2-G1)-a*G1)*I1</t>
    <phoneticPr fontId="1" type="noConversion"/>
  </si>
  <si>
    <t>利率因素：</t>
    <phoneticPr fontId="1" type="noConversion"/>
  </si>
  <si>
    <t>(I2－I1)*G2</t>
    <phoneticPr fontId="1" type="noConversion"/>
  </si>
  <si>
    <t>上述三项相加＝G2*I2-G1*I1，就是利息收入/支出的变动</t>
    <phoneticPr fontId="1" type="noConversion"/>
  </si>
  <si>
    <t>剔除贴现和透支，总账-管会（价税分离）</t>
    <phoneticPr fontId="1" type="noConversion"/>
  </si>
  <si>
    <t>差异是减值损失贷款的利息收入</t>
    <phoneticPr fontId="1" type="noConversion"/>
  </si>
  <si>
    <t>上季</t>
    <phoneticPr fontId="1" type="noConversion"/>
  </si>
  <si>
    <t>较上季</t>
    <phoneticPr fontId="1" type="noConversion"/>
  </si>
  <si>
    <t>较上季</t>
    <phoneticPr fontId="1" type="noConversion"/>
  </si>
  <si>
    <t>较年初</t>
    <phoneticPr fontId="1" type="noConversion"/>
  </si>
  <si>
    <t>日均余额</t>
    <phoneticPr fontId="1" type="noConversion"/>
  </si>
  <si>
    <t>保本理财资产利息收入</t>
    <phoneticPr fontId="23" type="noConversion"/>
  </si>
  <si>
    <t>保本理财拆放证券公司利息收入</t>
    <phoneticPr fontId="23" type="noConversion"/>
  </si>
  <si>
    <t>保本理财质押式买入返售利息收入</t>
    <phoneticPr fontId="23" type="noConversion"/>
  </si>
  <si>
    <t>保本理财可供出售金融资产利息收入</t>
    <phoneticPr fontId="23" type="noConversion"/>
  </si>
  <si>
    <t>保本理财应收款项类投资利息</t>
    <phoneticPr fontId="23" type="noConversion"/>
  </si>
  <si>
    <t>保本理财日均</t>
    <phoneticPr fontId="1" type="noConversion"/>
  </si>
  <si>
    <t xml:space="preserve">  拆放</t>
    <phoneticPr fontId="1" type="noConversion"/>
  </si>
  <si>
    <t xml:space="preserve">  可供出售</t>
    <phoneticPr fontId="1" type="noConversion"/>
  </si>
  <si>
    <t xml:space="preserve">  应收款项类</t>
    <phoneticPr fontId="1" type="noConversion"/>
  </si>
  <si>
    <t xml:space="preserve">  信用卡透支</t>
    <phoneticPr fontId="105" type="noConversion"/>
  </si>
  <si>
    <t xml:space="preserve">   零售条线贷款(不含信用卡）</t>
    <phoneticPr fontId="105" type="noConversion"/>
  </si>
  <si>
    <t>注1：协议存款含通道存款</t>
    <phoneticPr fontId="1" type="noConversion"/>
  </si>
  <si>
    <t>代客保本理财资产</t>
    <phoneticPr fontId="1" type="noConversion"/>
  </si>
  <si>
    <t>备注：</t>
    <phoneticPr fontId="1" type="noConversion"/>
  </si>
  <si>
    <t>同业存放和存放同业采用调整内部户后的数据</t>
    <phoneticPr fontId="1" type="noConversion"/>
  </si>
  <si>
    <t>中央国库三个月定期存款</t>
  </si>
  <si>
    <t>三个月电子银行e账户存款</t>
  </si>
  <si>
    <t>六个月电子银行e账户存款</t>
  </si>
  <si>
    <t>一年电子银行e账户存款</t>
  </si>
  <si>
    <t>二年电子银行e账户存款</t>
  </si>
  <si>
    <t>三年电子银行e账户存款</t>
  </si>
  <si>
    <t>五年电子银行e账户存款</t>
  </si>
  <si>
    <t>一个月个人大额存单</t>
  </si>
  <si>
    <t>三个月个人大额存单</t>
  </si>
  <si>
    <t>六个月个人大额存单</t>
  </si>
  <si>
    <t>一年个人大额存单</t>
  </si>
  <si>
    <t>十八个月个人大额存单</t>
  </si>
  <si>
    <t>二年个人大额存单</t>
  </si>
  <si>
    <t>三年个人大额存单</t>
  </si>
  <si>
    <t>三个月悦享存存款B款</t>
  </si>
  <si>
    <t>六个月悦享存存款B款</t>
  </si>
  <si>
    <t>一年悦享存存款B款</t>
  </si>
  <si>
    <t>二年悦享存存款B款</t>
  </si>
  <si>
    <t>三年悦享存存款B款</t>
  </si>
  <si>
    <t>五年悦享存存款B款</t>
  </si>
  <si>
    <t>国内贸易融资</t>
  </si>
  <si>
    <t>国内信用证项下买方押汇</t>
  </si>
  <si>
    <t>线上融资-直销公积金贷</t>
  </si>
  <si>
    <t>公积金快贷</t>
  </si>
  <si>
    <t>线上助学贷</t>
  </si>
  <si>
    <t>“太阳农易贷”</t>
  </si>
  <si>
    <t>村民消费贷款</t>
  </si>
  <si>
    <t>保险公司存放存放</t>
  </si>
  <si>
    <t>活期保险公司存放</t>
  </si>
  <si>
    <r>
      <rPr>
        <sz val="8"/>
        <color theme="1"/>
        <rFont val="宋体"/>
        <family val="3"/>
        <charset val="134"/>
      </rPr>
      <t>注意：</t>
    </r>
    <r>
      <rPr>
        <sz val="8"/>
        <color theme="1"/>
        <rFont val="Arial"/>
        <family val="2"/>
      </rPr>
      <t>FTP</t>
    </r>
    <r>
      <rPr>
        <sz val="8"/>
        <color theme="1"/>
        <rFont val="宋体"/>
        <family val="3"/>
        <charset val="134"/>
      </rPr>
      <t>常常会新增行，要注意改公式</t>
    </r>
    <phoneticPr fontId="1" type="noConversion"/>
  </si>
  <si>
    <t>其他可供出售金融资产-应计利息</t>
  </si>
  <si>
    <t>  15039903</t>
  </si>
  <si>
    <t>16A106</t>
  </si>
  <si>
    <t>投资性房地产中转</t>
  </si>
  <si>
    <t>  16A106</t>
  </si>
  <si>
    <t>16A10601</t>
  </si>
  <si>
    <t>  16A10601</t>
  </si>
  <si>
    <t>保险公司存放</t>
  </si>
  <si>
    <t>  201711</t>
  </si>
  <si>
    <t>活期保险公司存放本金</t>
  </si>
  <si>
    <t>  20171101</t>
  </si>
  <si>
    <t>境内同业借入资金</t>
  </si>
  <si>
    <t>  201917</t>
  </si>
  <si>
    <t>境内其他金融机构借入资金本金</t>
  </si>
  <si>
    <t>  20191705</t>
  </si>
  <si>
    <t>进项税额转出</t>
  </si>
  <si>
    <t>  22210803</t>
  </si>
  <si>
    <t>转出未交增值税</t>
  </si>
  <si>
    <t>  22210806</t>
  </si>
  <si>
    <t>未交增值税</t>
  </si>
  <si>
    <t>  222110</t>
  </si>
  <si>
    <t>活期保险公司存放应付利息</t>
  </si>
  <si>
    <t>  22310373</t>
  </si>
  <si>
    <t>境内其他金融机构借入应付利息</t>
  </si>
  <si>
    <t>  22310531</t>
  </si>
  <si>
    <t>信用卡业务暂收款项</t>
  </si>
  <si>
    <t>  224121</t>
  </si>
  <si>
    <t>信用卡电销POS分期暂收款项</t>
  </si>
  <si>
    <t>  22412101</t>
  </si>
  <si>
    <t>代客即期结售汇损益</t>
  </si>
  <si>
    <t>自营即期结售汇损益</t>
  </si>
  <si>
    <t>活期保险公司存放利息支出</t>
  </si>
  <si>
    <t>  64120473</t>
  </si>
  <si>
    <t>境内其他金融机构借入利息支出</t>
  </si>
  <si>
    <t>  64120531</t>
  </si>
  <si>
    <t>  9101</t>
  </si>
  <si>
    <t>  910101</t>
  </si>
  <si>
    <t>  91010101</t>
  </si>
  <si>
    <t>融资类备用信用证</t>
  </si>
  <si>
    <t>应收国内即期信用证卖方款项</t>
  </si>
  <si>
    <t>  91110102</t>
  </si>
  <si>
    <t>应收款项类投资</t>
    <phoneticPr fontId="1" type="noConversion"/>
  </si>
  <si>
    <t>保本理财拆放集团内金租利息收入</t>
  </si>
  <si>
    <t>单位活期</t>
    <phoneticPr fontId="1" type="noConversion"/>
  </si>
  <si>
    <t>单位定期</t>
    <phoneticPr fontId="1" type="noConversion"/>
  </si>
  <si>
    <t>个人活期</t>
    <phoneticPr fontId="1" type="noConversion"/>
  </si>
  <si>
    <t>个人定期</t>
    <phoneticPr fontId="1" type="noConversion"/>
  </si>
  <si>
    <t>合计</t>
    <phoneticPr fontId="1" type="noConversion"/>
  </si>
  <si>
    <t>贷款</t>
    <phoneticPr fontId="1" type="noConversion"/>
  </si>
  <si>
    <t>单位贷款</t>
    <phoneticPr fontId="1" type="noConversion"/>
  </si>
  <si>
    <t>个人贷款</t>
    <phoneticPr fontId="1" type="noConversion"/>
  </si>
  <si>
    <t>微小贷款</t>
    <phoneticPr fontId="1" type="noConversion"/>
  </si>
  <si>
    <t>贴现</t>
    <phoneticPr fontId="1" type="noConversion"/>
  </si>
  <si>
    <t>信用卡透支</t>
    <phoneticPr fontId="1" type="noConversion"/>
  </si>
  <si>
    <t>资金</t>
    <phoneticPr fontId="1" type="noConversion"/>
  </si>
  <si>
    <t>存放央行</t>
    <phoneticPr fontId="1" type="noConversion"/>
  </si>
  <si>
    <t>存拆放同业</t>
    <phoneticPr fontId="1" type="noConversion"/>
  </si>
  <si>
    <t>买入返售资产</t>
    <phoneticPr fontId="1" type="noConversion"/>
  </si>
  <si>
    <t>应收款项类投资</t>
    <phoneticPr fontId="1" type="noConversion"/>
  </si>
  <si>
    <t>债券投资</t>
    <phoneticPr fontId="1" type="noConversion"/>
  </si>
  <si>
    <t>代客保本理财资产</t>
    <phoneticPr fontId="1" type="noConversion"/>
  </si>
  <si>
    <t>卖出回购</t>
    <phoneticPr fontId="1" type="noConversion"/>
  </si>
  <si>
    <t>应付债券</t>
    <phoneticPr fontId="1" type="noConversion"/>
  </si>
  <si>
    <t>资产合计</t>
    <phoneticPr fontId="1" type="noConversion"/>
  </si>
  <si>
    <t>负债合计</t>
    <phoneticPr fontId="1" type="noConversion"/>
  </si>
  <si>
    <t>日均余额</t>
    <phoneticPr fontId="1" type="noConversion"/>
  </si>
  <si>
    <t>外部利息收支</t>
    <phoneticPr fontId="1" type="noConversion"/>
  </si>
  <si>
    <t>对公</t>
    <phoneticPr fontId="23" type="noConversion"/>
  </si>
  <si>
    <t>个人</t>
    <phoneticPr fontId="23" type="noConversion"/>
  </si>
  <si>
    <t>单位活期保证金存款</t>
    <phoneticPr fontId="1" type="noConversion"/>
  </si>
  <si>
    <t>单位定期保证金存款</t>
    <phoneticPr fontId="1" type="noConversion"/>
  </si>
  <si>
    <t>个人活期保证金存款</t>
    <phoneticPr fontId="1" type="noConversion"/>
  </si>
  <si>
    <t>个人定期保证金存款</t>
    <phoneticPr fontId="1" type="noConversion"/>
  </si>
  <si>
    <t>含转帖</t>
    <phoneticPr fontId="1" type="noConversion"/>
  </si>
  <si>
    <t>管会</t>
    <phoneticPr fontId="1" type="noConversion"/>
  </si>
  <si>
    <t>剔除贴现和透支，总账-管会</t>
    <phoneticPr fontId="1" type="noConversion"/>
  </si>
  <si>
    <t>对公</t>
    <phoneticPr fontId="1" type="noConversion"/>
  </si>
  <si>
    <t>核心在表内，信贷在表外</t>
    <phoneticPr fontId="1" type="noConversion"/>
  </si>
  <si>
    <t>调整后</t>
    <phoneticPr fontId="1" type="noConversion"/>
  </si>
  <si>
    <t>同业存单发行</t>
    <phoneticPr fontId="34" type="noConversion"/>
  </si>
  <si>
    <t>同业保本理财利息支出（手工计提）</t>
    <phoneticPr fontId="23" type="noConversion"/>
  </si>
  <si>
    <t>手工计提</t>
    <phoneticPr fontId="1" type="noConversion"/>
  </si>
  <si>
    <t>同业拆入利息支出（金融市场台帐）</t>
    <phoneticPr fontId="1" type="noConversion"/>
  </si>
  <si>
    <t>日均</t>
    <phoneticPr fontId="1" type="noConversion"/>
  </si>
  <si>
    <t>利息收入/支出</t>
    <phoneticPr fontId="1" type="noConversion"/>
  </si>
  <si>
    <t>利率</t>
    <phoneticPr fontId="1" type="noConversion"/>
  </si>
  <si>
    <t>金融市场业务资产（不含贴现）</t>
    <phoneticPr fontId="1" type="noConversion"/>
  </si>
  <si>
    <t>金融市场业务资产（含贴现）</t>
    <phoneticPr fontId="1" type="noConversion"/>
  </si>
  <si>
    <t>同业负债（含同业存单和同业保本理财）</t>
    <phoneticPr fontId="1" type="noConversion"/>
  </si>
  <si>
    <t>同业负债（含同业存单）</t>
    <phoneticPr fontId="1" type="noConversion"/>
  </si>
  <si>
    <t xml:space="preserve">        其中：信用快贷</t>
    <phoneticPr fontId="1" type="noConversion"/>
  </si>
  <si>
    <t xml:space="preserve">        其中：线上融资</t>
    <phoneticPr fontId="105" type="noConversion"/>
  </si>
  <si>
    <t>注:2016年该表中贷款余额和收益率分为对公条线和零售条线,但在以前年度是分为对公条线、零售条线和微小条线。因此需要按照次表格中的口径修改2014年和2015年的数据。</t>
    <phoneticPr fontId="1" type="noConversion"/>
  </si>
  <si>
    <t>其他持有至到期投资</t>
  </si>
  <si>
    <t>其他持有至到期投资-成本</t>
  </si>
  <si>
    <t>其他持有至到期投资-利息调整</t>
  </si>
  <si>
    <t>其他持有至到期投资-应计利息</t>
  </si>
  <si>
    <t>定期证券公司存放本金</t>
  </si>
  <si>
    <t>外资银行拆入资金</t>
  </si>
  <si>
    <t>外资银行拆入资金本金</t>
  </si>
  <si>
    <t>卖断式卖出回购其他金融资产</t>
  </si>
  <si>
    <t>卖断式卖出回购金融债</t>
  </si>
  <si>
    <t>待抵扣进项税</t>
  </si>
  <si>
    <t>定期证券公司存放应付利息</t>
  </si>
  <si>
    <t>外资银行拆入应付利息</t>
  </si>
  <si>
    <t>卖断式卖出回购金融资产应付利息</t>
  </si>
  <si>
    <t>向保险公司发行</t>
  </si>
  <si>
    <t>向境内保险公司发行-本金</t>
  </si>
  <si>
    <t>向境内保险公司发行-应计利息</t>
  </si>
  <si>
    <t>向境内银行业存款类机构发行－本金</t>
  </si>
  <si>
    <t>向境内银行业存款类机构发行-应计利息</t>
  </si>
  <si>
    <t>向境内其他同业发行</t>
  </si>
  <si>
    <t>向境内其他同业发行-本金</t>
  </si>
  <si>
    <t>向境内其他同业发行-应计利息</t>
  </si>
  <si>
    <t>其他贸易融资利息收入</t>
  </si>
  <si>
    <t>贴现垫款利息收入</t>
  </si>
  <si>
    <t>定期存放其他存款类金融机构利息收入</t>
  </si>
  <si>
    <t>外资银行拆入利息支出</t>
  </si>
  <si>
    <t>集团内金融租赁公司拆入利息支出</t>
  </si>
  <si>
    <t>境内保险公司存单利息支出</t>
  </si>
  <si>
    <t>境内银行业存款类机构存单利息支出</t>
  </si>
  <si>
    <t>境内其他同业存单利息支出</t>
  </si>
  <si>
    <t>同业服务手续费支出</t>
  </si>
  <si>
    <t>捐赠支出</t>
  </si>
  <si>
    <t>其他捐赠</t>
  </si>
  <si>
    <t>机关团体二年期整存整取存款</t>
  </si>
  <si>
    <t>五年保证金存款</t>
  </si>
  <si>
    <t>电子银行e账户存款（通知存款）</t>
  </si>
  <si>
    <t>个人房产拍卖按揭贷款</t>
  </si>
  <si>
    <t>村民经营贷款</t>
  </si>
  <si>
    <t>卖断式正回购-国债</t>
  </si>
  <si>
    <t>广州农商行月计表</t>
  </si>
  <si>
    <t>编制单位: 广州农商行股份有限公司</t>
  </si>
  <si>
    <t>币种:人民币元 单位:元</t>
  </si>
  <si>
    <t>期初借方</t>
  </si>
  <si>
    <t>期初贷方</t>
  </si>
  <si>
    <t>本期借方</t>
  </si>
  <si>
    <t>本期贷方</t>
  </si>
  <si>
    <t>期末借方</t>
  </si>
  <si>
    <t>期末贷方</t>
  </si>
  <si>
    <t>第 1 页</t>
  </si>
  <si>
    <t>第 2 页</t>
  </si>
  <si>
    <t>第 3 页</t>
  </si>
  <si>
    <t>第 4 页</t>
  </si>
  <si>
    <t>第 5 页</t>
  </si>
  <si>
    <t>第 6 页</t>
  </si>
  <si>
    <t>第 7 页</t>
  </si>
  <si>
    <t>第 8 页</t>
  </si>
  <si>
    <t>  150199</t>
  </si>
  <si>
    <t>  15019901</t>
  </si>
  <si>
    <t>  15019902</t>
  </si>
  <si>
    <t>  15019903</t>
  </si>
  <si>
    <t>第 9 页</t>
  </si>
  <si>
    <t>第 10 页</t>
  </si>
  <si>
    <t>资产类小计</t>
  </si>
  <si>
    <t>第 11 页</t>
  </si>
  <si>
    <t>第 12 页</t>
  </si>
  <si>
    <t>第 13 页</t>
  </si>
  <si>
    <t>第 14 页</t>
  </si>
  <si>
    <t>第 15 页</t>
  </si>
  <si>
    <t>  20171303</t>
  </si>
  <si>
    <t>  201903</t>
  </si>
  <si>
    <t>  20190301</t>
  </si>
  <si>
    <t>  211104</t>
  </si>
  <si>
    <t>第 16 页</t>
  </si>
  <si>
    <t>  21110402</t>
  </si>
  <si>
    <t>第 17 页</t>
  </si>
  <si>
    <t>  222109</t>
  </si>
  <si>
    <t>  22210901</t>
  </si>
  <si>
    <t>  22310390</t>
  </si>
  <si>
    <t>第 18 页</t>
  </si>
  <si>
    <t>  22310503</t>
  </si>
  <si>
    <t>  22310602</t>
  </si>
  <si>
    <t>第 19 页</t>
  </si>
  <si>
    <t>第 20 页</t>
  </si>
  <si>
    <t>第 21 页</t>
  </si>
  <si>
    <t>第 22 页</t>
  </si>
  <si>
    <t>  250301</t>
  </si>
  <si>
    <t>  25030101</t>
  </si>
  <si>
    <t>  25030103</t>
  </si>
  <si>
    <t>  25030203</t>
  </si>
  <si>
    <t>  25039903</t>
  </si>
  <si>
    <t>负债类小计</t>
  </si>
  <si>
    <t>第 23 页</t>
  </si>
  <si>
    <t>共同类小计</t>
  </si>
  <si>
    <t>第 24 页</t>
  </si>
  <si>
    <t>权益类小计</t>
  </si>
  <si>
    <t>第 25 页</t>
  </si>
  <si>
    <t>第 26 页</t>
  </si>
  <si>
    <t>  60110799</t>
  </si>
  <si>
    <t>  60110801</t>
  </si>
  <si>
    <t>  60120297</t>
  </si>
  <si>
    <t>第 27 页</t>
  </si>
  <si>
    <t>第 28 页</t>
  </si>
  <si>
    <t>第 29 页</t>
  </si>
  <si>
    <t>第 30 页</t>
  </si>
  <si>
    <t>第 31 页</t>
  </si>
  <si>
    <t>第 32 页</t>
  </si>
  <si>
    <t>第 33 页</t>
  </si>
  <si>
    <t>第 34 页</t>
  </si>
  <si>
    <t>  64120503</t>
  </si>
  <si>
    <t>  64120514</t>
  </si>
  <si>
    <t>第 35 页</t>
  </si>
  <si>
    <t>  64120901</t>
  </si>
  <si>
    <t>  64219901</t>
  </si>
  <si>
    <t>第 36 页</t>
  </si>
  <si>
    <t>第 37 页</t>
  </si>
  <si>
    <t>第 38 页</t>
  </si>
  <si>
    <t>第 39 页</t>
  </si>
  <si>
    <t>  671108</t>
  </si>
  <si>
    <t>  67110899</t>
  </si>
  <si>
    <t>损益类小计</t>
  </si>
  <si>
    <t>第 40 页</t>
  </si>
  <si>
    <t>表内科目合计</t>
  </si>
  <si>
    <t>第 41 页</t>
  </si>
  <si>
    <t>第 42 页</t>
  </si>
  <si>
    <t>第 43 页</t>
  </si>
  <si>
    <t>第 44 页</t>
  </si>
  <si>
    <t>表外小计</t>
  </si>
  <si>
    <t>表外科目合计</t>
  </si>
  <si>
    <t>会计主管: </t>
  </si>
  <si>
    <t>复核: </t>
  </si>
  <si>
    <t>操作人员: </t>
  </si>
  <si>
    <t xml:space="preserve">    对公活期存款</t>
    <phoneticPr fontId="1" type="noConversion"/>
  </si>
  <si>
    <t xml:space="preserve">    个人活期存款</t>
    <phoneticPr fontId="1" type="noConversion"/>
  </si>
  <si>
    <t>总计</t>
    <phoneticPr fontId="1" type="noConversion"/>
  </si>
  <si>
    <t xml:space="preserve">      存拆放同业</t>
    <phoneticPr fontId="1" type="noConversion"/>
  </si>
  <si>
    <t xml:space="preserve">      买入返售资产</t>
    <phoneticPr fontId="1" type="noConversion"/>
  </si>
  <si>
    <t xml:space="preserve">      应收款项投资</t>
    <phoneticPr fontId="1" type="noConversion"/>
  </si>
  <si>
    <t xml:space="preserve">      债券投资</t>
    <phoneticPr fontId="1" type="noConversion"/>
  </si>
  <si>
    <t xml:space="preserve">      代客保本理财资产</t>
    <phoneticPr fontId="1" type="noConversion"/>
  </si>
  <si>
    <t>司库</t>
    <phoneticPr fontId="1" type="noConversion"/>
  </si>
  <si>
    <t>规模增长</t>
    <phoneticPr fontId="1" type="noConversion"/>
  </si>
  <si>
    <t>应收款项类投资</t>
    <phoneticPr fontId="1" type="noConversion"/>
  </si>
  <si>
    <t>利 润 明 细 表</t>
  </si>
  <si>
    <t>填报单位:</t>
  </si>
  <si>
    <t>本银行</t>
  </si>
  <si>
    <t>运送中现金</t>
  </si>
  <si>
    <t>  100101</t>
  </si>
  <si>
    <t>  10010101</t>
  </si>
  <si>
    <t>在途汇划款项</t>
  </si>
  <si>
    <t>  100105</t>
  </si>
  <si>
    <t>  10010501</t>
  </si>
  <si>
    <t>财务现金</t>
  </si>
  <si>
    <t>  100106</t>
  </si>
  <si>
    <t>  10010601</t>
  </si>
  <si>
    <t>存放外资银行</t>
  </si>
  <si>
    <t>  101103</t>
  </si>
  <si>
    <t>活期存放外资银行</t>
  </si>
  <si>
    <t>  10110301</t>
  </si>
  <si>
    <t>费用存款专户</t>
  </si>
  <si>
    <t>  101204</t>
  </si>
  <si>
    <t>  10120401</t>
  </si>
  <si>
    <t>买断式买入返售企业债</t>
  </si>
  <si>
    <t>  11110403</t>
  </si>
  <si>
    <t>其他买断式买入返售债券</t>
  </si>
  <si>
    <t>  11110406</t>
  </si>
  <si>
    <t>拆放商业银行应收利息</t>
  </si>
  <si>
    <t>  11320502</t>
  </si>
  <si>
    <t>其他可供出售金融资产应收利息</t>
  </si>
  <si>
    <t>  11321399</t>
  </si>
  <si>
    <t>外汇平盘待清算款项</t>
  </si>
  <si>
    <t>  122114</t>
  </si>
  <si>
    <t>  12211401</t>
  </si>
  <si>
    <t>  130601</t>
  </si>
  <si>
    <t>银行承兑汇票贴现-利息调整</t>
  </si>
  <si>
    <t>  13060102</t>
  </si>
  <si>
    <t>  130602</t>
  </si>
  <si>
    <t>商业承兑汇票贴现-面值</t>
  </si>
  <si>
    <t>  13060201</t>
  </si>
  <si>
    <t>商业承兑汇票贴现-利息调整</t>
  </si>
  <si>
    <t>  13060202</t>
  </si>
  <si>
    <t>其他可供出售金融资产-利息调整</t>
  </si>
  <si>
    <t>  15039902</t>
  </si>
  <si>
    <t>16A1</t>
  </si>
  <si>
    <t>资产系统中转科目</t>
  </si>
  <si>
    <t>  16A1</t>
  </si>
  <si>
    <t>19Z1</t>
  </si>
  <si>
    <t>表内配平科目</t>
  </si>
  <si>
    <t>  19Z1</t>
  </si>
  <si>
    <t>19Z101</t>
  </si>
  <si>
    <t>  19Z101</t>
  </si>
  <si>
    <t>19Z10101</t>
  </si>
  <si>
    <t>表内配平</t>
  </si>
  <si>
    <t>  19Z10101</t>
  </si>
  <si>
    <t>待报解预算收入</t>
  </si>
  <si>
    <t>  200705</t>
  </si>
  <si>
    <t>  20070501</t>
  </si>
  <si>
    <t>应销记应解汇款</t>
  </si>
  <si>
    <t>  201103</t>
  </si>
  <si>
    <t>  20110301</t>
  </si>
  <si>
    <t>个人其他定期担保贷款保证金存款本金</t>
  </si>
  <si>
    <t>  20140219</t>
  </si>
  <si>
    <t>应付固定工资</t>
  </si>
  <si>
    <t>  22110101</t>
  </si>
  <si>
    <t>其他应付工资</t>
  </si>
  <si>
    <t>  22110199</t>
  </si>
  <si>
    <t>应付职工福利</t>
  </si>
  <si>
    <t>  221102</t>
  </si>
  <si>
    <t>  22110201</t>
  </si>
  <si>
    <t>销项税额</t>
  </si>
  <si>
    <t>转让金融商品应交增值税</t>
  </si>
  <si>
    <t>  222116</t>
  </si>
  <si>
    <t>  22211601</t>
  </si>
  <si>
    <t>应付个人其他定期担保贷款保证金存款利息</t>
  </si>
  <si>
    <t>  22311474</t>
  </si>
  <si>
    <t>  224118</t>
  </si>
  <si>
    <t>  22411801</t>
  </si>
  <si>
    <t>大额清算资金往来</t>
  </si>
  <si>
    <t>  303101</t>
  </si>
  <si>
    <t>  30310101</t>
  </si>
  <si>
    <t>广州大同城清算资金往来</t>
  </si>
  <si>
    <t>  303106</t>
  </si>
  <si>
    <t>广州大同城清算资金往来-当日交换</t>
  </si>
  <si>
    <t>  30310601</t>
  </si>
  <si>
    <t>广州大同城清算资金往来-次日交换</t>
  </si>
  <si>
    <t>  30310602</t>
  </si>
  <si>
    <t>广州大同城清算资金往来-一次代收</t>
  </si>
  <si>
    <t>  30310603</t>
  </si>
  <si>
    <t>广州大同城清算资金往来-二次代收</t>
  </si>
  <si>
    <t>  30310604</t>
  </si>
  <si>
    <t>广州大同城清算资金往来-交换退票</t>
  </si>
  <si>
    <t>  30310605</t>
  </si>
  <si>
    <t>广州大同城清算资金往来-交换扎差</t>
  </si>
  <si>
    <t>  30310606</t>
  </si>
  <si>
    <t>系统内通存通兑清算往来</t>
  </si>
  <si>
    <t>  303108</t>
  </si>
  <si>
    <t>系统内通存通兑清算</t>
  </si>
  <si>
    <t>  30310801</t>
  </si>
  <si>
    <t>VISA费用清算资金往来</t>
  </si>
  <si>
    <t>  30311203</t>
  </si>
  <si>
    <t>VISA差错处理款</t>
  </si>
  <si>
    <t>  30311205</t>
  </si>
  <si>
    <t>资金系统与核心系统往来</t>
  </si>
  <si>
    <t>  304115</t>
  </si>
  <si>
    <t>  30411501</t>
  </si>
  <si>
    <t>外汇买卖</t>
  </si>
  <si>
    <t>  3301</t>
  </si>
  <si>
    <t>自营即期结售汇</t>
  </si>
  <si>
    <t>  330103</t>
  </si>
  <si>
    <t>  33010301</t>
  </si>
  <si>
    <t>系统内平盘</t>
  </si>
  <si>
    <t>  330105</t>
  </si>
  <si>
    <t>系统内即期结售汇平盘</t>
  </si>
  <si>
    <t>  33010501</t>
  </si>
  <si>
    <t>市场平盘</t>
  </si>
  <si>
    <t>  330106</t>
  </si>
  <si>
    <t>市场即期结售汇平盘</t>
  </si>
  <si>
    <t>  33010601</t>
  </si>
  <si>
    <t>代客即期结售汇</t>
  </si>
  <si>
    <t>  330107</t>
  </si>
  <si>
    <t>  33010701</t>
  </si>
  <si>
    <t>代客套汇</t>
  </si>
  <si>
    <t>  330110</t>
  </si>
  <si>
    <t>  33011001</t>
  </si>
  <si>
    <t>货币兑换</t>
  </si>
  <si>
    <t>  330112</t>
  </si>
  <si>
    <t>  33011201</t>
  </si>
  <si>
    <t>外汇买卖中间户</t>
  </si>
  <si>
    <t>  330113</t>
  </si>
  <si>
    <t>  33011301</t>
  </si>
  <si>
    <t>VISA信用卡货币兑换</t>
  </si>
  <si>
    <t>  330114</t>
  </si>
  <si>
    <t>  33011401</t>
  </si>
  <si>
    <t>税金及附加</t>
  </si>
  <si>
    <t>个人其他定期担保贷款保证金存款利息支出</t>
  </si>
  <si>
    <t>  64110774</t>
  </si>
  <si>
    <t>同业存单发行（保险公司）</t>
  </si>
  <si>
    <t>机构：全行　时间：2016-04-30　币种：本外币合计　单位：元</t>
  </si>
  <si>
    <t>单位协议存款（通道存款）</t>
  </si>
  <si>
    <t>存放集团内村镇银行</t>
  </si>
  <si>
    <t>定期存放集团内村镇银行</t>
  </si>
  <si>
    <t>卖断式正回购-票据</t>
  </si>
  <si>
    <t>拆放其他同业款项（资产负债管理）</t>
  </si>
  <si>
    <t xml:space="preserve">  买入返售</t>
    <phoneticPr fontId="1" type="noConversion"/>
  </si>
  <si>
    <t>拆放境外存款类金融机构</t>
  </si>
  <si>
    <t>  101304</t>
  </si>
  <si>
    <t>  10130401</t>
  </si>
  <si>
    <t>  1302</t>
  </si>
  <si>
    <t>农村经济组织流动资金贷款</t>
  </si>
  <si>
    <t>  130201</t>
  </si>
  <si>
    <t>中期农村经济组织流动资金贷款-本金</t>
  </si>
  <si>
    <t>  13020106</t>
  </si>
  <si>
    <t>单项计提专项准备</t>
  </si>
  <si>
    <t>  130901</t>
  </si>
  <si>
    <t>单项计提贷款专项准备-拆出资金</t>
  </si>
  <si>
    <t>  13090103</t>
  </si>
  <si>
    <t>代管证券化信贷资产</t>
  </si>
  <si>
    <t>  132106</t>
  </si>
  <si>
    <t>代管证券化信贷资产-本金</t>
  </si>
  <si>
    <t>  13210601</t>
  </si>
  <si>
    <t>16A103</t>
  </si>
  <si>
    <t>无形资产采购</t>
  </si>
  <si>
    <t>  16A103</t>
  </si>
  <si>
    <t>16A10301</t>
  </si>
  <si>
    <t>  16A10301</t>
  </si>
  <si>
    <t>政策性银行存放</t>
  </si>
  <si>
    <t>  201701</t>
  </si>
  <si>
    <t>活期政策性银行存放本金</t>
  </si>
  <si>
    <t>  20170101</t>
  </si>
  <si>
    <t>定期信用社存放本金</t>
  </si>
  <si>
    <t>  20170903</t>
  </si>
  <si>
    <t>其他存款类金融机构存放</t>
  </si>
  <si>
    <t>  201798</t>
  </si>
  <si>
    <t>定期其他存款类金融机构存放本金</t>
  </si>
  <si>
    <t>  20179898</t>
  </si>
  <si>
    <t>定期其他非存款类金融机构存放本金</t>
  </si>
  <si>
    <t>  20179903</t>
  </si>
  <si>
    <t>政策性银行拆入资金</t>
  </si>
  <si>
    <t>  201901</t>
  </si>
  <si>
    <t>政策性银行拆入资金本金</t>
  </si>
  <si>
    <t>  20190101</t>
  </si>
  <si>
    <t>应交营业税</t>
  </si>
  <si>
    <t>  22210101</t>
  </si>
  <si>
    <t>活期政策性银行存放应付利息</t>
  </si>
  <si>
    <t>  22310301</t>
  </si>
  <si>
    <t>定期其他非存款类金融机构存放应付利息</t>
  </si>
  <si>
    <t>  22310314</t>
  </si>
  <si>
    <t>定期其他存款类金融机构存放应付利息</t>
  </si>
  <si>
    <t>  22310326</t>
  </si>
  <si>
    <t>定期信用社存放应付利息</t>
  </si>
  <si>
    <t>  22310370</t>
  </si>
  <si>
    <t>政策性银行拆入应付利息</t>
  </si>
  <si>
    <t>  22310501</t>
  </si>
  <si>
    <t>代管证券化信贷资产资金</t>
  </si>
  <si>
    <t>  231409</t>
  </si>
  <si>
    <t>代管证券化信贷资产资金-本金</t>
  </si>
  <si>
    <t>  23140901</t>
  </si>
  <si>
    <t>咨询顾问手续费递延</t>
  </si>
  <si>
    <t>  24010102</t>
  </si>
  <si>
    <t>  25030202</t>
  </si>
  <si>
    <t>  25039902</t>
  </si>
  <si>
    <t>农村经济组织贷款利息收入</t>
  </si>
  <si>
    <t>  601102</t>
  </si>
  <si>
    <t>中期农村经济组织流动资金贷款利息收入</t>
  </si>
  <si>
    <t>  60110202</t>
  </si>
  <si>
    <t>定期存放农村合作银行利息收入</t>
  </si>
  <si>
    <t>  60120252</t>
  </si>
  <si>
    <t>定期存放其他非存款类金融机构利息收入</t>
  </si>
  <si>
    <t>  60120299</t>
  </si>
  <si>
    <t>存放市联社利息收入</t>
  </si>
  <si>
    <t>  60120302</t>
  </si>
  <si>
    <t>拆放其他非存款类金融机构利息收入</t>
  </si>
  <si>
    <t>  60120499</t>
  </si>
  <si>
    <t>基金代销手续费收入</t>
  </si>
  <si>
    <t>  60210409</t>
  </si>
  <si>
    <t>保理业务手续费收入</t>
  </si>
  <si>
    <t>  60219907</t>
  </si>
  <si>
    <t>股权质押登记手续费收入</t>
  </si>
  <si>
    <t>  60219909</t>
  </si>
  <si>
    <t>其他折算损益</t>
  </si>
  <si>
    <t>  60619999</t>
  </si>
  <si>
    <t>指定公允价值计量金融资产损益</t>
  </si>
  <si>
    <t>  611105</t>
  </si>
  <si>
    <t>  61110501</t>
  </si>
  <si>
    <t>其他投资收益</t>
  </si>
  <si>
    <t>  611199</t>
  </si>
  <si>
    <t>交易性金融负债投资收益</t>
  </si>
  <si>
    <t>  61119901</t>
  </si>
  <si>
    <t>固定资产处置利得</t>
  </si>
  <si>
    <t>  630101</t>
  </si>
  <si>
    <t>  63010101</t>
  </si>
  <si>
    <t>长款收入</t>
  </si>
  <si>
    <t>  630103</t>
  </si>
  <si>
    <t>  63010301</t>
  </si>
  <si>
    <t>营业税</t>
  </si>
  <si>
    <t>  640301</t>
  </si>
  <si>
    <t>  64030101</t>
  </si>
  <si>
    <t>  64119999</t>
  </si>
  <si>
    <t>系统内存放款项利息支出</t>
  </si>
  <si>
    <t>  641202</t>
  </si>
  <si>
    <t>信用社存放款项利息支出</t>
  </si>
  <si>
    <t>  64120202</t>
  </si>
  <si>
    <t>活期政策性银行存放利息支出</t>
  </si>
  <si>
    <t>  64120401</t>
  </si>
  <si>
    <t>定期其他非存款类金融机构存放利息支出</t>
  </si>
  <si>
    <t>  64120414</t>
  </si>
  <si>
    <t>定期其他存款类金融机构存放利息支出</t>
  </si>
  <si>
    <t>  64120426</t>
  </si>
  <si>
    <t>定期信用社存放利息支出</t>
  </si>
  <si>
    <t>  64120470</t>
  </si>
  <si>
    <t>定期信托公司存放利息支出</t>
  </si>
  <si>
    <t>  64120476</t>
  </si>
  <si>
    <t>活期证券公司存放利息支出</t>
  </si>
  <si>
    <t>  64120489</t>
  </si>
  <si>
    <t>政策性银行拆入利息支出</t>
  </si>
  <si>
    <t>  64120501</t>
  </si>
  <si>
    <t>公证费</t>
  </si>
  <si>
    <t>  660110</t>
  </si>
  <si>
    <t>  66011001</t>
  </si>
  <si>
    <t>房产税</t>
  </si>
  <si>
    <t>  66012401</t>
  </si>
  <si>
    <t>堤围防护费</t>
  </si>
  <si>
    <t>  66012405</t>
  </si>
  <si>
    <t>工会经费</t>
  </si>
  <si>
    <t>  660132</t>
  </si>
  <si>
    <t>  66013201</t>
  </si>
  <si>
    <t>资产减值损失</t>
  </si>
  <si>
    <t>  6701</t>
  </si>
  <si>
    <t>贷款减值损失</t>
  </si>
  <si>
    <t>  670105</t>
  </si>
  <si>
    <t>贷款减值损失-对公贷款组合计提专项准备</t>
  </si>
  <si>
    <t>  67010503</t>
  </si>
  <si>
    <t>久悬未取款项支出</t>
  </si>
  <si>
    <t>  671106</t>
  </si>
  <si>
    <t>  67110601</t>
  </si>
  <si>
    <t>所得税费用</t>
  </si>
  <si>
    <t>  6801</t>
  </si>
  <si>
    <t>当期所得税费用</t>
  </si>
  <si>
    <t>  680101</t>
  </si>
  <si>
    <t>  68010101</t>
  </si>
  <si>
    <t>贴现利息收入</t>
    <phoneticPr fontId="1" type="noConversion"/>
  </si>
  <si>
    <t>利息收入</t>
    <phoneticPr fontId="1" type="noConversion"/>
  </si>
  <si>
    <t>收益率</t>
    <phoneticPr fontId="1" type="noConversion"/>
  </si>
  <si>
    <t>上年同期</t>
    <phoneticPr fontId="1" type="noConversion"/>
  </si>
  <si>
    <t>代扣代交增值税</t>
  </si>
  <si>
    <t>  22210704</t>
  </si>
  <si>
    <t>  22211001</t>
  </si>
  <si>
    <t>代收付财政业务手续费收入</t>
  </si>
  <si>
    <t>  60210405</t>
  </si>
  <si>
    <t>代理公积金贷款手续费收入</t>
  </si>
  <si>
    <t>  60210407</t>
  </si>
  <si>
    <t>  64030203</t>
  </si>
  <si>
    <t>  64030206</t>
  </si>
  <si>
    <t>债券借贷业务手续费支出</t>
  </si>
  <si>
    <t>  64219903</t>
  </si>
  <si>
    <t>审计费</t>
  </si>
  <si>
    <t>  660112</t>
  </si>
  <si>
    <t>  66011201</t>
  </si>
  <si>
    <t>资产盘亏及清理损失</t>
  </si>
  <si>
    <t>  671103</t>
  </si>
  <si>
    <t>  67110301</t>
  </si>
  <si>
    <t>债券借贷业务借入债券</t>
  </si>
  <si>
    <t>  912702</t>
  </si>
  <si>
    <t>债券借贷借入后持有</t>
  </si>
  <si>
    <t>  91270201</t>
  </si>
  <si>
    <t>债券借贷业务质出债券</t>
  </si>
  <si>
    <t>  912703</t>
  </si>
  <si>
    <t>  91270301</t>
  </si>
  <si>
    <t>第 45 页</t>
  </si>
  <si>
    <t>定期存放集团内村镇银行利息收入</t>
  </si>
  <si>
    <t>  60120210</t>
  </si>
  <si>
    <t>理（董）事会费</t>
  </si>
  <si>
    <t>  660122</t>
  </si>
  <si>
    <t>  66012201</t>
  </si>
  <si>
    <t>在总帐科目查询表中利用数据透视表求和，而不是求平均。因为部分科目并不是每天都会有余额，如果直接求平均，那除的天数可能并不等于当前累计的天数</t>
    <phoneticPr fontId="1" type="noConversion"/>
  </si>
  <si>
    <t>6403税金及附加</t>
  </si>
  <si>
    <t>拆放银行业非存款类金融机构</t>
  </si>
  <si>
    <t>  101312</t>
  </si>
  <si>
    <t>拆放集团内金融租赁公司</t>
  </si>
  <si>
    <t>  10131203</t>
  </si>
  <si>
    <t>拆放集团内金融租赁公司应收利息</t>
  </si>
  <si>
    <t>  11320514</t>
  </si>
  <si>
    <t>活期企业集团财务公司存放本金</t>
  </si>
  <si>
    <t>  20179805</t>
  </si>
  <si>
    <t>卖断式卖出回购国债</t>
  </si>
  <si>
    <t>  21110401</t>
  </si>
  <si>
    <t>贴现利息收入</t>
  </si>
  <si>
    <t>  601106</t>
  </si>
  <si>
    <t>银行承兑汇票贴现利息收入</t>
  </si>
  <si>
    <t>  60110601</t>
  </si>
  <si>
    <t>拆放集团内金融租赁公司利息收入</t>
  </si>
  <si>
    <t>  60120414</t>
  </si>
  <si>
    <t>存出保证金利息收入</t>
  </si>
  <si>
    <t>  601206</t>
  </si>
  <si>
    <t>  60120601</t>
  </si>
  <si>
    <t>银团贷款业务收入</t>
  </si>
  <si>
    <t>  60219906</t>
  </si>
  <si>
    <t>可供出售金融资产买卖差价</t>
  </si>
  <si>
    <t>  61110103</t>
  </si>
  <si>
    <t>卖断式卖出回购票据利息支出</t>
  </si>
  <si>
    <t>  64120603</t>
  </si>
  <si>
    <t>代办收贷手续费支出</t>
  </si>
  <si>
    <t>  64210302</t>
  </si>
  <si>
    <t>开出国内即期信用证</t>
  </si>
  <si>
    <t>  91050101</t>
  </si>
  <si>
    <t>其他利息收入</t>
  </si>
  <si>
    <t>  601199</t>
  </si>
  <si>
    <t>  60119999</t>
  </si>
  <si>
    <t>拆放保险公司利息收入</t>
  </si>
  <si>
    <t>  60120411</t>
  </si>
  <si>
    <t>信用卡支付宝手续费收入</t>
  </si>
  <si>
    <t>  60210109</t>
  </si>
  <si>
    <t>代管证券化信贷资产服务收入</t>
  </si>
  <si>
    <t>  60210411</t>
  </si>
  <si>
    <t>资产转让手续费收入</t>
  </si>
  <si>
    <t>  60219916</t>
  </si>
  <si>
    <t>辞退福利</t>
  </si>
  <si>
    <t>  660143</t>
  </si>
  <si>
    <t>  66014301</t>
  </si>
  <si>
    <t>以前年度损益调整</t>
  </si>
  <si>
    <t>  6901</t>
  </si>
  <si>
    <t>以前年度利得</t>
  </si>
  <si>
    <t>  690101</t>
  </si>
  <si>
    <t>  69010101</t>
  </si>
  <si>
    <t>专属快贷</t>
  </si>
  <si>
    <t>最新的管会数据已经做了价税分离，下载的表格中的收支已不含税</t>
    <phoneticPr fontId="1" type="noConversion"/>
  </si>
  <si>
    <t>定期存款（含结构性存款）</t>
    <phoneticPr fontId="1" type="noConversion"/>
  </si>
  <si>
    <t>机构：全行　时间：2017-06-30　币种：本外币合计　单位：元</t>
  </si>
  <si>
    <t>公司类客户一年期整存整取（NRA账户）</t>
  </si>
  <si>
    <t>三个月单位大额存单</t>
  </si>
  <si>
    <t>六个月单位大额存单</t>
  </si>
  <si>
    <t>九个月单位大额存单</t>
  </si>
  <si>
    <t>一年单位大额存单</t>
  </si>
  <si>
    <t>十八个月单位大额存单</t>
  </si>
  <si>
    <t>财政预算专项存款</t>
  </si>
  <si>
    <t>活期存款直销银行e账户</t>
  </si>
  <si>
    <t>个人通知存款直销银行e账户</t>
  </si>
  <si>
    <t>息立得存本取息</t>
  </si>
  <si>
    <t>短期流动资金贷款(线上）</t>
  </si>
  <si>
    <t>中长期流动资金贷款（线上）</t>
  </si>
  <si>
    <t>微小企业（主）贷款（线上）</t>
  </si>
  <si>
    <t>小企业（主）贷款（线上）</t>
  </si>
  <si>
    <t>城乡个人消费贷款（线上）</t>
  </si>
  <si>
    <t>信用快贷（线上）</t>
  </si>
  <si>
    <t>城乡个人生产经营贷款（微小线上）</t>
  </si>
  <si>
    <t>小微企业（主）贷款（微小线上）</t>
  </si>
  <si>
    <t>定期政策性银行同业存放款项</t>
  </si>
  <si>
    <t>定期境内外资银行同业存放款项</t>
  </si>
  <si>
    <t>卖断式正回购-企业债</t>
  </si>
  <si>
    <t>境内外资银行拆入</t>
  </si>
  <si>
    <t>本外币合计  月报　　  2017年06月30日</t>
  </si>
  <si>
    <t>共 47 页</t>
  </si>
  <si>
    <t>借出境外同业</t>
  </si>
  <si>
    <t>  101318</t>
  </si>
  <si>
    <t>  10131801</t>
  </si>
  <si>
    <t>借出境外同业应收利息</t>
  </si>
  <si>
    <t>  11320532</t>
  </si>
  <si>
    <t>贴现垫款应收利息</t>
  </si>
  <si>
    <t>  11321101</t>
  </si>
  <si>
    <t>中长期农村企业流动资金贷款-本金</t>
  </si>
  <si>
    <t>信用证福费廷</t>
  </si>
  <si>
    <t>  130708</t>
  </si>
  <si>
    <t>国际信用证福费廷-本金</t>
  </si>
  <si>
    <t>  13070803</t>
  </si>
  <si>
    <t>国际信用证福费廷-利息调整</t>
  </si>
  <si>
    <t>  13070804</t>
  </si>
  <si>
    <t>其他长期待摊费用</t>
  </si>
  <si>
    <t>经营租入固定资产长期待摊费用</t>
  </si>
  <si>
    <t>  180102</t>
  </si>
  <si>
    <t>  18010201</t>
  </si>
  <si>
    <t>  200704</t>
  </si>
  <si>
    <t>财政预算专项存款本金</t>
  </si>
  <si>
    <t>  20070401</t>
  </si>
  <si>
    <t>定期政策性银行存放本金</t>
  </si>
  <si>
    <t>  20170103</t>
  </si>
  <si>
    <t>外资银行存放</t>
  </si>
  <si>
    <t>  201703</t>
  </si>
  <si>
    <t>定期外资银行存放本金</t>
  </si>
  <si>
    <t>  20170303</t>
  </si>
  <si>
    <t>境外存款类金融机构拆入资金</t>
  </si>
  <si>
    <t>  201904</t>
  </si>
  <si>
    <t>境外存款类金融机构拆入资金本金</t>
  </si>
  <si>
    <t>  20190401</t>
  </si>
  <si>
    <t>应交代扣股利税</t>
  </si>
  <si>
    <t>  22210702</t>
  </si>
  <si>
    <t>定期政策性银行存放应付利息</t>
  </si>
  <si>
    <t>  22310302</t>
  </si>
  <si>
    <t>定期外资银行存放应付利息</t>
  </si>
  <si>
    <t>  22310306</t>
  </si>
  <si>
    <t>境外存款类金融机构拆入应付利息</t>
  </si>
  <si>
    <t>  22310504</t>
  </si>
  <si>
    <t>应付其他定期储蓄存款利息</t>
  </si>
  <si>
    <t>  22311099</t>
  </si>
  <si>
    <t>应付待结算财政款项利息</t>
  </si>
  <si>
    <t>  223112</t>
  </si>
  <si>
    <t>应付财政预算专项存款利息</t>
  </si>
  <si>
    <t>  22311204</t>
  </si>
  <si>
    <t>同业存单应付利息</t>
  </si>
  <si>
    <t>  223119</t>
  </si>
  <si>
    <t>境内保险公司存单应付利息</t>
  </si>
  <si>
    <t>  22311901</t>
  </si>
  <si>
    <t>境内其他同业存单应付利息</t>
  </si>
  <si>
    <t>  22311999</t>
  </si>
  <si>
    <t>应付股利</t>
  </si>
  <si>
    <t>  2232</t>
  </si>
  <si>
    <t>  223201</t>
  </si>
  <si>
    <t>  22320101</t>
  </si>
  <si>
    <t>其他资本金</t>
  </si>
  <si>
    <t>  400199</t>
  </si>
  <si>
    <t>  40019999</t>
  </si>
  <si>
    <t>信用证福费廷利息收入</t>
  </si>
  <si>
    <t>  60110708</t>
  </si>
  <si>
    <t>借出境外同业利息收入</t>
  </si>
  <si>
    <t>  60120432</t>
  </si>
  <si>
    <t>并购顾问业务手续费收入</t>
  </si>
  <si>
    <t>  60210802</t>
  </si>
  <si>
    <t>电子商务业务收入</t>
  </si>
  <si>
    <t>  60210906</t>
  </si>
  <si>
    <t>资产业务手续费收入</t>
  </si>
  <si>
    <t>  60219908</t>
  </si>
  <si>
    <t>投资红利</t>
  </si>
  <si>
    <t>  611102</t>
  </si>
  <si>
    <t>  61110299</t>
  </si>
  <si>
    <t>长期股权投资收益</t>
  </si>
  <si>
    <t>  611103</t>
  </si>
  <si>
    <t>  61110301</t>
  </si>
  <si>
    <t>抵债资产处置收入</t>
  </si>
  <si>
    <t>  630102</t>
  </si>
  <si>
    <t>  63010201</t>
  </si>
  <si>
    <t>久悬未取款项收入</t>
  </si>
  <si>
    <t>  630108</t>
  </si>
  <si>
    <t>  63010801</t>
  </si>
  <si>
    <t>车船使用税</t>
  </si>
  <si>
    <t>  64030205</t>
  </si>
  <si>
    <t>其他定期存款利息支出</t>
  </si>
  <si>
    <t>  64110499</t>
  </si>
  <si>
    <t>财政预算专项存款利息支出</t>
    <phoneticPr fontId="1" type="noConversion"/>
  </si>
  <si>
    <t>  64119904</t>
  </si>
  <si>
    <t>定期政策性银行存放利息支出</t>
  </si>
  <si>
    <t>  64120402</t>
  </si>
  <si>
    <t>定期外资银行存放利息支出</t>
  </si>
  <si>
    <t>  64120406</t>
  </si>
  <si>
    <t>境外存款类金融机构拆入利息支出</t>
  </si>
  <si>
    <t>  64120504</t>
  </si>
  <si>
    <t>银行承兑汇票系统内转贴现利息支出</t>
  </si>
  <si>
    <t>  64120801</t>
  </si>
  <si>
    <t>劳动保护费</t>
  </si>
  <si>
    <t>  660133</t>
  </si>
  <si>
    <t>  66013301</t>
  </si>
  <si>
    <t>应收利息坏账损失</t>
  </si>
  <si>
    <t>  670103</t>
  </si>
  <si>
    <t>  67010301</t>
  </si>
  <si>
    <t>持有至到期投资减值损失</t>
  </si>
  <si>
    <t>  670107</t>
  </si>
  <si>
    <t>  67010701</t>
  </si>
  <si>
    <t>应收款项类投资减值损失</t>
  </si>
  <si>
    <t>  67010702</t>
  </si>
  <si>
    <t>抵债资产减值损失</t>
  </si>
  <si>
    <t>  670114</t>
  </si>
  <si>
    <t>  67011401</t>
  </si>
  <si>
    <t>抵债资产处置损失</t>
  </si>
  <si>
    <t>  671101</t>
  </si>
  <si>
    <t>  67110101</t>
  </si>
  <si>
    <t>罚没支出</t>
  </si>
  <si>
    <t>  671105</t>
  </si>
  <si>
    <t>  67110501</t>
  </si>
  <si>
    <t>第 46 页</t>
  </si>
  <si>
    <t>操作日期: 2017年07月03日</t>
  </si>
  <si>
    <t>共 47 页 第 47 页</t>
  </si>
  <si>
    <t>广州农商行日计表</t>
  </si>
  <si>
    <t>共 45 页</t>
  </si>
  <si>
    <t>拆放特殊目的载体</t>
  </si>
  <si>
    <t>  101314</t>
  </si>
  <si>
    <t>拆放代客理财项目</t>
  </si>
  <si>
    <t>  10131403</t>
  </si>
  <si>
    <t>拆放代客理财项目应收利息</t>
  </si>
  <si>
    <t>  11320525</t>
  </si>
  <si>
    <t>销项税额（汇总）</t>
  </si>
  <si>
    <t>向银行业存款类机构发行-本金</t>
  </si>
  <si>
    <t>向银行业存款类机构发行-利息调整</t>
  </si>
  <si>
    <t>向其他同业发行</t>
  </si>
  <si>
    <t>向其他同业发行-本金</t>
  </si>
  <si>
    <t>向其他同业发行-利息调整</t>
  </si>
  <si>
    <t>系统内结售汇平盘</t>
  </si>
  <si>
    <t>市场结售汇平盘</t>
  </si>
  <si>
    <t>拆放证券公司利息收入</t>
  </si>
  <si>
    <t>  60120419</t>
  </si>
  <si>
    <t>拆放代客理财项目利息收入</t>
  </si>
  <si>
    <t>  60120425</t>
  </si>
  <si>
    <t>合作类理财产品手续费收入</t>
  </si>
  <si>
    <t>  60210701</t>
  </si>
  <si>
    <t>国内人民币代付手续费收入</t>
  </si>
  <si>
    <t>  60219911</t>
  </si>
  <si>
    <t>营业税金及附加</t>
  </si>
  <si>
    <t>定期其他村镇银行存放利息支出</t>
  </si>
  <si>
    <t>  64120412</t>
  </si>
  <si>
    <t>代客理财项目拆入利息支出</t>
  </si>
  <si>
    <t>  64120525</t>
  </si>
  <si>
    <t>银行业存款类机构存单利息支出</t>
  </si>
  <si>
    <t>其他同业存单利息支出</t>
  </si>
  <si>
    <t>  66012404</t>
  </si>
  <si>
    <t>操作日期: 2016年07月01日</t>
  </si>
  <si>
    <t>共 45 页 第 45 页</t>
  </si>
  <si>
    <t>日计表-2017.06.30</t>
    <phoneticPr fontId="1" type="noConversion"/>
  </si>
  <si>
    <t>日计表-2016.06.30</t>
    <phoneticPr fontId="1" type="noConversion"/>
  </si>
  <si>
    <t>2017.06.30</t>
    <phoneticPr fontId="1" type="noConversion"/>
  </si>
  <si>
    <t>2016.06.30</t>
    <phoneticPr fontId="1" type="noConversion"/>
  </si>
  <si>
    <t>日均-2017.06.30</t>
    <phoneticPr fontId="23" type="noConversion"/>
  </si>
  <si>
    <t>日均-2016.06.30</t>
    <phoneticPr fontId="23" type="noConversion"/>
  </si>
  <si>
    <r>
      <rPr>
        <sz val="8"/>
        <color theme="1"/>
        <rFont val="宋体"/>
        <family val="3"/>
        <charset val="134"/>
      </rPr>
      <t>备注：已将</t>
    </r>
    <r>
      <rPr>
        <sz val="8"/>
        <color theme="1"/>
        <rFont val="Arial"/>
        <family val="2"/>
      </rPr>
      <t>FTP</t>
    </r>
    <r>
      <rPr>
        <sz val="8"/>
        <color theme="1"/>
        <rFont val="宋体"/>
        <family val="3"/>
        <charset val="134"/>
      </rPr>
      <t>的数据修改为</t>
    </r>
    <r>
      <rPr>
        <sz val="8"/>
        <color theme="1"/>
        <rFont val="Arial"/>
        <family val="2"/>
      </rPr>
      <t>PA</t>
    </r>
    <r>
      <rPr>
        <sz val="8"/>
        <color theme="1"/>
        <rFont val="宋体"/>
        <family val="3"/>
        <charset val="134"/>
      </rPr>
      <t>的数据，以后直接用</t>
    </r>
    <r>
      <rPr>
        <sz val="8"/>
        <color theme="1"/>
        <rFont val="Arial"/>
        <family val="2"/>
      </rPr>
      <t>PA</t>
    </r>
    <r>
      <rPr>
        <sz val="8"/>
        <color theme="1"/>
        <rFont val="宋体"/>
        <family val="3"/>
        <charset val="134"/>
      </rPr>
      <t>表</t>
    </r>
    <phoneticPr fontId="1" type="noConversion"/>
  </si>
  <si>
    <t>机构：全行　时间：2016-06-30　币种：本外币合计　单位：元</t>
  </si>
  <si>
    <r>
      <t>4</t>
    </r>
    <r>
      <rPr>
        <b/>
        <sz val="10"/>
        <rFont val="宋体"/>
        <family val="3"/>
        <charset val="134"/>
      </rPr>
      <t>月账面收支</t>
    </r>
    <phoneticPr fontId="1" type="noConversion"/>
  </si>
  <si>
    <t>合计1</t>
    <phoneticPr fontId="1" type="noConversion"/>
  </si>
  <si>
    <r>
      <rPr>
        <b/>
        <sz val="10"/>
        <color rgb="FF000000"/>
        <rFont val="宋体"/>
        <family val="3"/>
        <charset val="134"/>
      </rPr>
      <t>合计</t>
    </r>
    <r>
      <rPr>
        <b/>
        <sz val="10"/>
        <color rgb="FF000000"/>
        <rFont val="Arial"/>
        <family val="2"/>
      </rPr>
      <t>2</t>
    </r>
    <phoneticPr fontId="1" type="noConversion"/>
  </si>
  <si>
    <t>账面收支（价税分离）</t>
    <phoneticPr fontId="1" type="noConversion"/>
  </si>
  <si>
    <t>中央国库六个月定期存款</t>
  </si>
  <si>
    <t>其他村镇银行同业存放款项</t>
  </si>
  <si>
    <t>活期其他村镇银行同业存放款项</t>
  </si>
  <si>
    <t>活期其他村镇银行同业存放款项（清算）</t>
  </si>
  <si>
    <t>定期其他村镇银行同业存放款项</t>
  </si>
  <si>
    <t>保本理财资产利息收入</t>
  </si>
  <si>
    <t>保本理财拆放证券公司利息收入</t>
  </si>
  <si>
    <t>保本理财质押式买入返售利息收入</t>
  </si>
  <si>
    <t>保本理财可供出售金融资产利息收入</t>
  </si>
  <si>
    <t>保本理财日均</t>
  </si>
  <si>
    <t xml:space="preserve">  拆放</t>
  </si>
  <si>
    <t xml:space="preserve">  逆回购</t>
  </si>
  <si>
    <t xml:space="preserve">  可供出售</t>
  </si>
  <si>
    <t xml:space="preserve">  应收款项类</t>
  </si>
  <si>
    <t xml:space="preserve">  其他交易性</t>
  </si>
  <si>
    <t>保本理财借出境内其他机构利息收入</t>
    <phoneticPr fontId="1" type="noConversion"/>
  </si>
  <si>
    <t>保本理财拆放代客理财利息收入</t>
    <phoneticPr fontId="23" type="noConversion"/>
  </si>
  <si>
    <t>司库</t>
    <phoneticPr fontId="1" type="noConversion"/>
  </si>
  <si>
    <t>剔除贴现和信用卡透支，总账-管会（价税分离）</t>
    <phoneticPr fontId="1" type="noConversion"/>
  </si>
  <si>
    <r>
      <t>定期存款</t>
    </r>
    <r>
      <rPr>
        <sz val="10"/>
        <color rgb="FF000000"/>
        <rFont val="微软雅黑"/>
        <family val="2"/>
        <charset val="134"/>
      </rPr>
      <t>(含结构性存款)</t>
    </r>
    <phoneticPr fontId="1" type="noConversion"/>
  </si>
  <si>
    <t>保本理财拆放代客理财利息收入</t>
    <phoneticPr fontId="1" type="noConversion"/>
  </si>
  <si>
    <t>保本理财应收款项类投资利息收入</t>
    <phoneticPr fontId="1" type="noConversion"/>
  </si>
  <si>
    <t>同业存单</t>
    <phoneticPr fontId="1" type="noConversion"/>
  </si>
  <si>
    <t>单位：元</t>
  </si>
  <si>
    <t>单位：亿元</t>
  </si>
  <si>
    <t>外部利息收支</t>
  </si>
  <si>
    <t>外部利率</t>
  </si>
  <si>
    <t>差异调整</t>
  </si>
  <si>
    <t>单位活期</t>
  </si>
  <si>
    <t>个人活期</t>
  </si>
  <si>
    <t>合计</t>
  </si>
  <si>
    <t xml:space="preserve">    对公活期存款</t>
  </si>
  <si>
    <t xml:space="preserve">    个人活期存款</t>
  </si>
  <si>
    <t>单位贷款</t>
  </si>
  <si>
    <t>贴现</t>
  </si>
  <si>
    <t xml:space="preserve">   零售条线贷款(不含信用卡）</t>
  </si>
  <si>
    <t>金融市场业务资产</t>
  </si>
  <si>
    <t>卖出回购</t>
  </si>
  <si>
    <t>金融市场业务负债</t>
  </si>
  <si>
    <t>资产合计</t>
  </si>
  <si>
    <t>负债合计</t>
  </si>
  <si>
    <t>对公</t>
  </si>
  <si>
    <t>个人</t>
  </si>
  <si>
    <t>其他单位</t>
  </si>
  <si>
    <t>含转帖</t>
  </si>
  <si>
    <t>管会</t>
  </si>
  <si>
    <t>剔除贴现和透支，总账-管会（价税分离）</t>
  </si>
  <si>
    <t>差异是减值损失贷款的利息收入</t>
  </si>
  <si>
    <t>核心在表内，信贷在表外</t>
  </si>
  <si>
    <t>调整后</t>
  </si>
  <si>
    <t>同业保本理财利息支出（手工计提）</t>
  </si>
  <si>
    <t>手工计提</t>
  </si>
  <si>
    <t>同业拆入利息支出（金融市场台帐）</t>
  </si>
  <si>
    <t>备注：</t>
  </si>
  <si>
    <t>同业存放和存放同业采用调整内部户后的数据</t>
  </si>
  <si>
    <t xml:space="preserve"> 保本理财拆放代客理财利息收入</t>
  </si>
  <si>
    <t>保本理财应收款项类投资买卖差价</t>
  </si>
  <si>
    <t>保本理财应收款项类投资利息</t>
  </si>
  <si>
    <t>同业资产</t>
    <phoneticPr fontId="1" type="noConversion"/>
  </si>
  <si>
    <t>债券投资</t>
    <phoneticPr fontId="1" type="noConversion"/>
  </si>
  <si>
    <t>代客保本理财资产</t>
    <phoneticPr fontId="1" type="noConversion"/>
  </si>
  <si>
    <t>净利差</t>
    <phoneticPr fontId="1" type="noConversion"/>
  </si>
  <si>
    <t>净息差</t>
    <phoneticPr fontId="1" type="noConversion"/>
  </si>
  <si>
    <t>利息净收入</t>
    <phoneticPr fontId="1" type="noConversion"/>
  </si>
  <si>
    <t>一般客户存款</t>
  </si>
  <si>
    <t>上季</t>
    <phoneticPr fontId="1" type="noConversion"/>
  </si>
  <si>
    <t>上季</t>
    <phoneticPr fontId="1" type="noConversion"/>
  </si>
  <si>
    <t>年初</t>
    <phoneticPr fontId="1" type="noConversion"/>
  </si>
  <si>
    <t>收益率/成本率</t>
    <phoneticPr fontId="1" type="noConversion"/>
  </si>
  <si>
    <t>年初</t>
    <phoneticPr fontId="1" type="noConversion"/>
  </si>
  <si>
    <t>上年同期</t>
    <phoneticPr fontId="1" type="noConversion"/>
  </si>
  <si>
    <t>占比变动</t>
    <phoneticPr fontId="1" type="noConversion"/>
  </si>
  <si>
    <t>金融市场业务资产</t>
    <phoneticPr fontId="1" type="noConversion"/>
  </si>
  <si>
    <t>同业存拆放</t>
    <phoneticPr fontId="1" type="noConversion"/>
  </si>
  <si>
    <t>较同期</t>
  </si>
  <si>
    <t>较同期</t>
    <phoneticPr fontId="1" type="noConversion"/>
  </si>
  <si>
    <t>天数</t>
    <phoneticPr fontId="1" type="noConversion"/>
  </si>
  <si>
    <t>利息支出取自总账表</t>
    <phoneticPr fontId="1" type="noConversion"/>
  </si>
  <si>
    <t>公式一样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</si>
</sst>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2">
    <numFmt numFmtId="43" formatCode="_ * #,##0.00_ ;_ * \-#,##0.00_ ;_ * &quot;-&quot;??_ ;_ @_ "/>
    <numFmt numFmtId="176" formatCode="0.00_ "/>
    <numFmt numFmtId="177" formatCode="0_ "/>
    <numFmt numFmtId="178" formatCode="0.0_ "/>
    <numFmt numFmtId="179" formatCode="0.0%"/>
    <numFmt numFmtId="180" formatCode="0.00_);[Red]\(0.00\)"/>
    <numFmt numFmtId="181" formatCode="0_);[Red]\(0\)"/>
    <numFmt numFmtId="182" formatCode="0.0_);[Red]\(0.0\)"/>
    <numFmt numFmtId="183" formatCode="_ * #,##0_ ;_ * \-#,##0_ ;_ * &quot;-&quot;??_ ;_ @_ "/>
    <numFmt numFmtId="184" formatCode="_ * #,##0.00000_ ;_ * \-#,##0.00000_ ;_ * &quot;-&quot;??_ ;_ @_ "/>
    <numFmt numFmtId="185" formatCode="_ * #,##0.000000000_ ;_ * \-#,##0.000000000_ ;_ * &quot;-&quot;??_ ;_ @_ "/>
    <numFmt numFmtId="186" formatCode="_ * #,##0.0_ ;_ * \-#,##0.0_ ;_ * &quot;-&quot;??_ ;_ @_ "/>
    <numFmt numFmtId="187" formatCode="_ * #,##0.0_ ;_ * \-#,##0.0_ ;_ * &quot;-&quot;?_ ;_ @_ "/>
    <numFmt numFmtId="188" formatCode="&quot;\&quot;#,##0.00;[Red]&quot;\&quot;\-#,##0.00"/>
    <numFmt numFmtId="189" formatCode="_-#,##0_-;\(#,##0\);_-\ \ &quot;-&quot;_-;_-@_-"/>
    <numFmt numFmtId="190" formatCode="_-#,##0.00_-;\(#,##0.00\);_-\ \ &quot;-&quot;_-;_-@_-"/>
    <numFmt numFmtId="191" formatCode="mmm/dd/yyyy;_-\ &quot;N/A&quot;_-;_-\ &quot;-&quot;_-"/>
    <numFmt numFmtId="192" formatCode="mmm/yyyy;_-\ &quot;N/A&quot;_-;_-\ &quot;-&quot;_-"/>
    <numFmt numFmtId="193" formatCode="_-#,##0%_-;\(#,##0%\);_-\ &quot;-&quot;_-"/>
    <numFmt numFmtId="194" formatCode="_-#,###,_-;\(#,###,\);_-\ \ &quot;-&quot;_-;_-@_-"/>
    <numFmt numFmtId="195" formatCode="_-#,###.00,_-;\(#,###.00,\);_-\ \ &quot;-&quot;_-;_-@_-"/>
    <numFmt numFmtId="196" formatCode="_-#0&quot;.&quot;0,_-;\(#0&quot;.&quot;0,\);_-\ \ &quot;-&quot;_-;_-@_-"/>
    <numFmt numFmtId="197" formatCode="_-#0&quot;.&quot;0000_-;\(#0&quot;.&quot;0000\);_-\ \ &quot;-&quot;_-;_-@_-"/>
    <numFmt numFmtId="198" formatCode="_(* #,##0.00_);_(* \(#,##0.00\);_(* &quot;-&quot;??_);_(@_)"/>
    <numFmt numFmtId="199" formatCode="_([$€-2]* #,##0.00_);_([$€-2]* \(#,##0.00\);_([$€-2]* &quot;-&quot;??_)"/>
    <numFmt numFmtId="200" formatCode="#,##0.00_ "/>
    <numFmt numFmtId="201" formatCode="#,##0.0"/>
    <numFmt numFmtId="202" formatCode="#,##0.0_ "/>
    <numFmt numFmtId="203" formatCode="#,##0.000_ "/>
    <numFmt numFmtId="204" formatCode="0.000%"/>
    <numFmt numFmtId="205" formatCode="#,##0.000000000000000_ "/>
    <numFmt numFmtId="206" formatCode="#,##0.000000000000_ "/>
  </numFmts>
  <fonts count="160">
    <font>
      <sz val="11"/>
      <color theme="1"/>
      <name val="宋体"/>
      <family val="2"/>
      <charset val="134"/>
      <scheme val="minor"/>
    </font>
    <font>
      <sz val="9"/>
      <name val="宋体"/>
      <family val="2"/>
      <charset val="134"/>
      <scheme val="minor"/>
    </font>
    <font>
      <sz val="11"/>
      <color theme="1"/>
      <name val="宋体"/>
      <family val="2"/>
      <charset val="134"/>
      <scheme val="minor"/>
    </font>
    <font>
      <b/>
      <sz val="15"/>
      <name val="仿宋"/>
      <family val="3"/>
      <charset val="134"/>
    </font>
    <font>
      <b/>
      <sz val="15"/>
      <color theme="0"/>
      <name val="华文楷体"/>
      <family val="3"/>
      <charset val="134"/>
    </font>
    <font>
      <sz val="15"/>
      <color theme="1"/>
      <name val="华文楷体"/>
      <family val="3"/>
      <charset val="134"/>
    </font>
    <font>
      <sz val="15"/>
      <color theme="1"/>
      <name val="宋体"/>
      <family val="2"/>
      <charset val="134"/>
      <scheme val="minor"/>
    </font>
    <font>
      <sz val="12"/>
      <color theme="1"/>
      <name val="华文楷体"/>
      <family val="3"/>
      <charset val="134"/>
    </font>
    <font>
      <b/>
      <sz val="15"/>
      <color theme="1"/>
      <name val="华文楷体"/>
      <family val="3"/>
      <charset val="134"/>
    </font>
    <font>
      <b/>
      <sz val="15"/>
      <name val="华文楷体"/>
      <family val="3"/>
      <charset val="134"/>
    </font>
    <font>
      <b/>
      <sz val="15"/>
      <color theme="1"/>
      <name val="宋体"/>
      <family val="2"/>
      <charset val="134"/>
      <scheme val="minor"/>
    </font>
    <font>
      <sz val="12"/>
      <name val="华文楷体"/>
      <family val="3"/>
      <charset val="134"/>
    </font>
    <font>
      <sz val="12"/>
      <color theme="1"/>
      <name val="宋体"/>
      <family val="2"/>
      <charset val="134"/>
      <scheme val="minor"/>
    </font>
    <font>
      <b/>
      <sz val="12"/>
      <color theme="5"/>
      <name val="华文楷体"/>
      <family val="3"/>
      <charset val="134"/>
    </font>
    <font>
      <b/>
      <sz val="15"/>
      <color theme="1"/>
      <name val="仿宋"/>
      <family val="3"/>
      <charset val="134"/>
    </font>
    <font>
      <sz val="11"/>
      <color theme="1"/>
      <name val="华文楷体"/>
      <family val="3"/>
      <charset val="134"/>
    </font>
    <font>
      <b/>
      <i/>
      <sz val="15"/>
      <color theme="1"/>
      <name val="华文楷体"/>
      <family val="3"/>
      <charset val="134"/>
    </font>
    <font>
      <b/>
      <sz val="10"/>
      <color theme="1"/>
      <name val="宋体"/>
      <family val="3"/>
      <charset val="134"/>
      <scheme val="minor"/>
    </font>
    <font>
      <sz val="10"/>
      <color theme="1"/>
      <name val="宋体"/>
      <family val="3"/>
      <charset val="134"/>
      <scheme val="minor"/>
    </font>
    <font>
      <sz val="10"/>
      <color theme="1"/>
      <name val="宋体"/>
      <family val="2"/>
      <charset val="134"/>
      <scheme val="minor"/>
    </font>
    <font>
      <b/>
      <sz val="12"/>
      <color rgb="FFC00000"/>
      <name val="华文楷体"/>
      <family val="3"/>
      <charset val="134"/>
    </font>
    <font>
      <i/>
      <sz val="12"/>
      <color theme="1"/>
      <name val="华文楷体"/>
      <family val="3"/>
      <charset val="134"/>
    </font>
    <font>
      <sz val="12"/>
      <name val="华文仿宋"/>
      <family val="3"/>
      <charset val="134"/>
    </font>
    <font>
      <sz val="9"/>
      <name val="宋体"/>
      <family val="3"/>
      <charset val="134"/>
    </font>
    <font>
      <b/>
      <sz val="12"/>
      <name val="华文仿宋"/>
      <family val="3"/>
      <charset val="134"/>
    </font>
    <font>
      <sz val="12"/>
      <color theme="1"/>
      <name val="华文仿宋"/>
      <family val="3"/>
      <charset val="134"/>
    </font>
    <font>
      <sz val="14"/>
      <color rgb="FF000000"/>
      <name val="华文楷体"/>
      <family val="3"/>
      <charset val="134"/>
    </font>
    <font>
      <sz val="14"/>
      <name val="华文楷体"/>
      <family val="3"/>
      <charset val="134"/>
    </font>
    <font>
      <sz val="14"/>
      <color theme="1"/>
      <name val="华文楷体"/>
      <family val="3"/>
      <charset val="134"/>
    </font>
    <font>
      <b/>
      <sz val="11"/>
      <color theme="1"/>
      <name val="宋体"/>
      <family val="3"/>
      <charset val="134"/>
      <scheme val="minor"/>
    </font>
    <font>
      <sz val="11"/>
      <color theme="1"/>
      <name val="宋体"/>
      <family val="3"/>
      <charset val="134"/>
      <scheme val="minor"/>
    </font>
    <font>
      <b/>
      <sz val="11"/>
      <color theme="1"/>
      <name val="宋体"/>
      <family val="2"/>
      <charset val="134"/>
      <scheme val="minor"/>
    </font>
    <font>
      <sz val="8"/>
      <color theme="1"/>
      <name val="Arial"/>
      <family val="2"/>
    </font>
    <font>
      <sz val="7"/>
      <color theme="1"/>
      <name val="Arial"/>
      <family val="2"/>
    </font>
    <font>
      <sz val="12"/>
      <name val="宋体"/>
      <family val="3"/>
      <charset val="134"/>
    </font>
    <font>
      <sz val="10"/>
      <name val="宋体"/>
      <family val="3"/>
      <charset val="134"/>
    </font>
    <font>
      <sz val="12"/>
      <name val="Arial Unicode MS"/>
      <family val="2"/>
      <charset val="134"/>
    </font>
    <font>
      <sz val="10"/>
      <color rgb="FFFF0000"/>
      <name val="宋体"/>
      <family val="3"/>
      <charset val="134"/>
    </font>
    <font>
      <sz val="9"/>
      <color theme="1"/>
      <name val="宋体"/>
      <family val="2"/>
      <charset val="134"/>
      <scheme val="minor"/>
    </font>
    <font>
      <b/>
      <sz val="9"/>
      <color theme="1"/>
      <name val="宋体"/>
      <family val="3"/>
      <charset val="134"/>
      <scheme val="minor"/>
    </font>
    <font>
      <sz val="9"/>
      <color theme="1"/>
      <name val="宋体"/>
      <family val="3"/>
      <charset val="134"/>
      <scheme val="minor"/>
    </font>
    <font>
      <sz val="12"/>
      <name val="Times New Roman"/>
      <family val="1"/>
    </font>
    <font>
      <sz val="10"/>
      <name val="Arial"/>
      <family val="2"/>
    </font>
    <font>
      <sz val="11"/>
      <name val="ＭＳ Ｐゴシック"/>
      <family val="2"/>
    </font>
    <font>
      <sz val="11"/>
      <name val="MS P????"/>
      <family val="3"/>
    </font>
    <font>
      <u/>
      <sz val="10"/>
      <color indexed="12"/>
      <name val="Arial"/>
      <family val="2"/>
    </font>
    <font>
      <sz val="10"/>
      <name val="Helv"/>
      <family val="2"/>
    </font>
    <font>
      <sz val="10"/>
      <name val="Times New Roman"/>
      <family val="1"/>
    </font>
    <font>
      <sz val="10"/>
      <color indexed="8"/>
      <name val="Arial"/>
      <family val="2"/>
    </font>
    <font>
      <sz val="10"/>
      <name val="Geneva"/>
      <family val="2"/>
    </font>
    <font>
      <u val="singleAccounting"/>
      <vertAlign val="subscript"/>
      <sz val="10"/>
      <name val="Times New Roman"/>
      <family val="1"/>
    </font>
    <font>
      <i/>
      <sz val="9"/>
      <name val="Times New Roman"/>
      <family val="1"/>
    </font>
    <font>
      <sz val="11"/>
      <color indexed="8"/>
      <name val="宋体"/>
      <family val="3"/>
      <charset val="134"/>
    </font>
    <font>
      <sz val="9"/>
      <color indexed="8"/>
      <name val="微软雅黑"/>
      <family val="2"/>
      <charset val="134"/>
    </font>
    <font>
      <sz val="11"/>
      <color indexed="9"/>
      <name val="宋体"/>
      <family val="3"/>
      <charset val="134"/>
    </font>
    <font>
      <sz val="9"/>
      <color indexed="9"/>
      <name val="微软雅黑"/>
      <family val="2"/>
      <charset val="134"/>
    </font>
    <font>
      <sz val="11"/>
      <color indexed="8"/>
      <name val="Calibri"/>
      <family val="2"/>
    </font>
    <font>
      <sz val="11"/>
      <color theme="1"/>
      <name val="宋体"/>
      <family val="2"/>
      <scheme val="minor"/>
    </font>
    <font>
      <b/>
      <sz val="15"/>
      <color indexed="56"/>
      <name val="宋体"/>
      <family val="3"/>
      <charset val="134"/>
    </font>
    <font>
      <b/>
      <sz val="15"/>
      <color indexed="56"/>
      <name val="微软雅黑"/>
      <family val="2"/>
      <charset val="134"/>
    </font>
    <font>
      <b/>
      <sz val="13"/>
      <color indexed="56"/>
      <name val="宋体"/>
      <family val="3"/>
      <charset val="134"/>
    </font>
    <font>
      <b/>
      <sz val="13"/>
      <color indexed="56"/>
      <name val="微软雅黑"/>
      <family val="2"/>
      <charset val="134"/>
    </font>
    <font>
      <b/>
      <sz val="11"/>
      <color indexed="56"/>
      <name val="宋体"/>
      <family val="3"/>
      <charset val="134"/>
    </font>
    <font>
      <b/>
      <sz val="11"/>
      <color indexed="56"/>
      <name val="微软雅黑"/>
      <family val="2"/>
      <charset val="134"/>
    </font>
    <font>
      <b/>
      <sz val="18"/>
      <color indexed="56"/>
      <name val="宋体"/>
      <family val="3"/>
      <charset val="134"/>
    </font>
    <font>
      <sz val="11"/>
      <color indexed="20"/>
      <name val="宋体"/>
      <family val="3"/>
      <charset val="134"/>
    </font>
    <font>
      <sz val="9"/>
      <color indexed="20"/>
      <name val="微软雅黑"/>
      <family val="2"/>
      <charset val="134"/>
    </font>
    <font>
      <sz val="11"/>
      <color indexed="20"/>
      <name val="Tahoma"/>
      <family val="2"/>
    </font>
    <font>
      <sz val="9"/>
      <color theme="1"/>
      <name val="微软雅黑"/>
      <family val="2"/>
      <charset val="134"/>
    </font>
    <font>
      <sz val="11"/>
      <color indexed="8"/>
      <name val="宋体"/>
      <family val="2"/>
      <charset val="134"/>
    </font>
    <font>
      <sz val="11"/>
      <color indexed="17"/>
      <name val="宋体"/>
      <family val="3"/>
      <charset val="134"/>
    </font>
    <font>
      <sz val="9"/>
      <color indexed="17"/>
      <name val="微软雅黑"/>
      <family val="2"/>
      <charset val="134"/>
    </font>
    <font>
      <sz val="11"/>
      <color indexed="17"/>
      <name val="Tahoma"/>
      <family val="2"/>
    </font>
    <font>
      <b/>
      <sz val="11"/>
      <color indexed="8"/>
      <name val="宋体"/>
      <family val="3"/>
      <charset val="134"/>
    </font>
    <font>
      <b/>
      <sz val="9"/>
      <color indexed="8"/>
      <name val="微软雅黑"/>
      <family val="2"/>
      <charset val="134"/>
    </font>
    <font>
      <b/>
      <sz val="11"/>
      <color indexed="52"/>
      <name val="宋体"/>
      <family val="3"/>
      <charset val="134"/>
    </font>
    <font>
      <b/>
      <sz val="9"/>
      <color indexed="52"/>
      <name val="微软雅黑"/>
      <family val="2"/>
      <charset val="134"/>
    </font>
    <font>
      <b/>
      <sz val="11"/>
      <color indexed="9"/>
      <name val="宋体"/>
      <family val="3"/>
      <charset val="134"/>
    </font>
    <font>
      <b/>
      <sz val="9"/>
      <color indexed="9"/>
      <name val="微软雅黑"/>
      <family val="2"/>
      <charset val="134"/>
    </font>
    <font>
      <i/>
      <sz val="11"/>
      <color indexed="23"/>
      <name val="宋体"/>
      <family val="3"/>
      <charset val="134"/>
    </font>
    <font>
      <i/>
      <sz val="9"/>
      <color indexed="23"/>
      <name val="微软雅黑"/>
      <family val="2"/>
      <charset val="134"/>
    </font>
    <font>
      <sz val="11"/>
      <color indexed="10"/>
      <name val="宋体"/>
      <family val="3"/>
      <charset val="134"/>
    </font>
    <font>
      <sz val="9"/>
      <color indexed="10"/>
      <name val="微软雅黑"/>
      <family val="2"/>
      <charset val="134"/>
    </font>
    <font>
      <sz val="11"/>
      <color indexed="52"/>
      <name val="宋体"/>
      <family val="3"/>
      <charset val="134"/>
    </font>
    <font>
      <sz val="9"/>
      <color indexed="52"/>
      <name val="微软雅黑"/>
      <family val="2"/>
      <charset val="134"/>
    </font>
    <font>
      <sz val="11"/>
      <color indexed="8"/>
      <name val="黑体"/>
      <family val="3"/>
      <charset val="134"/>
    </font>
    <font>
      <sz val="11"/>
      <color indexed="60"/>
      <name val="宋体"/>
      <family val="3"/>
      <charset val="134"/>
    </font>
    <font>
      <sz val="9"/>
      <color indexed="60"/>
      <name val="微软雅黑"/>
      <family val="2"/>
      <charset val="134"/>
    </font>
    <font>
      <b/>
      <sz val="11"/>
      <color indexed="63"/>
      <name val="宋体"/>
      <family val="3"/>
      <charset val="134"/>
    </font>
    <font>
      <b/>
      <sz val="9"/>
      <color indexed="63"/>
      <name val="微软雅黑"/>
      <family val="2"/>
      <charset val="134"/>
    </font>
    <font>
      <sz val="11"/>
      <color indexed="62"/>
      <name val="宋体"/>
      <family val="3"/>
      <charset val="134"/>
    </font>
    <font>
      <sz val="9"/>
      <color indexed="62"/>
      <name val="微软雅黑"/>
      <family val="2"/>
      <charset val="134"/>
    </font>
    <font>
      <sz val="10"/>
      <color rgb="FFFF0000"/>
      <name val="宋体"/>
      <family val="2"/>
      <charset val="134"/>
      <scheme val="minor"/>
    </font>
    <font>
      <b/>
      <sz val="10"/>
      <color rgb="FFFF0000"/>
      <name val="宋体"/>
      <family val="3"/>
      <charset val="134"/>
      <scheme val="minor"/>
    </font>
    <font>
      <b/>
      <sz val="11"/>
      <color rgb="FF000000"/>
      <name val="黑体"/>
      <family val="3"/>
      <charset val="134"/>
    </font>
    <font>
      <sz val="11"/>
      <color rgb="FF000000"/>
      <name val="黑体"/>
      <family val="3"/>
      <charset val="134"/>
    </font>
    <font>
      <sz val="11"/>
      <color rgb="FFFF0000"/>
      <name val="黑体"/>
      <family val="3"/>
      <charset val="134"/>
    </font>
    <font>
      <sz val="7"/>
      <color rgb="FF000000"/>
      <name val="Tahoma"/>
      <family val="2"/>
    </font>
    <font>
      <b/>
      <sz val="9"/>
      <color rgb="FFFF0000"/>
      <name val="宋体"/>
      <family val="3"/>
      <charset val="134"/>
    </font>
    <font>
      <sz val="10"/>
      <color rgb="FFFF0000"/>
      <name val="宋体"/>
      <family val="3"/>
      <charset val="134"/>
      <scheme val="minor"/>
    </font>
    <font>
      <sz val="9"/>
      <color rgb="FF313131"/>
      <name val="Arial"/>
      <family val="2"/>
    </font>
    <font>
      <sz val="10"/>
      <color rgb="FF000000"/>
      <name val="微软雅黑"/>
      <family val="2"/>
      <charset val="134"/>
    </font>
    <font>
      <sz val="12"/>
      <color rgb="FFFF0000"/>
      <name val="Arial Unicode MS"/>
      <family val="2"/>
      <charset val="134"/>
    </font>
    <font>
      <b/>
      <sz val="20"/>
      <name val="宋体"/>
      <family val="3"/>
      <charset val="134"/>
    </font>
    <font>
      <b/>
      <sz val="10"/>
      <color rgb="FF000000"/>
      <name val="微软雅黑"/>
      <family val="2"/>
      <charset val="134"/>
    </font>
    <font>
      <sz val="9"/>
      <name val="宋体"/>
      <family val="3"/>
      <charset val="134"/>
      <scheme val="minor"/>
    </font>
    <font>
      <b/>
      <sz val="10"/>
      <name val="微软雅黑"/>
      <family val="2"/>
      <charset val="134"/>
    </font>
    <font>
      <sz val="11"/>
      <color rgb="FF000000"/>
      <name val="宋体"/>
      <family val="3"/>
      <charset val="134"/>
    </font>
    <font>
      <b/>
      <sz val="11"/>
      <color rgb="FF000000"/>
      <name val="宋体"/>
      <family val="3"/>
      <charset val="134"/>
    </font>
    <font>
      <b/>
      <sz val="9"/>
      <color rgb="FFFFFFFF"/>
      <name val="微软雅黑"/>
      <family val="2"/>
      <charset val="134"/>
    </font>
    <font>
      <b/>
      <sz val="9"/>
      <color rgb="FF000000"/>
      <name val="微软雅黑"/>
      <family val="2"/>
      <charset val="134"/>
    </font>
    <font>
      <sz val="9"/>
      <color rgb="FF000000"/>
      <name val="微软雅黑"/>
      <family val="2"/>
      <charset val="134"/>
    </font>
    <font>
      <sz val="9"/>
      <color rgb="FFFF0000"/>
      <name val="微软雅黑"/>
      <family val="2"/>
      <charset val="134"/>
    </font>
    <font>
      <b/>
      <sz val="9"/>
      <color theme="0"/>
      <name val="微软雅黑"/>
      <family val="2"/>
      <charset val="134"/>
    </font>
    <font>
      <b/>
      <sz val="9"/>
      <name val="微软雅黑"/>
      <family val="2"/>
      <charset val="134"/>
    </font>
    <font>
      <b/>
      <sz val="9"/>
      <color theme="1"/>
      <name val="微软雅黑"/>
      <family val="2"/>
      <charset val="134"/>
    </font>
    <font>
      <sz val="9"/>
      <name val="微软雅黑"/>
      <family val="2"/>
      <charset val="134"/>
    </font>
    <font>
      <sz val="8"/>
      <color theme="1"/>
      <name val="宋体"/>
      <family val="3"/>
      <charset val="134"/>
    </font>
    <font>
      <sz val="11"/>
      <color rgb="FFFF0000"/>
      <name val="宋体"/>
      <family val="2"/>
      <charset val="134"/>
      <scheme val="minor"/>
    </font>
    <font>
      <sz val="9"/>
      <color rgb="FFFF0000"/>
      <name val="宋体"/>
      <family val="3"/>
      <charset val="134"/>
    </font>
    <font>
      <sz val="10"/>
      <color rgb="FFFF0000"/>
      <name val="微软雅黑"/>
      <family val="2"/>
      <charset val="134"/>
    </font>
    <font>
      <sz val="10"/>
      <name val="宋体"/>
      <family val="2"/>
      <charset val="134"/>
      <scheme val="minor"/>
    </font>
    <font>
      <sz val="10"/>
      <name val="微软雅黑"/>
      <family val="2"/>
      <charset val="134"/>
    </font>
    <font>
      <sz val="11"/>
      <name val="宋体"/>
      <family val="2"/>
      <charset val="134"/>
      <scheme val="minor"/>
    </font>
    <font>
      <b/>
      <sz val="12"/>
      <color theme="1"/>
      <name val="华文楷体"/>
      <family val="3"/>
      <charset val="134"/>
    </font>
    <font>
      <b/>
      <sz val="11"/>
      <color rgb="FF333399"/>
      <name val="Arial"/>
      <family val="2"/>
    </font>
    <font>
      <b/>
      <sz val="10"/>
      <color rgb="FF000000"/>
      <name val="Tahoma"/>
      <family val="2"/>
    </font>
    <font>
      <b/>
      <sz val="10"/>
      <color rgb="FF000000"/>
      <name val="Arial"/>
      <family val="2"/>
    </font>
    <font>
      <b/>
      <sz val="9"/>
      <name val="宋体"/>
      <family val="3"/>
      <charset val="134"/>
    </font>
    <font>
      <sz val="9"/>
      <color indexed="81"/>
      <name val="Tahoma"/>
      <family val="2"/>
    </font>
    <font>
      <b/>
      <sz val="9"/>
      <color indexed="81"/>
      <name val="宋体"/>
      <family val="3"/>
      <charset val="134"/>
    </font>
    <font>
      <sz val="9"/>
      <color indexed="81"/>
      <name val="宋体"/>
      <family val="3"/>
      <charset val="134"/>
    </font>
    <font>
      <b/>
      <sz val="9"/>
      <color theme="1"/>
      <name val="Arial"/>
      <family val="2"/>
    </font>
    <font>
      <sz val="8"/>
      <color rgb="FF000000"/>
      <name val="Tahoma"/>
      <family val="2"/>
    </font>
    <font>
      <sz val="10"/>
      <color rgb="FFFF0000"/>
      <name val="Arial"/>
      <family val="2"/>
    </font>
    <font>
      <sz val="8"/>
      <name val="Arial"/>
      <family val="2"/>
    </font>
    <font>
      <sz val="10"/>
      <color rgb="FFFF0000"/>
      <name val="Arial Unicode MS"/>
      <family val="2"/>
      <charset val="134"/>
    </font>
    <font>
      <b/>
      <sz val="9"/>
      <color indexed="81"/>
      <name val="Tahoma"/>
      <family val="2"/>
    </font>
    <font>
      <b/>
      <sz val="9"/>
      <color theme="1"/>
      <name val="宋体"/>
      <family val="2"/>
      <charset val="134"/>
      <scheme val="minor"/>
    </font>
    <font>
      <b/>
      <sz val="10"/>
      <name val="宋体"/>
      <family val="3"/>
      <charset val="134"/>
    </font>
    <font>
      <b/>
      <sz val="10"/>
      <color theme="0"/>
      <name val="微软雅黑"/>
      <family val="2"/>
      <charset val="134"/>
    </font>
    <font>
      <sz val="12"/>
      <color indexed="8"/>
      <name val="宋体"/>
      <family val="3"/>
      <charset val="134"/>
    </font>
    <font>
      <sz val="12"/>
      <color indexed="8"/>
      <name val="Arial Unicode MS"/>
      <family val="2"/>
      <charset val="134"/>
    </font>
    <font>
      <b/>
      <sz val="18"/>
      <color theme="1"/>
      <name val="华文仿宋"/>
      <family val="3"/>
      <charset val="134"/>
    </font>
    <font>
      <sz val="11"/>
      <color theme="1"/>
      <name val="华文仿宋"/>
      <family val="3"/>
      <charset val="134"/>
    </font>
    <font>
      <b/>
      <sz val="11"/>
      <color theme="1"/>
      <name val="华文仿宋"/>
      <family val="3"/>
      <charset val="134"/>
    </font>
    <font>
      <sz val="10"/>
      <color theme="1"/>
      <name val="华文仿宋"/>
      <family val="3"/>
      <charset val="134"/>
    </font>
    <font>
      <b/>
      <sz val="12"/>
      <color theme="1"/>
      <name val="华文仿宋"/>
      <family val="3"/>
      <charset val="134"/>
    </font>
    <font>
      <b/>
      <sz val="10"/>
      <color theme="1"/>
      <name val="华文仿宋"/>
      <family val="3"/>
      <charset val="134"/>
    </font>
    <font>
      <b/>
      <sz val="18"/>
      <color theme="1"/>
      <name val="宋体"/>
      <family val="3"/>
      <charset val="134"/>
      <scheme val="minor"/>
    </font>
    <font>
      <b/>
      <sz val="12"/>
      <color theme="1"/>
      <name val="宋体"/>
      <family val="3"/>
      <charset val="134"/>
      <scheme val="minor"/>
    </font>
    <font>
      <sz val="10"/>
      <color rgb="FF000000"/>
      <name val="Arial"/>
      <family val="2"/>
    </font>
    <font>
      <b/>
      <sz val="10"/>
      <name val="Arial"/>
      <family val="2"/>
    </font>
    <font>
      <b/>
      <sz val="10"/>
      <color rgb="FF000000"/>
      <name val="宋体"/>
      <family val="3"/>
      <charset val="134"/>
    </font>
    <font>
      <sz val="8"/>
      <name val="Tahoma"/>
      <family val="2"/>
    </font>
    <font>
      <sz val="12"/>
      <color rgb="FFFF0000"/>
      <name val="华文楷体"/>
      <family val="3"/>
      <charset val="134"/>
    </font>
    <font>
      <sz val="10"/>
      <color theme="1"/>
      <name val="微软雅黑"/>
      <family val="2"/>
      <charset val="134"/>
    </font>
    <font>
      <b/>
      <sz val="10"/>
      <color theme="1"/>
      <name val="微软雅黑"/>
      <family val="2"/>
      <charset val="134"/>
    </font>
    <font>
      <b/>
      <sz val="10"/>
      <color rgb="FFFF0000"/>
      <name val="微软雅黑"/>
      <family val="2"/>
      <charset val="134"/>
    </font>
    <font>
      <b/>
      <sz val="9"/>
      <color rgb="FFFF0000"/>
      <name val="微软雅黑"/>
      <family val="2"/>
      <charset val="134"/>
    </font>
  </fonts>
  <fills count="8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FF"/>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FEF"/>
        <bgColor indexed="64"/>
      </patternFill>
    </fill>
    <fill>
      <patternFill patternType="solid">
        <fgColor rgb="FFEEEEEE"/>
        <bgColor indexed="64"/>
      </patternFill>
    </fill>
    <fill>
      <patternFill patternType="solid">
        <fgColor theme="7" tint="0.79998168889431442"/>
        <bgColor indexed="64"/>
      </patternFill>
    </fill>
    <fill>
      <patternFill patternType="solid">
        <fgColor rgb="FFC0C0C0"/>
        <bgColor indexed="64"/>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2"/>
      </patternFill>
    </fill>
    <fill>
      <patternFill patternType="solid">
        <fgColor indexed="22"/>
        <bgColor indexed="64"/>
      </patternFill>
    </fill>
    <fill>
      <patternFill patternType="solid">
        <fgColor indexed="55"/>
      </patternFill>
    </fill>
    <fill>
      <patternFill patternType="solid">
        <fgColor indexed="55"/>
        <bgColor indexed="64"/>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43"/>
      </patternFill>
    </fill>
    <fill>
      <patternFill patternType="solid">
        <fgColor indexed="43"/>
        <bgColor indexed="64"/>
      </patternFill>
    </fill>
    <fill>
      <patternFill patternType="solid">
        <fgColor indexed="26"/>
      </patternFill>
    </fill>
    <fill>
      <patternFill patternType="solid">
        <fgColor indexed="26"/>
        <bgColor indexed="64"/>
      </patternFill>
    </fill>
    <fill>
      <patternFill patternType="solid">
        <fgColor theme="4"/>
        <bgColor theme="4"/>
      </patternFill>
    </fill>
    <fill>
      <patternFill patternType="solid">
        <fgColor rgb="FFE9EDF4"/>
        <bgColor indexed="64"/>
      </patternFill>
    </fill>
    <fill>
      <patternFill patternType="solid">
        <fgColor indexed="13"/>
        <bgColor indexed="64"/>
      </patternFill>
    </fill>
    <fill>
      <patternFill patternType="solid">
        <fgColor rgb="FFD3DFEE"/>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249977111117893"/>
        <bgColor indexed="64"/>
      </patternFill>
    </fill>
  </fills>
  <borders count="79">
    <border>
      <left/>
      <right/>
      <top/>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8"/>
      </left>
      <right style="thin">
        <color indexed="8"/>
      </right>
      <top style="thin">
        <color indexed="8"/>
      </top>
      <bottom style="thin">
        <color indexed="8"/>
      </bottom>
      <diagonal/>
    </border>
    <border diagonalUp="1" diagonalDown="1">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theme="0"/>
      </right>
      <top/>
      <bottom/>
      <diagonal/>
    </border>
    <border>
      <left/>
      <right style="thin">
        <color theme="0"/>
      </right>
      <top/>
      <bottom style="thick">
        <color theme="0"/>
      </bottom>
      <diagonal/>
    </border>
    <border>
      <left style="thin">
        <color theme="0"/>
      </left>
      <right/>
      <top/>
      <bottom style="thick">
        <color theme="0"/>
      </bottom>
      <diagonal/>
    </border>
    <border>
      <left/>
      <right/>
      <top/>
      <bottom style="thick">
        <color theme="0"/>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style="medium">
        <color rgb="FF979991"/>
      </left>
      <right/>
      <top style="medium">
        <color rgb="FF979991"/>
      </top>
      <bottom style="medium">
        <color rgb="FF979991"/>
      </bottom>
      <diagonal/>
    </border>
    <border>
      <left/>
      <right/>
      <top style="medium">
        <color rgb="FF979991"/>
      </top>
      <bottom style="medium">
        <color rgb="FF979991"/>
      </bottom>
      <diagonal/>
    </border>
    <border>
      <left/>
      <right style="medium">
        <color rgb="FF979991"/>
      </right>
      <top style="medium">
        <color rgb="FF979991"/>
      </top>
      <bottom style="medium">
        <color rgb="FF979991"/>
      </bottom>
      <diagonal/>
    </border>
    <border>
      <left style="medium">
        <color rgb="FF979991"/>
      </left>
      <right/>
      <top style="medium">
        <color rgb="FF979991"/>
      </top>
      <bottom/>
      <diagonal/>
    </border>
    <border>
      <left style="medium">
        <color rgb="FF979991"/>
      </left>
      <right style="medium">
        <color rgb="FF979991"/>
      </right>
      <top style="medium">
        <color rgb="FF979991"/>
      </top>
      <bottom style="medium">
        <color rgb="FF979991"/>
      </bottom>
      <diagonal/>
    </border>
    <border>
      <left style="medium">
        <color rgb="FF979991"/>
      </left>
      <right style="medium">
        <color rgb="FF979991"/>
      </right>
      <top style="medium">
        <color rgb="FF979991"/>
      </top>
      <bottom/>
      <diagonal/>
    </border>
    <border>
      <left style="medium">
        <color rgb="FF979991"/>
      </left>
      <right style="medium">
        <color rgb="FF979991"/>
      </right>
      <top/>
      <bottom/>
      <diagonal/>
    </border>
    <border>
      <left style="medium">
        <color rgb="FF979991"/>
      </left>
      <right style="medium">
        <color rgb="FF979991"/>
      </right>
      <top/>
      <bottom style="medium">
        <color rgb="FF979991"/>
      </bottom>
      <diagonal/>
    </border>
    <border>
      <left style="medium">
        <color rgb="FFDCDCDC"/>
      </left>
      <right style="medium">
        <color rgb="FFDCDCDC"/>
      </right>
      <top style="medium">
        <color rgb="FFDCDCDC"/>
      </top>
      <bottom style="medium">
        <color rgb="FFDCDCDC"/>
      </bottom>
      <diagonal/>
    </border>
    <border>
      <left style="medium">
        <color rgb="FFE2E2E2"/>
      </left>
      <right style="medium">
        <color rgb="FFE2E2E2"/>
      </right>
      <top style="medium">
        <color rgb="FFE2E2E2"/>
      </top>
      <bottom style="medium">
        <color rgb="FFE2E2E2"/>
      </bottom>
      <diagonal/>
    </border>
    <border>
      <left style="thin">
        <color rgb="FFFFFFFF"/>
      </left>
      <right style="thin">
        <color rgb="FFFFFFFF"/>
      </right>
      <top style="thin">
        <color rgb="FFFFFFFF"/>
      </top>
      <bottom style="thin">
        <color rgb="FFFFFFFF"/>
      </bottom>
      <diagonal/>
    </border>
    <border>
      <left/>
      <right/>
      <top/>
      <bottom style="thin">
        <color indexed="8"/>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4"/>
      </bottom>
      <diagonal/>
    </border>
    <border>
      <left/>
      <right style="thin">
        <color theme="0"/>
      </right>
      <top style="thin">
        <color theme="0"/>
      </top>
      <bottom style="thin">
        <color theme="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4"/>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diagonal/>
    </border>
    <border>
      <left/>
      <right/>
      <top style="thin">
        <color theme="0"/>
      </top>
      <bottom style="thin">
        <color theme="0"/>
      </bottom>
      <diagonal/>
    </border>
    <border>
      <left style="thin">
        <color theme="0"/>
      </left>
      <right style="thin">
        <color theme="0"/>
      </right>
      <top/>
      <bottom/>
      <diagonal/>
    </border>
    <border>
      <left style="thin">
        <color rgb="FFFFFFFF"/>
      </left>
      <right/>
      <top/>
      <bottom/>
      <diagonal/>
    </border>
    <border>
      <left style="thin">
        <color rgb="FFFFFFFF"/>
      </left>
      <right/>
      <top/>
      <bottom style="thin">
        <color rgb="FFFFFFFF"/>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indexed="8"/>
      </left>
      <right style="thin">
        <color indexed="8"/>
      </right>
      <top style="thin">
        <color indexed="8"/>
      </top>
      <bottom/>
      <diagonal/>
    </border>
    <border>
      <left/>
      <right/>
      <top/>
      <bottom style="thin">
        <color auto="1"/>
      </bottom>
      <diagonal/>
    </border>
    <border>
      <left/>
      <right/>
      <top style="thin">
        <color theme="0"/>
      </top>
      <bottom/>
      <diagonal/>
    </border>
    <border>
      <left style="thin">
        <color theme="0"/>
      </left>
      <right/>
      <top style="thin">
        <color theme="0"/>
      </top>
      <bottom/>
      <diagonal/>
    </border>
  </borders>
  <cellStyleXfs count="4930">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34" fillId="0" borderId="0"/>
    <xf numFmtId="0" fontId="41" fillId="0" borderId="0"/>
    <xf numFmtId="0" fontId="42" fillId="0" borderId="0"/>
    <xf numFmtId="0" fontId="42" fillId="0" borderId="0">
      <alignment vertical="top"/>
    </xf>
    <xf numFmtId="0" fontId="42" fillId="0" borderId="0"/>
    <xf numFmtId="0" fontId="42" fillId="0" borderId="0">
      <alignment vertical="top"/>
    </xf>
    <xf numFmtId="0" fontId="42" fillId="0" borderId="0"/>
    <xf numFmtId="0" fontId="43" fillId="0" borderId="0" applyFont="0" applyFill="0" applyBorder="0" applyAlignment="0" applyProtection="0"/>
    <xf numFmtId="188" fontId="44"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40" fontId="44" fillId="0" borderId="0" applyFont="0" applyFill="0" applyBorder="0" applyAlignment="0" applyProtection="0"/>
    <xf numFmtId="38" fontId="44" fillId="0" borderId="0" applyFont="0" applyFill="0" applyBorder="0" applyAlignment="0" applyProtection="0"/>
    <xf numFmtId="0" fontId="42" fillId="0" borderId="0"/>
    <xf numFmtId="0" fontId="42" fillId="0" borderId="0"/>
    <xf numFmtId="0" fontId="45" fillId="0" borderId="0" applyNumberFormat="0" applyFill="0" applyBorder="0" applyAlignment="0" applyProtection="0">
      <alignment vertical="top"/>
      <protection locked="0"/>
    </xf>
    <xf numFmtId="0" fontId="41"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6" fillId="0" borderId="0"/>
    <xf numFmtId="0" fontId="34" fillId="0" borderId="0">
      <protection locked="0"/>
    </xf>
    <xf numFmtId="0" fontId="34" fillId="0" borderId="0"/>
    <xf numFmtId="0" fontId="34" fillId="0" borderId="0"/>
    <xf numFmtId="0" fontId="34" fillId="0" borderId="0"/>
    <xf numFmtId="0" fontId="34" fillId="0" borderId="0"/>
    <xf numFmtId="0" fontId="46" fillId="0" borderId="0"/>
    <xf numFmtId="0" fontId="34" fillId="0" borderId="0"/>
    <xf numFmtId="0" fontId="34" fillId="0" borderId="0"/>
    <xf numFmtId="0" fontId="42" fillId="0" borderId="0"/>
    <xf numFmtId="0" fontId="42" fillId="0" borderId="0"/>
    <xf numFmtId="49" fontId="47" fillId="0" borderId="0" applyProtection="0">
      <alignment horizontal="left"/>
    </xf>
    <xf numFmtId="49" fontId="47" fillId="0" borderId="0" applyProtection="0">
      <alignment horizontal="left"/>
    </xf>
    <xf numFmtId="49" fontId="47" fillId="0" borderId="0" applyProtection="0">
      <alignment horizontal="left"/>
    </xf>
    <xf numFmtId="0" fontId="34" fillId="0" borderId="0">
      <alignment vertical="center"/>
    </xf>
    <xf numFmtId="0" fontId="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6" fillId="0" borderId="0"/>
    <xf numFmtId="0" fontId="41" fillId="0" borderId="0"/>
    <xf numFmtId="0" fontId="41" fillId="0" borderId="0"/>
    <xf numFmtId="0" fontId="41" fillId="0" borderId="0"/>
    <xf numFmtId="0" fontId="41" fillId="0" borderId="0"/>
    <xf numFmtId="0" fontId="46" fillId="0" borderId="0"/>
    <xf numFmtId="0" fontId="46" fillId="0" borderId="0"/>
    <xf numFmtId="0" fontId="41" fillId="0" borderId="0"/>
    <xf numFmtId="0" fontId="42" fillId="0" borderId="0">
      <protection locked="0"/>
    </xf>
    <xf numFmtId="0" fontId="41" fillId="0" borderId="0"/>
    <xf numFmtId="0" fontId="42" fillId="0" borderId="0">
      <protection locked="0"/>
    </xf>
    <xf numFmtId="0" fontId="42" fillId="0" borderId="0"/>
    <xf numFmtId="0" fontId="41" fillId="0" borderId="0"/>
    <xf numFmtId="0" fontId="48" fillId="0" borderId="0">
      <alignment vertical="top"/>
    </xf>
    <xf numFmtId="0" fontId="46" fillId="0" borderId="0"/>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xf numFmtId="0" fontId="48" fillId="0" borderId="0">
      <alignment vertical="top"/>
    </xf>
    <xf numFmtId="0" fontId="48" fillId="0" borderId="0">
      <alignment vertical="top"/>
    </xf>
    <xf numFmtId="0" fontId="48" fillId="0" borderId="0">
      <alignment vertical="top"/>
      <protection locked="0"/>
    </xf>
    <xf numFmtId="0" fontId="41" fillId="0" borderId="0"/>
    <xf numFmtId="0" fontId="41" fillId="0" borderId="0"/>
    <xf numFmtId="0" fontId="41" fillId="0" borderId="0"/>
    <xf numFmtId="0" fontId="41" fillId="0" borderId="0"/>
    <xf numFmtId="0" fontId="42" fillId="0" borderId="0">
      <protection locked="0"/>
    </xf>
    <xf numFmtId="0" fontId="42" fillId="0" borderId="0">
      <protection locked="0"/>
    </xf>
    <xf numFmtId="0" fontId="42" fillId="0" borderId="0">
      <protection locked="0"/>
    </xf>
    <xf numFmtId="0" fontId="42" fillId="0" borderId="0">
      <protection locked="0"/>
    </xf>
    <xf numFmtId="0" fontId="42" fillId="0" borderId="0"/>
    <xf numFmtId="0" fontId="41" fillId="0" borderId="0"/>
    <xf numFmtId="0" fontId="42" fillId="0" borderId="27" quotePrefix="1">
      <alignment horizontal="justify" vertical="justify" textRotation="127" wrapText="1" justifyLastLine="1"/>
      <protection hidden="1"/>
    </xf>
    <xf numFmtId="0" fontId="42" fillId="0" borderId="27" quotePrefix="1">
      <alignment horizontal="justify" vertical="justify" textRotation="127" wrapText="1" justifyLastLine="1"/>
      <protection hidden="1"/>
    </xf>
    <xf numFmtId="0" fontId="42" fillId="0" borderId="27" quotePrefix="1">
      <alignment horizontal="justify" vertical="justify" textRotation="127" wrapText="1" justifyLastLine="1"/>
      <protection hidden="1"/>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xf numFmtId="0" fontId="42"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3" fillId="0" borderId="0"/>
    <xf numFmtId="0" fontId="23" fillId="0" borderId="0"/>
    <xf numFmtId="0" fontId="23" fillId="0" borderId="0"/>
    <xf numFmtId="0" fontId="2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3" fillId="0" borderId="0"/>
    <xf numFmtId="0" fontId="23" fillId="0" borderId="0"/>
    <xf numFmtId="0" fontId="23" fillId="0" borderId="0"/>
    <xf numFmtId="0" fontId="2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3" fillId="0" borderId="0"/>
    <xf numFmtId="0" fontId="23" fillId="0" borderId="0"/>
    <xf numFmtId="0" fontId="23" fillId="0" borderId="0"/>
    <xf numFmtId="0" fontId="2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xf numFmtId="0" fontId="41" fillId="0" borderId="0"/>
    <xf numFmtId="0" fontId="46" fillId="0" borderId="0"/>
    <xf numFmtId="0" fontId="41" fillId="0" borderId="0"/>
    <xf numFmtId="0" fontId="41" fillId="0" borderId="0"/>
    <xf numFmtId="0" fontId="41" fillId="0" borderId="0"/>
    <xf numFmtId="0" fontId="41" fillId="0" borderId="0"/>
    <xf numFmtId="0" fontId="46" fillId="0" borderId="0"/>
    <xf numFmtId="0" fontId="42" fillId="0" borderId="0" applyNumberFormat="0" applyFill="0" applyBorder="0" applyAlignment="0" applyProtection="0"/>
    <xf numFmtId="0" fontId="42" fillId="0" borderId="0"/>
    <xf numFmtId="0" fontId="42" fillId="0" borderId="0" applyNumberFormat="0" applyFill="0" applyBorder="0" applyAlignment="0" applyProtection="0"/>
    <xf numFmtId="0" fontId="42" fillId="0" borderId="0"/>
    <xf numFmtId="0" fontId="42" fillId="0" borderId="0"/>
    <xf numFmtId="0" fontId="42" fillId="0" borderId="0"/>
    <xf numFmtId="0" fontId="42" fillId="0" borderId="0" applyNumberFormat="0" applyFill="0" applyBorder="0" applyAlignment="0" applyProtection="0"/>
    <xf numFmtId="0" fontId="42" fillId="0" borderId="0"/>
    <xf numFmtId="0" fontId="42" fillId="0" borderId="0"/>
    <xf numFmtId="0" fontId="42" fillId="0" borderId="0"/>
    <xf numFmtId="0" fontId="42" fillId="0" borderId="0"/>
    <xf numFmtId="0" fontId="46" fillId="0" borderId="0"/>
    <xf numFmtId="0" fontId="49"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xf numFmtId="0" fontId="46" fillId="0" borderId="0"/>
    <xf numFmtId="0" fontId="41" fillId="0" borderId="0"/>
    <xf numFmtId="0" fontId="41" fillId="0" borderId="0"/>
    <xf numFmtId="0" fontId="41" fillId="0" borderId="0"/>
    <xf numFmtId="0" fontId="46" fillId="0" borderId="0"/>
    <xf numFmtId="0" fontId="48" fillId="0" borderId="0" applyNumberForma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0" fontId="41" fillId="0" borderId="0"/>
    <xf numFmtId="0" fontId="42" fillId="0" borderId="27" quotePrefix="1">
      <alignment horizontal="justify" vertical="justify" textRotation="127" wrapText="1" justifyLastLine="1"/>
      <protection hidden="1"/>
    </xf>
    <xf numFmtId="0" fontId="42" fillId="0" borderId="27" quotePrefix="1">
      <alignment horizontal="justify" vertical="justify" textRotation="127" wrapText="1" justifyLastLine="1"/>
      <protection hidden="1"/>
    </xf>
    <xf numFmtId="0" fontId="42" fillId="0" borderId="27" quotePrefix="1">
      <alignment horizontal="justify" vertical="justify" textRotation="127" wrapText="1" justifyLastLine="1"/>
      <protection hidden="1"/>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protection locked="0"/>
    </xf>
    <xf numFmtId="0" fontId="42"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xf numFmtId="0" fontId="4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protection locked="0"/>
    </xf>
    <xf numFmtId="0" fontId="42" fillId="0" borderId="0">
      <protection locked="0"/>
    </xf>
    <xf numFmtId="0" fontId="41" fillId="0" borderId="0">
      <protection locked="0"/>
    </xf>
    <xf numFmtId="0" fontId="35" fillId="0" borderId="0">
      <protection locked="0"/>
    </xf>
    <xf numFmtId="0" fontId="35" fillId="0" borderId="0">
      <protection locked="0"/>
    </xf>
    <xf numFmtId="0" fontId="35" fillId="0" borderId="0">
      <protection locked="0"/>
    </xf>
    <xf numFmtId="0" fontId="35" fillId="0" borderId="0">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6" fillId="0" borderId="0">
      <protection locked="0"/>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xf numFmtId="0" fontId="41" fillId="0" borderId="0"/>
    <xf numFmtId="0" fontId="41" fillId="0" borderId="0"/>
    <xf numFmtId="0" fontId="41" fillId="0" borderId="0"/>
    <xf numFmtId="0" fontId="41" fillId="0" borderId="0"/>
    <xf numFmtId="0" fontId="46" fillId="0" borderId="0"/>
    <xf numFmtId="0" fontId="46" fillId="0" borderId="0"/>
    <xf numFmtId="0" fontId="46" fillId="0" borderId="0"/>
    <xf numFmtId="0" fontId="48" fillId="0" borderId="0">
      <alignment vertical="top"/>
    </xf>
    <xf numFmtId="0" fontId="42" fillId="0" borderId="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xf numFmtId="0" fontId="42" fillId="0" borderId="0">
      <protection locked="0"/>
    </xf>
    <xf numFmtId="0" fontId="46" fillId="0" borderId="0"/>
    <xf numFmtId="0" fontId="42" fillId="0" borderId="0"/>
    <xf numFmtId="189" fontId="47" fillId="0" borderId="0" applyFill="0" applyBorder="0" applyProtection="0">
      <alignment horizontal="right"/>
    </xf>
    <xf numFmtId="190" fontId="47" fillId="0" borderId="0" applyFill="0" applyBorder="0" applyProtection="0">
      <alignment horizontal="right"/>
    </xf>
    <xf numFmtId="191" fontId="50" fillId="0" borderId="0" applyFill="0" applyBorder="0" applyProtection="0">
      <alignment horizontal="center"/>
    </xf>
    <xf numFmtId="192" fontId="50" fillId="0" borderId="0" applyFill="0" applyBorder="0" applyProtection="0">
      <alignment horizontal="center"/>
    </xf>
    <xf numFmtId="193" fontId="51" fillId="0" borderId="0" applyFill="0" applyBorder="0" applyProtection="0">
      <alignment horizontal="right"/>
    </xf>
    <xf numFmtId="194" fontId="47" fillId="0" borderId="0" applyFill="0" applyBorder="0" applyProtection="0">
      <alignment horizontal="right"/>
    </xf>
    <xf numFmtId="195" fontId="47" fillId="0" borderId="0" applyFill="0" applyBorder="0" applyProtection="0">
      <alignment horizontal="right"/>
    </xf>
    <xf numFmtId="196" fontId="47" fillId="0" borderId="0" applyFill="0" applyBorder="0" applyProtection="0">
      <alignment horizontal="right"/>
    </xf>
    <xf numFmtId="197" fontId="47" fillId="0" borderId="0" applyFill="0" applyBorder="0" applyProtection="0">
      <alignment horizontal="right"/>
    </xf>
    <xf numFmtId="0" fontId="48" fillId="0" borderId="0">
      <alignment vertical="top"/>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3" fillId="30" borderId="0" applyNumberFormat="0" applyBorder="0" applyAlignment="0" applyProtection="0">
      <alignment vertical="center"/>
    </xf>
    <xf numFmtId="0" fontId="53" fillId="30" borderId="0" applyNumberFormat="0" applyBorder="0" applyAlignment="0" applyProtection="0">
      <alignment vertical="center"/>
    </xf>
    <xf numFmtId="0" fontId="52" fillId="29" borderId="0" applyNumberFormat="0" applyBorder="0" applyAlignment="0" applyProtection="0">
      <alignment vertical="center"/>
    </xf>
    <xf numFmtId="0" fontId="52" fillId="29" borderId="0" applyNumberFormat="0" applyBorder="0" applyAlignment="0" applyProtection="0">
      <alignment vertical="center"/>
    </xf>
    <xf numFmtId="0" fontId="53" fillId="29"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3" fillId="31"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3" fillId="34" borderId="0" applyNumberFormat="0" applyBorder="0" applyAlignment="0" applyProtection="0">
      <alignment vertical="center"/>
    </xf>
    <xf numFmtId="0" fontId="53" fillId="34"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3" fillId="33"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2" fillId="35" borderId="0" applyNumberFormat="0" applyBorder="0" applyAlignment="0" applyProtection="0">
      <alignment vertical="center"/>
    </xf>
    <xf numFmtId="0" fontId="52" fillId="35" borderId="0" applyNumberFormat="0" applyBorder="0" applyAlignment="0" applyProtection="0">
      <alignment vertical="center"/>
    </xf>
    <xf numFmtId="0" fontId="53" fillId="35"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3" fillId="38" borderId="0" applyNumberFormat="0" applyBorder="0" applyAlignment="0" applyProtection="0">
      <alignment vertical="center"/>
    </xf>
    <xf numFmtId="0" fontId="53" fillId="38" borderId="0" applyNumberFormat="0" applyBorder="0" applyAlignment="0" applyProtection="0">
      <alignment vertical="center"/>
    </xf>
    <xf numFmtId="0" fontId="52" fillId="37" borderId="0" applyNumberFormat="0" applyBorder="0" applyAlignment="0" applyProtection="0">
      <alignment vertical="center"/>
    </xf>
    <xf numFmtId="0" fontId="52" fillId="37" borderId="0" applyNumberFormat="0" applyBorder="0" applyAlignment="0" applyProtection="0">
      <alignment vertical="center"/>
    </xf>
    <xf numFmtId="0" fontId="53" fillId="37"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3" fillId="40" borderId="0" applyNumberFormat="0" applyBorder="0" applyAlignment="0" applyProtection="0">
      <alignment vertical="center"/>
    </xf>
    <xf numFmtId="0" fontId="53" fillId="40"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3" fillId="39"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3" fillId="42" borderId="0" applyNumberFormat="0" applyBorder="0" applyAlignment="0" applyProtection="0">
      <alignment vertical="center"/>
    </xf>
    <xf numFmtId="0" fontId="53" fillId="42" borderId="0" applyNumberFormat="0" applyBorder="0" applyAlignment="0" applyProtection="0">
      <alignment vertical="center"/>
    </xf>
    <xf numFmtId="0" fontId="52" fillId="41" borderId="0" applyNumberFormat="0" applyBorder="0" applyAlignment="0" applyProtection="0">
      <alignment vertical="center"/>
    </xf>
    <xf numFmtId="0" fontId="52" fillId="41" borderId="0" applyNumberFormat="0" applyBorder="0" applyAlignment="0" applyProtection="0">
      <alignment vertical="center"/>
    </xf>
    <xf numFmtId="0" fontId="53" fillId="41"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3" fillId="44" borderId="0" applyNumberFormat="0" applyBorder="0" applyAlignment="0" applyProtection="0">
      <alignment vertical="center"/>
    </xf>
    <xf numFmtId="0" fontId="53" fillId="44" borderId="0" applyNumberFormat="0" applyBorder="0" applyAlignment="0" applyProtection="0">
      <alignment vertical="center"/>
    </xf>
    <xf numFmtId="0" fontId="52" fillId="43" borderId="0" applyNumberFormat="0" applyBorder="0" applyAlignment="0" applyProtection="0">
      <alignment vertical="center"/>
    </xf>
    <xf numFmtId="0" fontId="52" fillId="43" borderId="0" applyNumberFormat="0" applyBorder="0" applyAlignment="0" applyProtection="0">
      <alignment vertical="center"/>
    </xf>
    <xf numFmtId="0" fontId="53" fillId="4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3" fillId="34" borderId="0" applyNumberFormat="0" applyBorder="0" applyAlignment="0" applyProtection="0">
      <alignment vertical="center"/>
    </xf>
    <xf numFmtId="0" fontId="53" fillId="34"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3" fillId="33"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3" fillId="40" borderId="0" applyNumberFormat="0" applyBorder="0" applyAlignment="0" applyProtection="0">
      <alignment vertical="center"/>
    </xf>
    <xf numFmtId="0" fontId="53" fillId="40" borderId="0" applyNumberFormat="0" applyBorder="0" applyAlignment="0" applyProtection="0">
      <alignment vertical="center"/>
    </xf>
    <xf numFmtId="0" fontId="52" fillId="39" borderId="0" applyNumberFormat="0" applyBorder="0" applyAlignment="0" applyProtection="0">
      <alignment vertical="center"/>
    </xf>
    <xf numFmtId="0" fontId="52" fillId="39" borderId="0" applyNumberFormat="0" applyBorder="0" applyAlignment="0" applyProtection="0">
      <alignment vertical="center"/>
    </xf>
    <xf numFmtId="0" fontId="53" fillId="39"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3" fillId="46" borderId="0" applyNumberFormat="0" applyBorder="0" applyAlignment="0" applyProtection="0">
      <alignment vertical="center"/>
    </xf>
    <xf numFmtId="0" fontId="53" fillId="46"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3" fillId="45"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55" fillId="48" borderId="0" applyNumberFormat="0" applyBorder="0" applyAlignment="0" applyProtection="0">
      <alignment vertical="center"/>
    </xf>
    <xf numFmtId="0" fontId="55" fillId="48" borderId="0" applyNumberFormat="0" applyBorder="0" applyAlignment="0" applyProtection="0">
      <alignment vertical="center"/>
    </xf>
    <xf numFmtId="0" fontId="54" fillId="47" borderId="0" applyNumberFormat="0" applyBorder="0" applyAlignment="0" applyProtection="0">
      <alignment vertical="center"/>
    </xf>
    <xf numFmtId="0" fontId="55" fillId="47"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4" fillId="41"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4" fillId="41" borderId="0" applyNumberFormat="0" applyBorder="0" applyAlignment="0" applyProtection="0">
      <alignment vertical="center"/>
    </xf>
    <xf numFmtId="0" fontId="55" fillId="41"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4" fillId="43" borderId="0" applyNumberFormat="0" applyBorder="0" applyAlignment="0" applyProtection="0">
      <alignment vertical="center"/>
    </xf>
    <xf numFmtId="0" fontId="55" fillId="44" borderId="0" applyNumberFormat="0" applyBorder="0" applyAlignment="0" applyProtection="0">
      <alignment vertical="center"/>
    </xf>
    <xf numFmtId="0" fontId="55" fillId="44" borderId="0" applyNumberFormat="0" applyBorder="0" applyAlignment="0" applyProtection="0">
      <alignment vertical="center"/>
    </xf>
    <xf numFmtId="0" fontId="54" fillId="43" borderId="0" applyNumberFormat="0" applyBorder="0" applyAlignment="0" applyProtection="0">
      <alignment vertical="center"/>
    </xf>
    <xf numFmtId="0" fontId="55" fillId="43"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5" fillId="50" borderId="0" applyNumberFormat="0" applyBorder="0" applyAlignment="0" applyProtection="0">
      <alignment vertical="center"/>
    </xf>
    <xf numFmtId="0" fontId="55" fillId="50" borderId="0" applyNumberFormat="0" applyBorder="0" applyAlignment="0" applyProtection="0">
      <alignment vertical="center"/>
    </xf>
    <xf numFmtId="0" fontId="54" fillId="49" borderId="0" applyNumberFormat="0" applyBorder="0" applyAlignment="0" applyProtection="0">
      <alignment vertical="center"/>
    </xf>
    <xf numFmtId="0" fontId="55" fillId="49"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5" fillId="52" borderId="0" applyNumberFormat="0" applyBorder="0" applyAlignment="0" applyProtection="0">
      <alignment vertical="center"/>
    </xf>
    <xf numFmtId="0" fontId="55" fillId="52" borderId="0" applyNumberFormat="0" applyBorder="0" applyAlignment="0" applyProtection="0">
      <alignment vertical="center"/>
    </xf>
    <xf numFmtId="0" fontId="54" fillId="51" borderId="0" applyNumberFormat="0" applyBorder="0" applyAlignment="0" applyProtection="0">
      <alignment vertical="center"/>
    </xf>
    <xf numFmtId="0" fontId="55" fillId="51"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4" fillId="53" borderId="0" applyNumberFormat="0" applyBorder="0" applyAlignment="0" applyProtection="0">
      <alignment vertical="center"/>
    </xf>
    <xf numFmtId="0" fontId="55" fillId="54" borderId="0" applyNumberFormat="0" applyBorder="0" applyAlignment="0" applyProtection="0">
      <alignment vertical="center"/>
    </xf>
    <xf numFmtId="0" fontId="55" fillId="54" borderId="0" applyNumberFormat="0" applyBorder="0" applyAlignment="0" applyProtection="0">
      <alignment vertical="center"/>
    </xf>
    <xf numFmtId="0" fontId="54" fillId="53" borderId="0" applyNumberFormat="0" applyBorder="0" applyAlignment="0" applyProtection="0">
      <alignment vertical="center"/>
    </xf>
    <xf numFmtId="0" fontId="55" fillId="53" borderId="0" applyNumberFormat="0" applyBorder="0" applyAlignment="0" applyProtection="0">
      <alignment vertical="center"/>
    </xf>
    <xf numFmtId="193" fontId="56" fillId="0" borderId="0" applyFont="0" applyFill="0" applyBorder="0" applyAlignment="0" applyProtection="0"/>
    <xf numFmtId="43" fontId="34" fillId="0" borderId="0" applyFont="0" applyFill="0" applyBorder="0" applyAlignment="0" applyProtection="0">
      <alignment vertical="center"/>
    </xf>
    <xf numFmtId="198" fontId="52" fillId="0" borderId="0" applyFont="0" applyFill="0" applyBorder="0" applyAlignment="0" applyProtection="0"/>
    <xf numFmtId="198" fontId="52" fillId="0" borderId="0" applyFont="0" applyFill="0" applyBorder="0" applyAlignment="0" applyProtection="0"/>
    <xf numFmtId="43" fontId="34" fillId="0" borderId="0" applyFont="0" applyFill="0" applyBorder="0" applyAlignment="0" applyProtection="0">
      <alignment vertical="center"/>
    </xf>
    <xf numFmtId="198" fontId="42" fillId="0" borderId="0" applyFont="0" applyFill="0" applyBorder="0" applyAlignment="0" applyProtection="0"/>
    <xf numFmtId="199" fontId="47" fillId="0" borderId="0" applyFont="0" applyFill="0" applyBorder="0" applyAlignment="0" applyProtection="0"/>
    <xf numFmtId="0" fontId="42" fillId="0" borderId="0">
      <protection locked="0"/>
    </xf>
    <xf numFmtId="0" fontId="34" fillId="0" borderId="0">
      <protection locked="0"/>
    </xf>
    <xf numFmtId="0" fontId="34" fillId="0" borderId="0">
      <protection locked="0"/>
    </xf>
    <xf numFmtId="0" fontId="42" fillId="0" borderId="0"/>
    <xf numFmtId="0" fontId="52" fillId="0" borderId="0">
      <protection locked="0"/>
    </xf>
    <xf numFmtId="0" fontId="52" fillId="0" borderId="0">
      <protection locked="0"/>
    </xf>
    <xf numFmtId="0" fontId="42" fillId="0" borderId="0">
      <protection locked="0"/>
    </xf>
    <xf numFmtId="9" fontId="57" fillId="0" borderId="0" applyFont="0" applyFill="0" applyBorder="0" applyAlignment="0" applyProtection="0">
      <alignment vertical="center"/>
    </xf>
    <xf numFmtId="9" fontId="52" fillId="0" borderId="0" applyFont="0" applyFill="0" applyBorder="0" applyAlignment="0" applyProtection="0">
      <alignment vertical="center"/>
    </xf>
    <xf numFmtId="9" fontId="42" fillId="0" borderId="0" applyFont="0" applyFill="0" applyBorder="0" applyAlignment="0" applyProtection="0"/>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alignment vertical="center"/>
    </xf>
    <xf numFmtId="9" fontId="34" fillId="0" borderId="0" applyFont="0" applyFill="0" applyBorder="0" applyAlignment="0" applyProtection="0"/>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8" fillId="0" borderId="28"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58"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29" applyNumberFormat="0" applyFill="0" applyAlignment="0" applyProtection="0">
      <alignment vertical="center"/>
    </xf>
    <xf numFmtId="0" fontId="61"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29"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2"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2" fillId="0" borderId="30" applyNumberFormat="0" applyFill="0" applyAlignment="0" applyProtection="0">
      <alignment vertical="center"/>
    </xf>
    <xf numFmtId="0" fontId="63" fillId="0" borderId="30" applyNumberFormat="0" applyFill="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6" fillId="30" borderId="0" applyNumberFormat="0" applyBorder="0" applyAlignment="0" applyProtection="0">
      <alignment vertical="center"/>
    </xf>
    <xf numFmtId="0" fontId="66" fillId="30" borderId="0" applyNumberFormat="0" applyBorder="0" applyAlignment="0" applyProtection="0">
      <alignment vertical="center"/>
    </xf>
    <xf numFmtId="0" fontId="65"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7" fillId="29" borderId="0" applyNumberFormat="0" applyBorder="0" applyAlignment="0" applyProtection="0">
      <alignment vertical="center"/>
    </xf>
    <xf numFmtId="0" fontId="67"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65" fillId="29" borderId="0" applyNumberFormat="0" applyBorder="0" applyAlignment="0" applyProtection="0">
      <alignment vertical="center"/>
    </xf>
    <xf numFmtId="0" fontId="53" fillId="0" borderId="0">
      <alignment vertical="center"/>
    </xf>
    <xf numFmtId="0" fontId="68" fillId="0" borderId="0">
      <alignment vertical="center"/>
    </xf>
    <xf numFmtId="0" fontId="42" fillId="0" borderId="0"/>
    <xf numFmtId="0" fontId="2" fillId="0" borderId="0">
      <alignment vertical="center"/>
    </xf>
    <xf numFmtId="0" fontId="4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alignment vertical="center"/>
    </xf>
    <xf numFmtId="0" fontId="34" fillId="0" borderId="0">
      <alignment vertical="center"/>
    </xf>
    <xf numFmtId="0" fontId="34" fillId="0" borderId="0">
      <alignment vertical="center"/>
    </xf>
    <xf numFmtId="0" fontId="34" fillId="0" borderId="0"/>
    <xf numFmtId="0" fontId="34" fillId="0" borderId="0"/>
    <xf numFmtId="0" fontId="34" fillId="0" borderId="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xf numFmtId="0" fontId="34" fillId="0" borderId="0"/>
    <xf numFmtId="0" fontId="42" fillId="0" borderId="0"/>
    <xf numFmtId="0" fontId="34" fillId="0" borderId="0">
      <protection locked="0"/>
    </xf>
    <xf numFmtId="0" fontId="68" fillId="0" borderId="0">
      <alignment vertical="center"/>
    </xf>
    <xf numFmtId="0" fontId="53" fillId="0" borderId="0">
      <alignment vertical="center"/>
    </xf>
    <xf numFmtId="0" fontId="52" fillId="0" borderId="0">
      <alignment vertical="center"/>
    </xf>
    <xf numFmtId="0" fontId="53" fillId="0" borderId="0">
      <alignment vertical="center"/>
    </xf>
    <xf numFmtId="0" fontId="68" fillId="0" borderId="0">
      <alignment vertical="center"/>
    </xf>
    <xf numFmtId="0" fontId="53" fillId="0" borderId="0">
      <alignment vertical="center"/>
    </xf>
    <xf numFmtId="0" fontId="68" fillId="0" borderId="0">
      <alignment vertical="center"/>
    </xf>
    <xf numFmtId="0" fontId="53" fillId="0" borderId="0">
      <alignment vertical="center"/>
    </xf>
    <xf numFmtId="0" fontId="53" fillId="0" borderId="0">
      <alignment vertical="center"/>
    </xf>
    <xf numFmtId="0" fontId="53" fillId="0" borderId="0">
      <alignment vertical="center"/>
    </xf>
    <xf numFmtId="0" fontId="68" fillId="0" borderId="0">
      <alignment vertical="center"/>
    </xf>
    <xf numFmtId="0" fontId="53" fillId="0" borderId="0">
      <alignment vertical="center"/>
    </xf>
    <xf numFmtId="0" fontId="68" fillId="0" borderId="0">
      <alignment vertical="center"/>
    </xf>
    <xf numFmtId="0" fontId="68" fillId="0" borderId="0">
      <alignment vertical="center"/>
    </xf>
    <xf numFmtId="0" fontId="53" fillId="0" borderId="0">
      <alignment vertical="center"/>
    </xf>
    <xf numFmtId="0" fontId="5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protection locked="0"/>
    </xf>
    <xf numFmtId="0" fontId="34" fillId="0" borderId="0"/>
    <xf numFmtId="0" fontId="34" fillId="0" borderId="0"/>
    <xf numFmtId="0" fontId="34" fillId="0" borderId="0"/>
    <xf numFmtId="0" fontId="34" fillId="0" borderId="0">
      <protection locked="0"/>
    </xf>
    <xf numFmtId="0" fontId="34" fillId="0" borderId="0"/>
    <xf numFmtId="0" fontId="34" fillId="0" borderId="0"/>
    <xf numFmtId="0" fontId="34" fillId="0" borderId="0"/>
    <xf numFmtId="0" fontId="34" fillId="0" borderId="0"/>
    <xf numFmtId="0" fontId="69" fillId="0" borderId="0">
      <alignment vertical="center"/>
    </xf>
    <xf numFmtId="0" fontId="34" fillId="0" borderId="0">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3" fillId="0" borderId="0">
      <alignment vertical="center"/>
    </xf>
    <xf numFmtId="0" fontId="68" fillId="0" borderId="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1" fillId="32" borderId="0" applyNumberFormat="0" applyBorder="0" applyAlignment="0" applyProtection="0">
      <alignment vertical="center"/>
    </xf>
    <xf numFmtId="0" fontId="71" fillId="32" borderId="0" applyNumberFormat="0" applyBorder="0" applyAlignment="0" applyProtection="0">
      <alignment vertical="center"/>
    </xf>
    <xf numFmtId="0" fontId="70"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2" fillId="31" borderId="0" applyNumberFormat="0" applyBorder="0" applyAlignment="0" applyProtection="0">
      <alignment vertical="center"/>
    </xf>
    <xf numFmtId="0" fontId="72"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1"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0" fillId="31" borderId="0" applyNumberFormat="0" applyBorder="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3" fillId="0" borderId="31" applyNumberFormat="0" applyFill="0" applyAlignment="0" applyProtection="0">
      <alignment vertical="center"/>
    </xf>
    <xf numFmtId="0" fontId="74" fillId="0" borderId="31" applyNumberFormat="0" applyFill="0" applyAlignment="0" applyProtection="0">
      <alignment vertical="center"/>
    </xf>
    <xf numFmtId="0" fontId="74" fillId="0" borderId="31" applyNumberFormat="0" applyFill="0" applyAlignment="0" applyProtection="0">
      <alignment vertical="center"/>
    </xf>
    <xf numFmtId="0" fontId="73" fillId="0" borderId="31" applyNumberFormat="0" applyFill="0" applyAlignment="0" applyProtection="0">
      <alignment vertical="center"/>
    </xf>
    <xf numFmtId="0" fontId="74" fillId="0" borderId="31" applyNumberFormat="0" applyFill="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5" fillId="55" borderId="32" applyNumberFormat="0" applyAlignment="0" applyProtection="0">
      <alignment vertical="center"/>
    </xf>
    <xf numFmtId="0" fontId="76" fillId="56" borderId="32" applyNumberFormat="0" applyAlignment="0" applyProtection="0">
      <alignment vertical="center"/>
    </xf>
    <xf numFmtId="0" fontId="76" fillId="56" borderId="32" applyNumberFormat="0" applyAlignment="0" applyProtection="0">
      <alignment vertical="center"/>
    </xf>
    <xf numFmtId="0" fontId="75" fillId="55" borderId="32" applyNumberFormat="0" applyAlignment="0" applyProtection="0">
      <alignment vertical="center"/>
    </xf>
    <xf numFmtId="0" fontId="76" fillId="55" borderId="32"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7" fillId="57" borderId="33" applyNumberFormat="0" applyAlignment="0" applyProtection="0">
      <alignment vertical="center"/>
    </xf>
    <xf numFmtId="0" fontId="78" fillId="58" borderId="33" applyNumberFormat="0" applyAlignment="0" applyProtection="0">
      <alignment vertical="center"/>
    </xf>
    <xf numFmtId="0" fontId="78" fillId="58" borderId="33" applyNumberFormat="0" applyAlignment="0" applyProtection="0">
      <alignment vertical="center"/>
    </xf>
    <xf numFmtId="0" fontId="77" fillId="57" borderId="33" applyNumberFormat="0" applyAlignment="0" applyProtection="0">
      <alignment vertical="center"/>
    </xf>
    <xf numFmtId="0" fontId="78" fillId="57" borderId="33" applyNumberFormat="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3" fillId="0" borderId="34" applyNumberFormat="0" applyFill="0" applyAlignment="0" applyProtection="0">
      <alignment vertical="center"/>
    </xf>
    <xf numFmtId="0" fontId="84" fillId="0" borderId="34" applyNumberFormat="0" applyFill="0" applyAlignment="0" applyProtection="0">
      <alignment vertical="center"/>
    </xf>
    <xf numFmtId="0" fontId="84" fillId="0" borderId="34" applyNumberFormat="0" applyFill="0" applyAlignment="0" applyProtection="0">
      <alignment vertical="center"/>
    </xf>
    <xf numFmtId="0" fontId="83" fillId="0" borderId="34" applyNumberFormat="0" applyFill="0" applyAlignment="0" applyProtection="0">
      <alignment vertical="center"/>
    </xf>
    <xf numFmtId="0" fontId="84" fillId="0" borderId="34" applyNumberFormat="0" applyFill="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42" fillId="0" borderId="0" applyFont="0" applyFill="0" applyBorder="0" applyAlignment="0" applyProtection="0"/>
    <xf numFmtId="43" fontId="2" fillId="0" borderId="0" applyFont="0" applyFill="0" applyBorder="0" applyAlignment="0" applyProtection="0">
      <alignment vertical="center"/>
    </xf>
    <xf numFmtId="43" fontId="34" fillId="0" borderId="0" applyFont="0" applyFill="0" applyBorder="0" applyAlignment="0" applyProtection="0"/>
    <xf numFmtId="43" fontId="34" fillId="0" borderId="0" applyFont="0" applyFill="0" applyBorder="0" applyAlignment="0" applyProtection="0"/>
    <xf numFmtId="43" fontId="52"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198" fontId="48" fillId="0" borderId="0" applyFont="0" applyFill="0" applyBorder="0" applyAlignment="0" applyProtection="0"/>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xf numFmtId="43" fontId="34" fillId="0" borderId="0" applyFont="0" applyFill="0" applyBorder="0" applyAlignment="0" applyProtection="0">
      <alignment vertical="center"/>
    </xf>
    <xf numFmtId="200" fontId="42" fillId="0" borderId="0" applyFont="0" applyFill="0" applyBorder="0" applyAlignment="0" applyProtection="0"/>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xf numFmtId="43" fontId="57" fillId="0" borderId="0" applyFont="0" applyFill="0" applyBorder="0" applyAlignment="0" applyProtection="0">
      <alignment vertical="center"/>
    </xf>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43" fontId="85" fillId="0" borderId="0" applyFont="0" applyFill="0" applyBorder="0" applyAlignment="0" applyProtection="0">
      <alignment vertical="center"/>
    </xf>
    <xf numFmtId="43" fontId="85" fillId="0" borderId="0" applyFont="0" applyFill="0" applyBorder="0" applyAlignment="0" applyProtection="0">
      <alignment vertical="center"/>
    </xf>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alignment vertical="center"/>
    </xf>
    <xf numFmtId="43" fontId="34" fillId="0" borderId="0" applyFont="0" applyFill="0" applyBorder="0" applyAlignment="0" applyProtection="0"/>
    <xf numFmtId="43"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4" fillId="59" borderId="0" applyNumberFormat="0" applyBorder="0" applyAlignment="0" applyProtection="0">
      <alignment vertical="center"/>
    </xf>
    <xf numFmtId="0" fontId="55" fillId="60" borderId="0" applyNumberFormat="0" applyBorder="0" applyAlignment="0" applyProtection="0">
      <alignment vertical="center"/>
    </xf>
    <xf numFmtId="0" fontId="55" fillId="60" borderId="0" applyNumberFormat="0" applyBorder="0" applyAlignment="0" applyProtection="0">
      <alignment vertical="center"/>
    </xf>
    <xf numFmtId="0" fontId="54" fillId="59" borderId="0" applyNumberFormat="0" applyBorder="0" applyAlignment="0" applyProtection="0">
      <alignment vertical="center"/>
    </xf>
    <xf numFmtId="0" fontId="55" fillId="59"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4" fillId="61" borderId="0" applyNumberFormat="0" applyBorder="0" applyAlignment="0" applyProtection="0">
      <alignment vertical="center"/>
    </xf>
    <xf numFmtId="0" fontId="55" fillId="62" borderId="0" applyNumberFormat="0" applyBorder="0" applyAlignment="0" applyProtection="0">
      <alignment vertical="center"/>
    </xf>
    <xf numFmtId="0" fontId="55" fillId="62" borderId="0" applyNumberFormat="0" applyBorder="0" applyAlignment="0" applyProtection="0">
      <alignment vertical="center"/>
    </xf>
    <xf numFmtId="0" fontId="54" fillId="61" borderId="0" applyNumberFormat="0" applyBorder="0" applyAlignment="0" applyProtection="0">
      <alignment vertical="center"/>
    </xf>
    <xf numFmtId="0" fontId="55" fillId="61"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4" fillId="63" borderId="0" applyNumberFormat="0" applyBorder="0" applyAlignment="0" applyProtection="0">
      <alignment vertical="center"/>
    </xf>
    <xf numFmtId="0" fontId="55" fillId="64" borderId="0" applyNumberFormat="0" applyBorder="0" applyAlignment="0" applyProtection="0">
      <alignment vertical="center"/>
    </xf>
    <xf numFmtId="0" fontId="55" fillId="64" borderId="0" applyNumberFormat="0" applyBorder="0" applyAlignment="0" applyProtection="0">
      <alignment vertical="center"/>
    </xf>
    <xf numFmtId="0" fontId="54" fillId="63" borderId="0" applyNumberFormat="0" applyBorder="0" applyAlignment="0" applyProtection="0">
      <alignment vertical="center"/>
    </xf>
    <xf numFmtId="0" fontId="55" fillId="63"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4" fillId="49" borderId="0" applyNumberFormat="0" applyBorder="0" applyAlignment="0" applyProtection="0">
      <alignment vertical="center"/>
    </xf>
    <xf numFmtId="0" fontId="55" fillId="50" borderId="0" applyNumberFormat="0" applyBorder="0" applyAlignment="0" applyProtection="0">
      <alignment vertical="center"/>
    </xf>
    <xf numFmtId="0" fontId="55" fillId="50" borderId="0" applyNumberFormat="0" applyBorder="0" applyAlignment="0" applyProtection="0">
      <alignment vertical="center"/>
    </xf>
    <xf numFmtId="0" fontId="54" fillId="49" borderId="0" applyNumberFormat="0" applyBorder="0" applyAlignment="0" applyProtection="0">
      <alignment vertical="center"/>
    </xf>
    <xf numFmtId="0" fontId="55" fillId="49"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4" fillId="51" borderId="0" applyNumberFormat="0" applyBorder="0" applyAlignment="0" applyProtection="0">
      <alignment vertical="center"/>
    </xf>
    <xf numFmtId="0" fontId="55" fillId="52" borderId="0" applyNumberFormat="0" applyBorder="0" applyAlignment="0" applyProtection="0">
      <alignment vertical="center"/>
    </xf>
    <xf numFmtId="0" fontId="55" fillId="52" borderId="0" applyNumberFormat="0" applyBorder="0" applyAlignment="0" applyProtection="0">
      <alignment vertical="center"/>
    </xf>
    <xf numFmtId="0" fontId="54" fillId="51" borderId="0" applyNumberFormat="0" applyBorder="0" applyAlignment="0" applyProtection="0">
      <alignment vertical="center"/>
    </xf>
    <xf numFmtId="0" fontId="55" fillId="51"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4" fillId="65" borderId="0" applyNumberFormat="0" applyBorder="0" applyAlignment="0" applyProtection="0">
      <alignment vertical="center"/>
    </xf>
    <xf numFmtId="0" fontId="55" fillId="66" borderId="0" applyNumberFormat="0" applyBorder="0" applyAlignment="0" applyProtection="0">
      <alignment vertical="center"/>
    </xf>
    <xf numFmtId="0" fontId="55" fillId="66" borderId="0" applyNumberFormat="0" applyBorder="0" applyAlignment="0" applyProtection="0">
      <alignment vertical="center"/>
    </xf>
    <xf numFmtId="0" fontId="54" fillId="65" borderId="0" applyNumberFormat="0" applyBorder="0" applyAlignment="0" applyProtection="0">
      <alignment vertical="center"/>
    </xf>
    <xf numFmtId="0" fontId="55" fillId="65"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7" fillId="68" borderId="0" applyNumberFormat="0" applyBorder="0" applyAlignment="0" applyProtection="0">
      <alignment vertical="center"/>
    </xf>
    <xf numFmtId="0" fontId="87" fillId="68" borderId="0" applyNumberFormat="0" applyBorder="0" applyAlignment="0" applyProtection="0">
      <alignment vertical="center"/>
    </xf>
    <xf numFmtId="0" fontId="86" fillId="67" borderId="0" applyNumberFormat="0" applyBorder="0" applyAlignment="0" applyProtection="0">
      <alignment vertical="center"/>
    </xf>
    <xf numFmtId="0" fontId="87" fillId="67" borderId="0" applyNumberFormat="0" applyBorder="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8" fillId="55" borderId="35" applyNumberFormat="0" applyAlignment="0" applyProtection="0">
      <alignment vertical="center"/>
    </xf>
    <xf numFmtId="0" fontId="89" fillId="56" borderId="35" applyNumberFormat="0" applyAlignment="0" applyProtection="0">
      <alignment vertical="center"/>
    </xf>
    <xf numFmtId="0" fontId="89" fillId="56" borderId="35" applyNumberFormat="0" applyAlignment="0" applyProtection="0">
      <alignment vertical="center"/>
    </xf>
    <xf numFmtId="0" fontId="88" fillId="55" borderId="35" applyNumberFormat="0" applyAlignment="0" applyProtection="0">
      <alignment vertical="center"/>
    </xf>
    <xf numFmtId="0" fontId="89" fillId="55" borderId="35"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0" fillId="37" borderId="32" applyNumberFormat="0" applyAlignment="0" applyProtection="0">
      <alignment vertical="center"/>
    </xf>
    <xf numFmtId="0" fontId="91" fillId="38" borderId="32" applyNumberFormat="0" applyAlignment="0" applyProtection="0">
      <alignment vertical="center"/>
    </xf>
    <xf numFmtId="0" fontId="91" fillId="38" borderId="32" applyNumberFormat="0" applyAlignment="0" applyProtection="0">
      <alignment vertical="center"/>
    </xf>
    <xf numFmtId="0" fontId="90" fillId="37" borderId="32" applyNumberFormat="0" applyAlignment="0" applyProtection="0">
      <alignment vertical="center"/>
    </xf>
    <xf numFmtId="0" fontId="91" fillId="37" borderId="32" applyNumberFormat="0" applyAlignment="0" applyProtection="0">
      <alignment vertical="center"/>
    </xf>
    <xf numFmtId="0" fontId="42" fillId="0" borderId="0"/>
    <xf numFmtId="0" fontId="46" fillId="0" borderId="0"/>
    <xf numFmtId="0" fontId="48" fillId="0" borderId="0">
      <alignment vertical="top"/>
    </xf>
    <xf numFmtId="0" fontId="48" fillId="0" borderId="0">
      <alignment vertical="top"/>
    </xf>
    <xf numFmtId="0" fontId="46" fillId="0" borderId="0"/>
    <xf numFmtId="0" fontId="48" fillId="0" borderId="0">
      <alignment vertical="top"/>
    </xf>
    <xf numFmtId="0" fontId="46" fillId="0" borderId="0"/>
    <xf numFmtId="0" fontId="42" fillId="0" borderId="0"/>
    <xf numFmtId="0" fontId="46" fillId="0" borderId="0"/>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69" borderId="36" applyNumberFormat="0" applyFont="0" applyAlignment="0" applyProtection="0">
      <alignment vertical="center"/>
    </xf>
    <xf numFmtId="0" fontId="34" fillId="70" borderId="36" applyNumberFormat="0" applyFont="0" applyAlignment="0" applyProtection="0">
      <alignment vertical="center"/>
    </xf>
    <xf numFmtId="0" fontId="34" fillId="69" borderId="36" applyNumberFormat="0" applyFont="0" applyAlignment="0" applyProtection="0">
      <alignment vertical="center"/>
    </xf>
    <xf numFmtId="0" fontId="53" fillId="69" borderId="36" applyNumberFormat="0" applyFont="0" applyAlignment="0" applyProtection="0">
      <alignment vertical="center"/>
    </xf>
    <xf numFmtId="0" fontId="42" fillId="0" borderId="0">
      <alignment vertical="top"/>
    </xf>
    <xf numFmtId="0" fontId="2" fillId="0" borderId="0">
      <alignment vertical="center"/>
    </xf>
    <xf numFmtId="9" fontId="30" fillId="0" borderId="0" applyFont="0" applyFill="0" applyBorder="0" applyAlignment="0" applyProtection="0">
      <alignment vertical="center"/>
    </xf>
  </cellStyleXfs>
  <cellXfs count="1012">
    <xf numFmtId="0" fontId="0" fillId="0" borderId="0" xfId="0">
      <alignment vertical="center"/>
    </xf>
    <xf numFmtId="0" fontId="5" fillId="2" borderId="0" xfId="0" applyNumberFormat="1" applyFont="1" applyFill="1" applyBorder="1" applyAlignment="1">
      <alignment horizontal="center" vertical="center" wrapText="1"/>
    </xf>
    <xf numFmtId="0" fontId="4" fillId="2" borderId="0" xfId="0" applyNumberFormat="1" applyFont="1" applyFill="1" applyBorder="1" applyAlignment="1">
      <alignment vertical="center" wrapText="1"/>
    </xf>
    <xf numFmtId="0" fontId="6" fillId="2" borderId="0" xfId="0" applyNumberFormat="1" applyFont="1" applyFill="1" applyBorder="1">
      <alignment vertical="center"/>
    </xf>
    <xf numFmtId="0" fontId="8" fillId="2" borderId="0" xfId="0" applyNumberFormat="1" applyFont="1" applyFill="1" applyBorder="1" applyAlignment="1">
      <alignment horizontal="center" vertical="center" wrapText="1"/>
    </xf>
    <xf numFmtId="0" fontId="9" fillId="2" borderId="0" xfId="0" applyNumberFormat="1" applyFont="1" applyFill="1" applyBorder="1" applyAlignment="1">
      <alignment horizontal="center" vertical="center" wrapText="1"/>
    </xf>
    <xf numFmtId="0" fontId="10" fillId="2" borderId="0" xfId="0" applyNumberFormat="1" applyFont="1" applyFill="1" applyBorder="1">
      <alignment vertical="center"/>
    </xf>
    <xf numFmtId="177" fontId="7" fillId="2" borderId="0" xfId="0" applyNumberFormat="1" applyFont="1" applyFill="1" applyBorder="1" applyAlignment="1">
      <alignment vertical="center" wrapText="1"/>
    </xf>
    <xf numFmtId="9" fontId="7" fillId="2" borderId="0" xfId="2" applyFont="1" applyFill="1" applyBorder="1" applyAlignment="1">
      <alignment vertical="center" wrapText="1"/>
    </xf>
    <xf numFmtId="178" fontId="7" fillId="2" borderId="0" xfId="0" applyNumberFormat="1" applyFont="1" applyFill="1" applyBorder="1" applyAlignment="1">
      <alignment vertical="center" wrapText="1"/>
    </xf>
    <xf numFmtId="179" fontId="7" fillId="2" borderId="0" xfId="2" applyNumberFormat="1" applyFont="1" applyFill="1" applyBorder="1" applyAlignment="1">
      <alignment vertical="center" wrapText="1"/>
    </xf>
    <xf numFmtId="0" fontId="7" fillId="2" borderId="0" xfId="0" applyNumberFormat="1" applyFont="1" applyFill="1" applyBorder="1" applyAlignment="1">
      <alignment vertical="center" wrapText="1"/>
    </xf>
    <xf numFmtId="177" fontId="7" fillId="2" borderId="0" xfId="1" applyNumberFormat="1" applyFont="1" applyFill="1" applyBorder="1" applyAlignment="1">
      <alignment vertical="center" wrapText="1"/>
    </xf>
    <xf numFmtId="0" fontId="11" fillId="2" borderId="0" xfId="2" applyNumberFormat="1" applyFont="1" applyFill="1" applyBorder="1" applyAlignment="1">
      <alignment vertical="center" wrapText="1"/>
    </xf>
    <xf numFmtId="0" fontId="0" fillId="2" borderId="0" xfId="0" applyNumberFormat="1" applyFill="1" applyBorder="1">
      <alignment vertical="center"/>
    </xf>
    <xf numFmtId="180" fontId="7" fillId="2" borderId="0" xfId="0" applyNumberFormat="1" applyFont="1" applyFill="1" applyBorder="1" applyAlignment="1">
      <alignment vertical="center" wrapText="1"/>
    </xf>
    <xf numFmtId="9" fontId="11" fillId="2" borderId="0" xfId="2" applyFont="1" applyFill="1" applyBorder="1" applyAlignment="1">
      <alignment vertical="center" wrapText="1"/>
    </xf>
    <xf numFmtId="0" fontId="12" fillId="2" borderId="0" xfId="0" applyFont="1" applyFill="1" applyBorder="1">
      <alignment vertical="center"/>
    </xf>
    <xf numFmtId="176" fontId="7" fillId="2" borderId="0" xfId="2" applyNumberFormat="1" applyFont="1" applyFill="1" applyBorder="1" applyAlignment="1">
      <alignment horizontal="center" vertical="center" wrapText="1"/>
    </xf>
    <xf numFmtId="0" fontId="7" fillId="2" borderId="0" xfId="0" applyNumberFormat="1" applyFont="1" applyFill="1" applyBorder="1" applyAlignment="1">
      <alignment horizontal="left" vertical="center" indent="1"/>
    </xf>
    <xf numFmtId="177" fontId="13" fillId="2" borderId="0" xfId="0" applyNumberFormat="1" applyFont="1" applyFill="1" applyBorder="1" applyAlignment="1">
      <alignment vertical="center" wrapText="1"/>
    </xf>
    <xf numFmtId="178" fontId="13" fillId="2" borderId="0" xfId="0" applyNumberFormat="1" applyFont="1" applyFill="1" applyBorder="1" applyAlignment="1">
      <alignment vertical="center" wrapText="1"/>
    </xf>
    <xf numFmtId="0" fontId="7" fillId="7" borderId="0" xfId="0" applyNumberFormat="1" applyFont="1" applyFill="1" applyBorder="1" applyAlignment="1">
      <alignment horizontal="left" vertical="center" indent="1"/>
    </xf>
    <xf numFmtId="177" fontId="7" fillId="7" borderId="0" xfId="0" applyNumberFormat="1" applyFont="1" applyFill="1" applyBorder="1" applyAlignment="1">
      <alignment vertical="center" wrapText="1"/>
    </xf>
    <xf numFmtId="9" fontId="7" fillId="7" borderId="0" xfId="2" applyFont="1" applyFill="1" applyBorder="1" applyAlignment="1">
      <alignment vertical="center" wrapText="1"/>
    </xf>
    <xf numFmtId="178" fontId="7" fillId="7" borderId="0" xfId="0" applyNumberFormat="1" applyFont="1" applyFill="1" applyBorder="1" applyAlignment="1">
      <alignment vertical="center" wrapText="1"/>
    </xf>
    <xf numFmtId="179" fontId="7" fillId="7" borderId="0" xfId="2" applyNumberFormat="1" applyFont="1" applyFill="1" applyBorder="1" applyAlignment="1">
      <alignment vertical="center" wrapText="1"/>
    </xf>
    <xf numFmtId="180" fontId="7" fillId="7" borderId="0" xfId="0" applyNumberFormat="1" applyFont="1" applyFill="1" applyBorder="1" applyAlignment="1">
      <alignment vertical="center" wrapText="1"/>
    </xf>
    <xf numFmtId="177" fontId="7" fillId="7" borderId="0" xfId="1" applyNumberFormat="1" applyFont="1" applyFill="1" applyBorder="1" applyAlignment="1">
      <alignment vertical="center" wrapText="1"/>
    </xf>
    <xf numFmtId="9" fontId="11" fillId="7" borderId="0" xfId="2" applyFont="1" applyFill="1" applyBorder="1" applyAlignment="1">
      <alignment vertical="center" wrapText="1"/>
    </xf>
    <xf numFmtId="179" fontId="7" fillId="8" borderId="0" xfId="2" applyNumberFormat="1" applyFont="1" applyFill="1" applyBorder="1" applyAlignment="1">
      <alignment vertical="center" wrapText="1"/>
    </xf>
    <xf numFmtId="178" fontId="7" fillId="8" borderId="0" xfId="0" applyNumberFormat="1" applyFont="1" applyFill="1" applyBorder="1" applyAlignment="1">
      <alignment vertical="center" wrapText="1"/>
    </xf>
    <xf numFmtId="0" fontId="7" fillId="9" borderId="0" xfId="0" applyNumberFormat="1" applyFont="1" applyFill="1" applyBorder="1" applyAlignment="1">
      <alignment horizontal="left" vertical="center" indent="1"/>
    </xf>
    <xf numFmtId="177" fontId="13" fillId="9" borderId="0" xfId="0" applyNumberFormat="1" applyFont="1" applyFill="1" applyBorder="1" applyAlignment="1">
      <alignment vertical="center" wrapText="1"/>
    </xf>
    <xf numFmtId="9" fontId="7" fillId="9" borderId="0" xfId="2" applyFont="1" applyFill="1" applyBorder="1" applyAlignment="1">
      <alignment vertical="center" wrapText="1"/>
    </xf>
    <xf numFmtId="179" fontId="7" fillId="9" borderId="0" xfId="2" applyNumberFormat="1" applyFont="1" applyFill="1" applyBorder="1" applyAlignment="1">
      <alignment vertical="center" wrapText="1"/>
    </xf>
    <xf numFmtId="180" fontId="7" fillId="9" borderId="0" xfId="0" applyNumberFormat="1" applyFont="1" applyFill="1" applyBorder="1" applyAlignment="1">
      <alignment vertical="center" wrapText="1"/>
    </xf>
    <xf numFmtId="177" fontId="7" fillId="9" borderId="0" xfId="1" applyNumberFormat="1" applyFont="1" applyFill="1" applyBorder="1" applyAlignment="1">
      <alignment vertical="center" wrapText="1"/>
    </xf>
    <xf numFmtId="9" fontId="11" fillId="9" borderId="0" xfId="2" applyFont="1" applyFill="1" applyBorder="1" applyAlignment="1">
      <alignment vertical="center" wrapText="1"/>
    </xf>
    <xf numFmtId="178" fontId="7" fillId="9" borderId="0" xfId="0" applyNumberFormat="1" applyFont="1" applyFill="1" applyBorder="1" applyAlignment="1">
      <alignment vertical="center" wrapText="1"/>
    </xf>
    <xf numFmtId="0" fontId="7" fillId="10" borderId="0" xfId="0" applyNumberFormat="1" applyFont="1" applyFill="1" applyBorder="1" applyAlignment="1">
      <alignment horizontal="left" vertical="center" indent="1"/>
    </xf>
    <xf numFmtId="177" fontId="7" fillId="10" borderId="0" xfId="0" applyNumberFormat="1" applyFont="1" applyFill="1" applyBorder="1" applyAlignment="1">
      <alignment vertical="center" wrapText="1"/>
    </xf>
    <xf numFmtId="9" fontId="7" fillId="10" borderId="0" xfId="2" applyFont="1" applyFill="1" applyBorder="1" applyAlignment="1">
      <alignment vertical="center" wrapText="1"/>
    </xf>
    <xf numFmtId="178" fontId="7" fillId="10" borderId="0" xfId="0" applyNumberFormat="1" applyFont="1" applyFill="1" applyBorder="1" applyAlignment="1">
      <alignment vertical="center" wrapText="1"/>
    </xf>
    <xf numFmtId="179" fontId="7" fillId="10" borderId="0" xfId="2" applyNumberFormat="1" applyFont="1" applyFill="1" applyBorder="1" applyAlignment="1">
      <alignment vertical="center" wrapText="1"/>
    </xf>
    <xf numFmtId="180" fontId="7" fillId="10" borderId="0" xfId="0" applyNumberFormat="1" applyFont="1" applyFill="1" applyBorder="1" applyAlignment="1">
      <alignment vertical="center" wrapText="1"/>
    </xf>
    <xf numFmtId="177" fontId="7" fillId="10" borderId="0" xfId="1" applyNumberFormat="1" applyFont="1" applyFill="1" applyBorder="1" applyAlignment="1">
      <alignment vertical="center" wrapText="1"/>
    </xf>
    <xf numFmtId="9" fontId="11" fillId="10" borderId="0" xfId="2" applyFont="1" applyFill="1" applyBorder="1" applyAlignment="1">
      <alignment vertical="center" wrapText="1"/>
    </xf>
    <xf numFmtId="179" fontId="13" fillId="2" borderId="0" xfId="2" applyNumberFormat="1" applyFont="1" applyFill="1" applyBorder="1" applyAlignment="1">
      <alignment vertical="center" wrapText="1"/>
    </xf>
    <xf numFmtId="0" fontId="7" fillId="11" borderId="4" xfId="0" applyNumberFormat="1" applyFont="1" applyFill="1" applyBorder="1">
      <alignment vertical="center"/>
    </xf>
    <xf numFmtId="177" fontId="7" fillId="11" borderId="4" xfId="0" applyNumberFormat="1" applyFont="1" applyFill="1" applyBorder="1" applyAlignment="1">
      <alignment vertical="center" wrapText="1"/>
    </xf>
    <xf numFmtId="9" fontId="7" fillId="11" borderId="4" xfId="2" applyFont="1" applyFill="1" applyBorder="1" applyAlignment="1">
      <alignment vertical="center" wrapText="1"/>
    </xf>
    <xf numFmtId="178" fontId="7" fillId="11" borderId="4" xfId="0" applyNumberFormat="1" applyFont="1" applyFill="1" applyBorder="1" applyAlignment="1">
      <alignment vertical="center" wrapText="1"/>
    </xf>
    <xf numFmtId="179" fontId="7" fillId="11" borderId="4" xfId="2" applyNumberFormat="1" applyFont="1" applyFill="1" applyBorder="1" applyAlignment="1">
      <alignment vertical="center" wrapText="1"/>
    </xf>
    <xf numFmtId="181" fontId="7" fillId="2" borderId="0" xfId="0" applyNumberFormat="1" applyFont="1" applyFill="1" applyBorder="1" applyAlignment="1">
      <alignment vertical="center" wrapText="1"/>
    </xf>
    <xf numFmtId="177" fontId="7" fillId="11" borderId="4" xfId="1" applyNumberFormat="1" applyFont="1" applyFill="1" applyBorder="1" applyAlignment="1">
      <alignment vertical="center" wrapText="1"/>
    </xf>
    <xf numFmtId="0" fontId="7" fillId="2" borderId="0" xfId="0" applyNumberFormat="1" applyFont="1" applyFill="1" applyBorder="1">
      <alignment vertical="center"/>
    </xf>
    <xf numFmtId="0" fontId="0" fillId="2" borderId="0" xfId="0" applyFill="1" applyBorder="1">
      <alignment vertical="center"/>
    </xf>
    <xf numFmtId="176" fontId="7" fillId="2" borderId="0" xfId="0" applyNumberFormat="1" applyFont="1" applyFill="1" applyBorder="1" applyAlignment="1">
      <alignment horizontal="center" vertical="center" wrapText="1"/>
    </xf>
    <xf numFmtId="0" fontId="0" fillId="2" borderId="0" xfId="0" applyFill="1">
      <alignment vertical="center"/>
    </xf>
    <xf numFmtId="0" fontId="7" fillId="2" borderId="0" xfId="0" applyFont="1" applyFill="1">
      <alignment vertical="center"/>
    </xf>
    <xf numFmtId="0" fontId="5" fillId="2" borderId="0" xfId="0" applyFont="1" applyFill="1">
      <alignment vertical="center"/>
    </xf>
    <xf numFmtId="0" fontId="7" fillId="2" borderId="0" xfId="0" applyFont="1" applyFill="1" applyAlignment="1">
      <alignment horizontal="center" vertical="center" wrapText="1"/>
    </xf>
    <xf numFmtId="0" fontId="7" fillId="2" borderId="0" xfId="0" applyFont="1" applyFill="1" applyAlignment="1">
      <alignment vertical="center" wrapText="1"/>
    </xf>
    <xf numFmtId="0" fontId="14" fillId="2" borderId="0" xfId="0" applyFont="1" applyFill="1" applyAlignment="1">
      <alignment vertical="center" wrapText="1"/>
    </xf>
    <xf numFmtId="0" fontId="15" fillId="2" borderId="0" xfId="0" applyFont="1" applyFill="1">
      <alignment vertical="center"/>
    </xf>
    <xf numFmtId="0" fontId="7" fillId="2" borderId="6" xfId="0" applyFont="1" applyFill="1" applyBorder="1" applyAlignment="1">
      <alignment vertical="center" wrapText="1"/>
    </xf>
    <xf numFmtId="0" fontId="7" fillId="2" borderId="6" xfId="0" applyFont="1" applyFill="1" applyBorder="1" applyAlignment="1">
      <alignment horizontal="left" vertical="center"/>
    </xf>
    <xf numFmtId="0" fontId="7" fillId="2" borderId="0" xfId="0" applyFont="1" applyFill="1" applyAlignment="1">
      <alignment vertical="center"/>
    </xf>
    <xf numFmtId="0" fontId="7" fillId="2" borderId="6" xfId="0" applyFont="1" applyFill="1" applyBorder="1" applyAlignment="1">
      <alignment vertical="center"/>
    </xf>
    <xf numFmtId="9" fontId="7" fillId="2" borderId="6" xfId="2" applyFont="1" applyFill="1" applyBorder="1" applyAlignment="1">
      <alignment vertical="center"/>
    </xf>
    <xf numFmtId="0" fontId="11" fillId="2" borderId="6" xfId="0" applyFont="1" applyFill="1" applyBorder="1" applyAlignment="1">
      <alignment vertical="center" wrapText="1"/>
    </xf>
    <xf numFmtId="0" fontId="7" fillId="2" borderId="6" xfId="2" applyNumberFormat="1" applyFont="1" applyFill="1" applyBorder="1" applyAlignment="1">
      <alignment vertical="center"/>
    </xf>
    <xf numFmtId="0" fontId="15" fillId="2" borderId="6" xfId="0" applyFont="1" applyFill="1" applyBorder="1" applyAlignment="1">
      <alignment vertical="center"/>
    </xf>
    <xf numFmtId="0" fontId="15" fillId="2" borderId="0" xfId="0" applyFont="1" applyFill="1" applyAlignment="1">
      <alignment vertical="center"/>
    </xf>
    <xf numFmtId="182" fontId="7" fillId="2" borderId="6" xfId="0" applyNumberFormat="1" applyFont="1" applyFill="1" applyBorder="1" applyAlignment="1">
      <alignment vertical="center" wrapText="1"/>
    </xf>
    <xf numFmtId="182" fontId="7" fillId="2" borderId="6" xfId="0" applyNumberFormat="1" applyFont="1" applyFill="1" applyBorder="1" applyAlignment="1">
      <alignment vertical="center"/>
    </xf>
    <xf numFmtId="9" fontId="7" fillId="2" borderId="6" xfId="2" applyNumberFormat="1" applyFont="1" applyFill="1" applyBorder="1" applyAlignment="1">
      <alignment vertical="center"/>
    </xf>
    <xf numFmtId="182" fontId="7" fillId="2" borderId="6" xfId="2" applyNumberFormat="1" applyFont="1" applyFill="1" applyBorder="1" applyAlignment="1">
      <alignment vertical="center"/>
    </xf>
    <xf numFmtId="182" fontId="7" fillId="2" borderId="0" xfId="0" applyNumberFormat="1" applyFont="1" applyFill="1" applyAlignment="1">
      <alignment vertical="center" wrapText="1"/>
    </xf>
    <xf numFmtId="182" fontId="7" fillId="2" borderId="0" xfId="0" applyNumberFormat="1" applyFont="1" applyFill="1" applyAlignment="1">
      <alignment vertical="center"/>
    </xf>
    <xf numFmtId="0" fontId="15" fillId="2" borderId="0" xfId="0" applyFont="1" applyFill="1" applyAlignment="1">
      <alignment vertical="center" wrapText="1"/>
    </xf>
    <xf numFmtId="0" fontId="7" fillId="2" borderId="0" xfId="0" applyNumberFormat="1" applyFont="1" applyFill="1" applyBorder="1" applyAlignment="1">
      <alignment horizontal="left" vertical="center" indent="2"/>
    </xf>
    <xf numFmtId="180" fontId="7" fillId="8" borderId="0" xfId="0" applyNumberFormat="1" applyFont="1" applyFill="1" applyBorder="1" applyAlignment="1">
      <alignment vertical="center" wrapText="1"/>
    </xf>
    <xf numFmtId="9" fontId="11" fillId="8" borderId="0" xfId="2" applyFont="1" applyFill="1" applyBorder="1" applyAlignment="1">
      <alignment vertical="center" wrapText="1"/>
    </xf>
    <xf numFmtId="0" fontId="7" fillId="8" borderId="2" xfId="0" applyNumberFormat="1" applyFont="1" applyFill="1" applyBorder="1">
      <alignment vertical="center"/>
    </xf>
    <xf numFmtId="177" fontId="7" fillId="8" borderId="4" xfId="0" applyNumberFormat="1" applyFont="1" applyFill="1" applyBorder="1" applyAlignment="1">
      <alignment vertical="center" wrapText="1"/>
    </xf>
    <xf numFmtId="9" fontId="7" fillId="8" borderId="4" xfId="2" applyFont="1" applyFill="1" applyBorder="1" applyAlignment="1">
      <alignment vertical="center" wrapText="1"/>
    </xf>
    <xf numFmtId="178" fontId="7" fillId="8" borderId="4" xfId="0" applyNumberFormat="1" applyFont="1" applyFill="1" applyBorder="1" applyAlignment="1">
      <alignment vertical="center" wrapText="1"/>
    </xf>
    <xf numFmtId="179" fontId="7" fillId="8" borderId="4" xfId="2" applyNumberFormat="1" applyFont="1" applyFill="1" applyBorder="1" applyAlignment="1">
      <alignment vertical="center" wrapText="1"/>
    </xf>
    <xf numFmtId="177" fontId="7" fillId="8" borderId="4" xfId="1" applyNumberFormat="1" applyFont="1" applyFill="1" applyBorder="1" applyAlignment="1">
      <alignment vertical="center" wrapText="1"/>
    </xf>
    <xf numFmtId="0" fontId="7" fillId="8" borderId="4" xfId="0" applyNumberFormat="1" applyFont="1" applyFill="1" applyBorder="1">
      <alignment vertical="center"/>
    </xf>
    <xf numFmtId="0" fontId="7" fillId="5" borderId="0" xfId="0" applyNumberFormat="1" applyFont="1" applyFill="1" applyBorder="1" applyAlignment="1">
      <alignment horizontal="left" vertical="center" indent="3"/>
    </xf>
    <xf numFmtId="177" fontId="13" fillId="5" borderId="0" xfId="0" applyNumberFormat="1" applyFont="1" applyFill="1" applyBorder="1" applyAlignment="1">
      <alignment vertical="center" wrapText="1"/>
    </xf>
    <xf numFmtId="9" fontId="7" fillId="5" borderId="0" xfId="2" applyFont="1" applyFill="1" applyBorder="1" applyAlignment="1">
      <alignment vertical="center" wrapText="1"/>
    </xf>
    <xf numFmtId="178" fontId="13" fillId="5" borderId="0" xfId="0" applyNumberFormat="1" applyFont="1" applyFill="1" applyBorder="1" applyAlignment="1">
      <alignment vertical="center" wrapText="1"/>
    </xf>
    <xf numFmtId="179" fontId="13" fillId="5" borderId="0" xfId="2" applyNumberFormat="1" applyFont="1" applyFill="1" applyBorder="1" applyAlignment="1">
      <alignment vertical="center" wrapText="1"/>
    </xf>
    <xf numFmtId="179" fontId="7" fillId="5" borderId="0" xfId="2" applyNumberFormat="1" applyFont="1" applyFill="1" applyBorder="1" applyAlignment="1">
      <alignment vertical="center" wrapText="1"/>
    </xf>
    <xf numFmtId="180" fontId="7" fillId="5" borderId="0" xfId="0" applyNumberFormat="1" applyFont="1" applyFill="1" applyBorder="1" applyAlignment="1">
      <alignment vertical="center" wrapText="1"/>
    </xf>
    <xf numFmtId="177" fontId="7" fillId="5" borderId="0" xfId="1" applyNumberFormat="1" applyFont="1" applyFill="1" applyBorder="1" applyAlignment="1">
      <alignment vertical="center" wrapText="1"/>
    </xf>
    <xf numFmtId="9" fontId="11" fillId="5" borderId="0" xfId="2" applyFont="1" applyFill="1" applyBorder="1" applyAlignment="1">
      <alignment vertical="center" wrapText="1"/>
    </xf>
    <xf numFmtId="178" fontId="7" fillId="5" borderId="0" xfId="0" applyNumberFormat="1" applyFont="1" applyFill="1" applyBorder="1" applyAlignment="1">
      <alignment vertical="center" wrapText="1"/>
    </xf>
    <xf numFmtId="0" fontId="7" fillId="6" borderId="0" xfId="0" applyNumberFormat="1" applyFont="1" applyFill="1" applyBorder="1" applyAlignment="1">
      <alignment horizontal="left" vertical="center" indent="3"/>
    </xf>
    <xf numFmtId="177" fontId="13" fillId="6" borderId="0" xfId="0" applyNumberFormat="1" applyFont="1" applyFill="1" applyBorder="1" applyAlignment="1">
      <alignment vertical="center" wrapText="1"/>
    </xf>
    <xf numFmtId="9" fontId="7" fillId="6" borderId="0" xfId="2" applyFont="1" applyFill="1" applyBorder="1" applyAlignment="1">
      <alignment vertical="center" wrapText="1"/>
    </xf>
    <xf numFmtId="178" fontId="13" fillId="6" borderId="0" xfId="0" applyNumberFormat="1" applyFont="1" applyFill="1" applyBorder="1" applyAlignment="1">
      <alignment vertical="center" wrapText="1"/>
    </xf>
    <xf numFmtId="179" fontId="13" fillId="6" borderId="0" xfId="2" applyNumberFormat="1" applyFont="1" applyFill="1" applyBorder="1" applyAlignment="1">
      <alignment vertical="center" wrapText="1"/>
    </xf>
    <xf numFmtId="179" fontId="7" fillId="6" borderId="0" xfId="2" applyNumberFormat="1" applyFont="1" applyFill="1" applyBorder="1" applyAlignment="1">
      <alignment vertical="center" wrapText="1"/>
    </xf>
    <xf numFmtId="180" fontId="7" fillId="6" borderId="0" xfId="0" applyNumberFormat="1" applyFont="1" applyFill="1" applyBorder="1" applyAlignment="1">
      <alignment vertical="center" wrapText="1"/>
    </xf>
    <xf numFmtId="177" fontId="7" fillId="6" borderId="0" xfId="1" applyNumberFormat="1" applyFont="1" applyFill="1" applyBorder="1" applyAlignment="1">
      <alignment vertical="center" wrapText="1"/>
    </xf>
    <xf numFmtId="9" fontId="11" fillId="6" borderId="0" xfId="2" applyFont="1" applyFill="1" applyBorder="1" applyAlignment="1">
      <alignment vertical="center" wrapText="1"/>
    </xf>
    <xf numFmtId="178" fontId="7" fillId="6" borderId="0" xfId="0" applyNumberFormat="1" applyFont="1" applyFill="1" applyBorder="1" applyAlignment="1">
      <alignment vertical="center" wrapText="1"/>
    </xf>
    <xf numFmtId="10" fontId="7" fillId="11" borderId="4" xfId="2" applyNumberFormat="1" applyFont="1" applyFill="1" applyBorder="1" applyAlignment="1">
      <alignment vertical="center" wrapText="1"/>
    </xf>
    <xf numFmtId="0" fontId="0" fillId="0" borderId="0" xfId="0">
      <alignment vertical="center"/>
    </xf>
    <xf numFmtId="0" fontId="7" fillId="0" borderId="0" xfId="0" applyFont="1">
      <alignment vertical="center"/>
    </xf>
    <xf numFmtId="176" fontId="12" fillId="2" borderId="0" xfId="0" applyNumberFormat="1" applyFont="1" applyFill="1" applyBorder="1">
      <alignment vertical="center"/>
    </xf>
    <xf numFmtId="176" fontId="7" fillId="2" borderId="0" xfId="0" applyNumberFormat="1" applyFont="1" applyFill="1" applyBorder="1" applyAlignment="1">
      <alignment horizontal="center" vertical="center" wrapText="1"/>
    </xf>
    <xf numFmtId="181" fontId="13" fillId="2" borderId="0" xfId="0" applyNumberFormat="1" applyFont="1" applyFill="1" applyBorder="1" applyAlignment="1">
      <alignment vertical="center" wrapText="1"/>
    </xf>
    <xf numFmtId="178" fontId="13" fillId="15" borderId="0" xfId="0" applyNumberFormat="1" applyFont="1" applyFill="1" applyBorder="1" applyAlignment="1">
      <alignment vertical="center" wrapText="1"/>
    </xf>
    <xf numFmtId="0" fontId="4" fillId="4" borderId="0" xfId="0" applyNumberFormat="1" applyFont="1" applyFill="1" applyBorder="1" applyAlignment="1">
      <alignment horizontal="center" vertical="center" wrapText="1"/>
    </xf>
    <xf numFmtId="0" fontId="17" fillId="16" borderId="0" xfId="1" applyNumberFormat="1" applyFont="1" applyFill="1" applyAlignment="1">
      <alignment horizontal="center" vertical="center"/>
    </xf>
    <xf numFmtId="0" fontId="17" fillId="16" borderId="0" xfId="0" applyFont="1" applyFill="1">
      <alignment vertical="center"/>
    </xf>
    <xf numFmtId="0" fontId="17" fillId="17" borderId="0" xfId="0" applyFont="1" applyFill="1">
      <alignment vertical="center"/>
    </xf>
    <xf numFmtId="43" fontId="18" fillId="17" borderId="0" xfId="1" applyFont="1" applyFill="1">
      <alignment vertical="center"/>
    </xf>
    <xf numFmtId="0" fontId="19" fillId="0" borderId="0" xfId="0" applyFont="1">
      <alignment vertical="center"/>
    </xf>
    <xf numFmtId="43" fontId="18" fillId="0" borderId="0" xfId="1" applyFont="1">
      <alignment vertical="center"/>
    </xf>
    <xf numFmtId="43" fontId="18" fillId="0" borderId="0" xfId="0" applyNumberFormat="1" applyFont="1">
      <alignment vertical="center"/>
    </xf>
    <xf numFmtId="9" fontId="7" fillId="12" borderId="0" xfId="2" applyFont="1" applyFill="1" applyBorder="1" applyAlignment="1">
      <alignment vertical="center" wrapText="1"/>
    </xf>
    <xf numFmtId="178" fontId="7" fillId="12" borderId="0" xfId="0" applyNumberFormat="1" applyFont="1" applyFill="1" applyBorder="1" applyAlignment="1">
      <alignment vertical="center" wrapText="1"/>
    </xf>
    <xf numFmtId="180" fontId="7" fillId="12" borderId="0" xfId="0" applyNumberFormat="1" applyFont="1" applyFill="1" applyBorder="1" applyAlignment="1">
      <alignment vertical="center" wrapText="1"/>
    </xf>
    <xf numFmtId="177" fontId="7" fillId="12" borderId="0" xfId="1" applyNumberFormat="1" applyFont="1" applyFill="1" applyBorder="1" applyAlignment="1">
      <alignment vertical="center" wrapText="1"/>
    </xf>
    <xf numFmtId="9" fontId="11" fillId="12" borderId="0" xfId="2" applyFont="1" applyFill="1" applyBorder="1" applyAlignment="1">
      <alignment vertical="center" wrapText="1"/>
    </xf>
    <xf numFmtId="9" fontId="7" fillId="18" borderId="0" xfId="2" applyFont="1" applyFill="1" applyBorder="1" applyAlignment="1">
      <alignment vertical="center" wrapText="1"/>
    </xf>
    <xf numFmtId="178" fontId="7" fillId="18" borderId="0" xfId="0" applyNumberFormat="1" applyFont="1" applyFill="1" applyBorder="1" applyAlignment="1">
      <alignment vertical="center" wrapText="1"/>
    </xf>
    <xf numFmtId="180" fontId="7" fillId="18" borderId="0" xfId="0" applyNumberFormat="1" applyFont="1" applyFill="1" applyBorder="1" applyAlignment="1">
      <alignment vertical="center" wrapText="1"/>
    </xf>
    <xf numFmtId="177" fontId="7" fillId="18" borderId="0" xfId="1" applyNumberFormat="1" applyFont="1" applyFill="1" applyBorder="1" applyAlignment="1">
      <alignment vertical="center" wrapText="1"/>
    </xf>
    <xf numFmtId="9" fontId="11" fillId="18" borderId="0" xfId="2" applyFont="1" applyFill="1" applyBorder="1" applyAlignment="1">
      <alignment vertical="center" wrapText="1"/>
    </xf>
    <xf numFmtId="0" fontId="7" fillId="19" borderId="0" xfId="0" applyNumberFormat="1" applyFont="1" applyFill="1" applyBorder="1" applyAlignment="1">
      <alignment horizontal="left" vertical="center" indent="1"/>
    </xf>
    <xf numFmtId="9" fontId="7" fillId="19" borderId="0" xfId="2" applyFont="1" applyFill="1" applyBorder="1" applyAlignment="1">
      <alignment vertical="center" wrapText="1"/>
    </xf>
    <xf numFmtId="178" fontId="7" fillId="19" borderId="0" xfId="0" applyNumberFormat="1" applyFont="1" applyFill="1" applyBorder="1" applyAlignment="1">
      <alignment vertical="center" wrapText="1"/>
    </xf>
    <xf numFmtId="180" fontId="7" fillId="19" borderId="0" xfId="0" applyNumberFormat="1" applyFont="1" applyFill="1" applyBorder="1" applyAlignment="1">
      <alignment vertical="center" wrapText="1"/>
    </xf>
    <xf numFmtId="177" fontId="7" fillId="19" borderId="0" xfId="1" applyNumberFormat="1" applyFont="1" applyFill="1" applyBorder="1" applyAlignment="1">
      <alignment vertical="center" wrapText="1"/>
    </xf>
    <xf numFmtId="9" fontId="11" fillId="19" borderId="0" xfId="2" applyFont="1" applyFill="1" applyBorder="1" applyAlignment="1">
      <alignment vertical="center" wrapText="1"/>
    </xf>
    <xf numFmtId="9" fontId="7" fillId="0" borderId="0" xfId="2" applyFont="1" applyFill="1" applyBorder="1" applyAlignment="1">
      <alignment vertical="center" wrapText="1"/>
    </xf>
    <xf numFmtId="178" fontId="7" fillId="0" borderId="0" xfId="0" applyNumberFormat="1" applyFont="1" applyFill="1" applyBorder="1" applyAlignment="1">
      <alignment vertical="center" wrapText="1"/>
    </xf>
    <xf numFmtId="180" fontId="7" fillId="0" borderId="0" xfId="0" applyNumberFormat="1" applyFont="1" applyFill="1" applyBorder="1" applyAlignment="1">
      <alignment vertical="center" wrapText="1"/>
    </xf>
    <xf numFmtId="177" fontId="7" fillId="0" borderId="0" xfId="1" applyNumberFormat="1" applyFont="1" applyFill="1" applyBorder="1" applyAlignment="1">
      <alignment vertical="center" wrapText="1"/>
    </xf>
    <xf numFmtId="9" fontId="11" fillId="0" borderId="0" xfId="2" applyFont="1" applyFill="1" applyBorder="1" applyAlignment="1">
      <alignment vertical="center" wrapText="1"/>
    </xf>
    <xf numFmtId="0" fontId="12" fillId="0" borderId="0" xfId="0" applyFont="1" applyFill="1" applyBorder="1">
      <alignment vertical="center"/>
    </xf>
    <xf numFmtId="0" fontId="5" fillId="0" borderId="0" xfId="0" applyFont="1" applyFill="1">
      <alignment vertical="center"/>
    </xf>
    <xf numFmtId="178" fontId="20" fillId="19" borderId="0" xfId="0" applyNumberFormat="1" applyFont="1" applyFill="1" applyBorder="1" applyAlignment="1">
      <alignment vertical="center" wrapText="1"/>
    </xf>
    <xf numFmtId="178" fontId="20" fillId="18" borderId="0" xfId="0" applyNumberFormat="1" applyFont="1" applyFill="1" applyBorder="1" applyAlignment="1">
      <alignment vertical="center" wrapText="1"/>
    </xf>
    <xf numFmtId="43" fontId="19" fillId="0" borderId="0" xfId="0" applyNumberFormat="1" applyFont="1">
      <alignment vertical="center"/>
    </xf>
    <xf numFmtId="43" fontId="19" fillId="0" borderId="0" xfId="1" applyFont="1">
      <alignment vertical="center"/>
    </xf>
    <xf numFmtId="14" fontId="19" fillId="0" borderId="0" xfId="0" applyNumberFormat="1" applyFont="1">
      <alignment vertical="center"/>
    </xf>
    <xf numFmtId="0" fontId="19" fillId="17" borderId="0" xfId="0" applyFont="1" applyFill="1">
      <alignment vertical="center"/>
    </xf>
    <xf numFmtId="43" fontId="18" fillId="17" borderId="0" xfId="0" applyNumberFormat="1" applyFont="1" applyFill="1">
      <alignment vertical="center"/>
    </xf>
    <xf numFmtId="178" fontId="11" fillId="2" borderId="0" xfId="0" applyNumberFormat="1" applyFont="1" applyFill="1" applyBorder="1" applyAlignment="1">
      <alignment vertical="center" wrapText="1"/>
    </xf>
    <xf numFmtId="178" fontId="11" fillId="7" borderId="0" xfId="0" applyNumberFormat="1" applyFont="1" applyFill="1" applyBorder="1" applyAlignment="1">
      <alignment vertical="center" wrapText="1"/>
    </xf>
    <xf numFmtId="178" fontId="11" fillId="10" borderId="0" xfId="0" applyNumberFormat="1" applyFont="1" applyFill="1" applyBorder="1" applyAlignment="1">
      <alignment vertical="center" wrapText="1"/>
    </xf>
    <xf numFmtId="178" fontId="11" fillId="5" borderId="0" xfId="0" applyNumberFormat="1" applyFont="1" applyFill="1" applyBorder="1" applyAlignment="1">
      <alignment vertical="center" wrapText="1"/>
    </xf>
    <xf numFmtId="178" fontId="11" fillId="12" borderId="0" xfId="0" applyNumberFormat="1" applyFont="1" applyFill="1" applyBorder="1" applyAlignment="1">
      <alignment vertical="center" wrapText="1"/>
    </xf>
    <xf numFmtId="10" fontId="7" fillId="2" borderId="0" xfId="2" applyNumberFormat="1" applyFont="1" applyFill="1" applyBorder="1" applyAlignment="1">
      <alignment vertical="center" wrapText="1"/>
    </xf>
    <xf numFmtId="0" fontId="7" fillId="2" borderId="4" xfId="0" applyNumberFormat="1" applyFont="1" applyFill="1" applyBorder="1">
      <alignment vertical="center"/>
    </xf>
    <xf numFmtId="177" fontId="7" fillId="2" borderId="4" xfId="0" applyNumberFormat="1" applyFont="1" applyFill="1" applyBorder="1" applyAlignment="1">
      <alignment vertical="center" wrapText="1"/>
    </xf>
    <xf numFmtId="9" fontId="7" fillId="2" borderId="4" xfId="2" applyFont="1" applyFill="1" applyBorder="1" applyAlignment="1">
      <alignment vertical="center" wrapText="1"/>
    </xf>
    <xf numFmtId="178" fontId="7" fillId="2" borderId="4" xfId="0" applyNumberFormat="1" applyFont="1" applyFill="1" applyBorder="1" applyAlignment="1">
      <alignment vertical="center" wrapText="1"/>
    </xf>
    <xf numFmtId="179" fontId="7" fillId="2" borderId="4" xfId="2" applyNumberFormat="1" applyFont="1" applyFill="1" applyBorder="1" applyAlignment="1">
      <alignment vertical="center" wrapText="1"/>
    </xf>
    <xf numFmtId="177" fontId="7" fillId="2" borderId="4" xfId="1" applyNumberFormat="1" applyFont="1" applyFill="1" applyBorder="1" applyAlignment="1">
      <alignment vertical="center" wrapText="1"/>
    </xf>
    <xf numFmtId="10" fontId="7" fillId="2" borderId="4" xfId="2" applyNumberFormat="1" applyFont="1" applyFill="1" applyBorder="1" applyAlignment="1">
      <alignment vertical="center" wrapText="1"/>
    </xf>
    <xf numFmtId="9" fontId="12" fillId="2" borderId="0" xfId="2" applyFont="1" applyFill="1" applyBorder="1">
      <alignment vertical="center"/>
    </xf>
    <xf numFmtId="43" fontId="7" fillId="2" borderId="0" xfId="1" applyFont="1" applyFill="1" applyBorder="1" applyAlignment="1">
      <alignment vertical="center" wrapText="1"/>
    </xf>
    <xf numFmtId="43" fontId="7" fillId="2" borderId="0" xfId="2" applyNumberFormat="1" applyFont="1" applyFill="1" applyBorder="1" applyAlignment="1">
      <alignment vertical="center" wrapText="1"/>
    </xf>
    <xf numFmtId="0" fontId="7" fillId="0" borderId="0" xfId="0" applyNumberFormat="1" applyFont="1" applyFill="1" applyBorder="1" applyAlignment="1">
      <alignment horizontal="left" vertical="center" indent="3"/>
    </xf>
    <xf numFmtId="178" fontId="13" fillId="0" borderId="0" xfId="0" applyNumberFormat="1" applyFont="1" applyFill="1" applyBorder="1" applyAlignment="1">
      <alignment vertical="center" wrapText="1"/>
    </xf>
    <xf numFmtId="0" fontId="7" fillId="5" borderId="0" xfId="0" applyNumberFormat="1" applyFont="1" applyFill="1" applyBorder="1" applyAlignment="1">
      <alignment horizontal="left" vertical="center" indent="2"/>
    </xf>
    <xf numFmtId="0" fontId="7" fillId="12" borderId="0" xfId="0" applyNumberFormat="1" applyFont="1" applyFill="1" applyBorder="1" applyAlignment="1">
      <alignment horizontal="left" vertical="center" indent="2"/>
    </xf>
    <xf numFmtId="0" fontId="8" fillId="6" borderId="0" xfId="0" applyNumberFormat="1" applyFont="1" applyFill="1" applyBorder="1" applyAlignment="1">
      <alignment horizontal="center" vertical="center" wrapText="1"/>
    </xf>
    <xf numFmtId="183" fontId="7" fillId="2" borderId="4" xfId="1" applyNumberFormat="1" applyFont="1" applyFill="1" applyBorder="1" applyAlignment="1">
      <alignment vertical="center" wrapText="1"/>
    </xf>
    <xf numFmtId="43" fontId="7" fillId="2" borderId="0" xfId="1" applyFont="1" applyFill="1" applyBorder="1" applyAlignment="1">
      <alignment horizontal="center" vertical="center" wrapText="1"/>
    </xf>
    <xf numFmtId="43" fontId="7" fillId="0" borderId="0" xfId="1" applyFont="1" applyFill="1" applyBorder="1" applyAlignment="1">
      <alignment horizontal="center" vertical="center" wrapText="1"/>
    </xf>
    <xf numFmtId="9" fontId="7" fillId="11" borderId="17" xfId="2" applyFont="1" applyFill="1" applyBorder="1" applyAlignment="1">
      <alignment vertical="center" wrapText="1"/>
    </xf>
    <xf numFmtId="183" fontId="7" fillId="2" borderId="2" xfId="1" applyNumberFormat="1" applyFont="1" applyFill="1" applyBorder="1" applyAlignment="1">
      <alignment vertical="center" wrapText="1"/>
    </xf>
    <xf numFmtId="178" fontId="5" fillId="2" borderId="0" xfId="0" applyNumberFormat="1" applyFont="1" applyFill="1">
      <alignment vertical="center"/>
    </xf>
    <xf numFmtId="1" fontId="5" fillId="2" borderId="0" xfId="0" applyNumberFormat="1" applyFont="1" applyFill="1">
      <alignment vertical="center"/>
    </xf>
    <xf numFmtId="1" fontId="5" fillId="2" borderId="0" xfId="1" applyNumberFormat="1" applyFont="1" applyFill="1">
      <alignment vertical="center"/>
    </xf>
    <xf numFmtId="9" fontId="5" fillId="2" borderId="0" xfId="0" applyNumberFormat="1" applyFont="1" applyFill="1">
      <alignment vertical="center"/>
    </xf>
    <xf numFmtId="0" fontId="21" fillId="2" borderId="0" xfId="0" applyNumberFormat="1" applyFont="1" applyFill="1" applyBorder="1">
      <alignment vertical="center"/>
    </xf>
    <xf numFmtId="0" fontId="22" fillId="20" borderId="0" xfId="0" applyFont="1" applyFill="1">
      <alignment vertical="center"/>
    </xf>
    <xf numFmtId="0" fontId="24" fillId="20" borderId="22" xfId="0" applyFont="1" applyFill="1" applyBorder="1" applyAlignment="1">
      <alignment vertical="center" wrapText="1" readingOrder="1"/>
    </xf>
    <xf numFmtId="0" fontId="24" fillId="20" borderId="23" xfId="0" applyFont="1" applyFill="1" applyBorder="1" applyAlignment="1">
      <alignment vertical="center" wrapText="1" readingOrder="1"/>
    </xf>
    <xf numFmtId="0" fontId="22" fillId="20" borderId="23" xfId="0" applyFont="1" applyFill="1" applyBorder="1" applyAlignment="1">
      <alignment horizontal="left" vertical="center" wrapText="1" readingOrder="1"/>
    </xf>
    <xf numFmtId="0" fontId="24" fillId="20" borderId="22" xfId="0" applyFont="1" applyFill="1" applyBorder="1" applyAlignment="1">
      <alignment horizontal="left" vertical="center" wrapText="1" readingOrder="1"/>
    </xf>
    <xf numFmtId="43" fontId="25" fillId="20" borderId="22" xfId="1" applyFont="1" applyFill="1" applyBorder="1" applyAlignment="1">
      <alignment vertical="center" wrapText="1"/>
    </xf>
    <xf numFmtId="43" fontId="22" fillId="20" borderId="22" xfId="1" applyFont="1" applyFill="1" applyBorder="1">
      <alignment vertical="center"/>
    </xf>
    <xf numFmtId="10" fontId="22" fillId="20" borderId="22" xfId="2" applyNumberFormat="1" applyFont="1" applyFill="1" applyBorder="1">
      <alignment vertical="center"/>
    </xf>
    <xf numFmtId="183" fontId="22" fillId="20" borderId="22" xfId="1" applyNumberFormat="1" applyFont="1" applyFill="1" applyBorder="1">
      <alignment vertical="center"/>
    </xf>
    <xf numFmtId="43" fontId="22" fillId="20" borderId="23" xfId="0" applyNumberFormat="1" applyFont="1" applyFill="1" applyBorder="1">
      <alignment vertical="center"/>
    </xf>
    <xf numFmtId="0" fontId="22" fillId="20" borderId="22" xfId="0" applyFont="1" applyFill="1" applyBorder="1" applyAlignment="1">
      <alignment horizontal="left" vertical="center" wrapText="1" indent="1" readingOrder="1"/>
    </xf>
    <xf numFmtId="0" fontId="22" fillId="20" borderId="22" xfId="0" applyFont="1" applyFill="1" applyBorder="1">
      <alignment vertical="center"/>
    </xf>
    <xf numFmtId="43" fontId="22" fillId="20" borderId="22" xfId="0" applyNumberFormat="1" applyFont="1" applyFill="1" applyBorder="1">
      <alignment vertical="center"/>
    </xf>
    <xf numFmtId="183" fontId="22" fillId="20" borderId="22" xfId="0" applyNumberFormat="1" applyFont="1" applyFill="1" applyBorder="1">
      <alignment vertical="center"/>
    </xf>
    <xf numFmtId="0" fontId="24" fillId="20" borderId="22" xfId="0" applyFont="1" applyFill="1" applyBorder="1">
      <alignment vertical="center"/>
    </xf>
    <xf numFmtId="9" fontId="22" fillId="20" borderId="0" xfId="0" applyNumberFormat="1" applyFont="1" applyFill="1">
      <alignment vertical="center"/>
    </xf>
    <xf numFmtId="43" fontId="22" fillId="20" borderId="0" xfId="0" applyNumberFormat="1" applyFont="1" applyFill="1">
      <alignment vertical="center"/>
    </xf>
    <xf numFmtId="176" fontId="7" fillId="11" borderId="4" xfId="0" applyNumberFormat="1" applyFont="1" applyFill="1" applyBorder="1" applyAlignment="1">
      <alignment vertical="center" wrapText="1"/>
    </xf>
    <xf numFmtId="176" fontId="11" fillId="11" borderId="4" xfId="0" applyNumberFormat="1" applyFont="1" applyFill="1" applyBorder="1" applyAlignment="1">
      <alignment vertical="center" wrapText="1"/>
    </xf>
    <xf numFmtId="10" fontId="22" fillId="20" borderId="0" xfId="0" applyNumberFormat="1" applyFont="1" applyFill="1">
      <alignment vertical="center"/>
    </xf>
    <xf numFmtId="183" fontId="22" fillId="20" borderId="0" xfId="0" applyNumberFormat="1" applyFont="1" applyFill="1">
      <alignment vertical="center"/>
    </xf>
    <xf numFmtId="179" fontId="5" fillId="2" borderId="0" xfId="0" applyNumberFormat="1" applyFont="1" applyFill="1">
      <alignment vertical="center"/>
    </xf>
    <xf numFmtId="0" fontId="7" fillId="0" borderId="0" xfId="0" applyFont="1" applyFill="1" applyBorder="1">
      <alignment vertical="center"/>
    </xf>
    <xf numFmtId="184" fontId="5" fillId="2" borderId="0" xfId="1" applyNumberFormat="1" applyFont="1" applyFill="1">
      <alignment vertical="center"/>
    </xf>
    <xf numFmtId="0" fontId="7" fillId="21" borderId="0" xfId="0" applyNumberFormat="1" applyFont="1" applyFill="1" applyBorder="1" applyAlignment="1">
      <alignment horizontal="left" vertical="center" indent="2"/>
    </xf>
    <xf numFmtId="9" fontId="7" fillId="21" borderId="0" xfId="2" applyFont="1" applyFill="1" applyBorder="1" applyAlignment="1">
      <alignment vertical="center" wrapText="1"/>
    </xf>
    <xf numFmtId="180" fontId="7" fillId="21" borderId="0" xfId="0" applyNumberFormat="1" applyFont="1" applyFill="1" applyBorder="1" applyAlignment="1">
      <alignment vertical="center" wrapText="1"/>
    </xf>
    <xf numFmtId="177" fontId="7" fillId="21" borderId="0" xfId="1" applyNumberFormat="1" applyFont="1" applyFill="1" applyBorder="1" applyAlignment="1">
      <alignment vertical="center" wrapText="1"/>
    </xf>
    <xf numFmtId="9" fontId="11" fillId="21" borderId="0" xfId="2" applyFont="1" applyFill="1" applyBorder="1" applyAlignment="1">
      <alignment vertical="center" wrapText="1"/>
    </xf>
    <xf numFmtId="178" fontId="7" fillId="21" borderId="0" xfId="0" applyNumberFormat="1" applyFont="1" applyFill="1" applyBorder="1" applyAlignment="1">
      <alignment vertical="center" wrapText="1"/>
    </xf>
    <xf numFmtId="0" fontId="7" fillId="22" borderId="0" xfId="0" applyNumberFormat="1" applyFont="1" applyFill="1" applyBorder="1" applyAlignment="1">
      <alignment horizontal="left" vertical="center" indent="2"/>
    </xf>
    <xf numFmtId="177" fontId="13" fillId="22" borderId="0" xfId="0" applyNumberFormat="1" applyFont="1" applyFill="1" applyBorder="1" applyAlignment="1">
      <alignment vertical="center" wrapText="1"/>
    </xf>
    <xf numFmtId="9" fontId="7" fillId="22" borderId="0" xfId="2" applyFont="1" applyFill="1" applyBorder="1" applyAlignment="1">
      <alignment vertical="center" wrapText="1"/>
    </xf>
    <xf numFmtId="180" fontId="7" fillId="22" borderId="0" xfId="0" applyNumberFormat="1" applyFont="1" applyFill="1" applyBorder="1" applyAlignment="1">
      <alignment vertical="center" wrapText="1"/>
    </xf>
    <xf numFmtId="9" fontId="11" fillId="22" borderId="0" xfId="2" applyFont="1" applyFill="1" applyBorder="1" applyAlignment="1">
      <alignment vertical="center" wrapText="1"/>
    </xf>
    <xf numFmtId="178" fontId="7" fillId="22" borderId="0" xfId="0" applyNumberFormat="1" applyFont="1" applyFill="1" applyBorder="1" applyAlignment="1">
      <alignment vertical="center" wrapText="1"/>
    </xf>
    <xf numFmtId="185" fontId="7" fillId="2" borderId="0" xfId="2" applyNumberFormat="1" applyFont="1" applyFill="1" applyBorder="1" applyAlignment="1">
      <alignment vertical="center" wrapText="1"/>
    </xf>
    <xf numFmtId="49" fontId="22" fillId="20" borderId="22" xfId="0" applyNumberFormat="1" applyFont="1" applyFill="1" applyBorder="1" applyAlignment="1">
      <alignment horizontal="left" vertical="center" wrapText="1" indent="2" readingOrder="1"/>
    </xf>
    <xf numFmtId="43" fontId="22" fillId="20" borderId="22" xfId="1" applyNumberFormat="1" applyFont="1" applyFill="1" applyBorder="1">
      <alignment vertical="center"/>
    </xf>
    <xf numFmtId="0" fontId="26" fillId="20" borderId="0" xfId="0" applyFont="1" applyFill="1" applyBorder="1" applyAlignment="1">
      <alignment horizontal="center" vertical="center" wrapText="1" readingOrder="1"/>
    </xf>
    <xf numFmtId="43" fontId="27" fillId="20" borderId="0" xfId="0" applyNumberFormat="1" applyFont="1" applyFill="1" applyBorder="1" applyAlignment="1">
      <alignment horizontal="left" vertical="center" wrapText="1" indent="1" readingOrder="1"/>
    </xf>
    <xf numFmtId="43" fontId="27" fillId="20" borderId="0" xfId="0" applyNumberFormat="1" applyFont="1" applyFill="1" applyBorder="1" applyAlignment="1">
      <alignment horizontal="left" vertical="center" wrapText="1" readingOrder="1"/>
    </xf>
    <xf numFmtId="43" fontId="27" fillId="20" borderId="0" xfId="1" applyFont="1" applyFill="1" applyBorder="1" applyAlignment="1">
      <alignment horizontal="left" vertical="center" wrapText="1" readingOrder="1"/>
    </xf>
    <xf numFmtId="0" fontId="27" fillId="20" borderId="0" xfId="0" applyFont="1" applyFill="1" applyBorder="1" applyAlignment="1">
      <alignment horizontal="left" vertical="center" wrapText="1" readingOrder="1"/>
    </xf>
    <xf numFmtId="43" fontId="28" fillId="20" borderId="0" xfId="0" applyNumberFormat="1" applyFont="1" applyFill="1" applyBorder="1">
      <alignment vertical="center"/>
    </xf>
    <xf numFmtId="183" fontId="28" fillId="20" borderId="0" xfId="1" applyNumberFormat="1" applyFont="1" applyFill="1" applyBorder="1">
      <alignment vertical="center"/>
    </xf>
    <xf numFmtId="0" fontId="27" fillId="20" borderId="0" xfId="0" applyFont="1" applyFill="1" applyBorder="1" applyAlignment="1">
      <alignment horizontal="left" vertical="center" wrapText="1" indent="1" readingOrder="1"/>
    </xf>
    <xf numFmtId="49" fontId="27" fillId="20" borderId="0" xfId="0" applyNumberFormat="1" applyFont="1" applyFill="1" applyBorder="1" applyAlignment="1">
      <alignment horizontal="left" vertical="center" wrapText="1" indent="2" readingOrder="1"/>
    </xf>
    <xf numFmtId="43" fontId="28" fillId="20" borderId="0" xfId="1" applyFont="1" applyFill="1" applyBorder="1">
      <alignment vertical="center"/>
    </xf>
    <xf numFmtId="0" fontId="28" fillId="20" borderId="0" xfId="0" applyFont="1" applyFill="1">
      <alignment vertical="center"/>
    </xf>
    <xf numFmtId="43" fontId="28" fillId="20" borderId="0" xfId="0" applyNumberFormat="1" applyFont="1" applyFill="1">
      <alignment vertical="center"/>
    </xf>
    <xf numFmtId="183" fontId="28" fillId="20" borderId="0" xfId="0" applyNumberFormat="1" applyFont="1" applyFill="1">
      <alignment vertical="center"/>
    </xf>
    <xf numFmtId="0" fontId="26" fillId="20" borderId="0" xfId="0" applyFont="1" applyFill="1" applyBorder="1" applyAlignment="1">
      <alignment horizontal="center" vertical="center" wrapText="1" readingOrder="1"/>
    </xf>
    <xf numFmtId="10" fontId="7" fillId="10" borderId="0" xfId="2" applyNumberFormat="1" applyFont="1" applyFill="1" applyBorder="1" applyAlignment="1">
      <alignment vertical="center" wrapText="1"/>
    </xf>
    <xf numFmtId="0" fontId="0" fillId="20" borderId="0" xfId="0" applyFill="1">
      <alignment vertical="center"/>
    </xf>
    <xf numFmtId="0" fontId="26" fillId="20" borderId="0" xfId="0" applyFont="1" applyFill="1" applyBorder="1" applyAlignment="1">
      <alignment horizontal="left" vertical="center" wrapText="1" readingOrder="1"/>
    </xf>
    <xf numFmtId="0" fontId="26" fillId="20" borderId="0" xfId="0" applyFont="1" applyFill="1" applyBorder="1" applyAlignment="1">
      <alignment horizontal="center" vertical="center" wrapText="1"/>
    </xf>
    <xf numFmtId="0" fontId="26" fillId="20" borderId="0" xfId="0" applyFont="1" applyFill="1" applyBorder="1" applyAlignment="1">
      <alignment horizontal="left" vertical="center" wrapText="1" indent="1" readingOrder="1"/>
    </xf>
    <xf numFmtId="43" fontId="26" fillId="20" borderId="0" xfId="1" applyFont="1" applyFill="1" applyBorder="1" applyAlignment="1">
      <alignment horizontal="left" vertical="center" wrapText="1" readingOrder="1"/>
    </xf>
    <xf numFmtId="43" fontId="26" fillId="20" borderId="0" xfId="1" applyFont="1" applyFill="1" applyBorder="1" applyAlignment="1">
      <alignment horizontal="left" vertical="center" wrapText="1" indent="1" readingOrder="1"/>
    </xf>
    <xf numFmtId="43" fontId="26" fillId="20" borderId="0" xfId="1" applyFont="1" applyFill="1" applyBorder="1" applyAlignment="1">
      <alignment horizontal="center" vertical="center" wrapText="1"/>
    </xf>
    <xf numFmtId="183" fontId="26" fillId="20" borderId="0" xfId="1" applyNumberFormat="1" applyFont="1" applyFill="1" applyBorder="1" applyAlignment="1">
      <alignment horizontal="center" vertical="center" wrapText="1"/>
    </xf>
    <xf numFmtId="43" fontId="27" fillId="20" borderId="0" xfId="1" applyFont="1" applyFill="1" applyBorder="1" applyAlignment="1">
      <alignment horizontal="center" vertical="center" wrapText="1"/>
    </xf>
    <xf numFmtId="183" fontId="27" fillId="20" borderId="0" xfId="1" applyNumberFormat="1" applyFont="1" applyFill="1" applyBorder="1" applyAlignment="1">
      <alignment horizontal="center" vertical="center" wrapText="1"/>
    </xf>
    <xf numFmtId="0" fontId="24" fillId="20" borderId="19" xfId="0" applyFont="1" applyFill="1" applyBorder="1">
      <alignment vertical="center"/>
    </xf>
    <xf numFmtId="43" fontId="22" fillId="20" borderId="20" xfId="0" applyNumberFormat="1" applyFont="1" applyFill="1" applyBorder="1">
      <alignment vertical="center"/>
    </xf>
    <xf numFmtId="10" fontId="22" fillId="20" borderId="21" xfId="2" applyNumberFormat="1" applyFont="1" applyFill="1" applyBorder="1">
      <alignment vertical="center"/>
    </xf>
    <xf numFmtId="43" fontId="22" fillId="20" borderId="2" xfId="0" applyNumberFormat="1" applyFont="1" applyFill="1" applyBorder="1">
      <alignment vertical="center"/>
    </xf>
    <xf numFmtId="186" fontId="22" fillId="20" borderId="21" xfId="0" applyNumberFormat="1" applyFont="1" applyFill="1" applyBorder="1">
      <alignment vertical="center"/>
    </xf>
    <xf numFmtId="9" fontId="7" fillId="10" borderId="0" xfId="2" applyNumberFormat="1" applyFont="1" applyFill="1" applyBorder="1" applyAlignment="1">
      <alignment vertical="center" wrapText="1"/>
    </xf>
    <xf numFmtId="0" fontId="19" fillId="15" borderId="0" xfId="0" applyFont="1" applyFill="1">
      <alignment vertical="center"/>
    </xf>
    <xf numFmtId="14" fontId="19" fillId="15" borderId="0" xfId="0" applyNumberFormat="1" applyFont="1" applyFill="1">
      <alignment vertical="center"/>
    </xf>
    <xf numFmtId="10" fontId="7" fillId="8" borderId="4" xfId="2" applyNumberFormat="1" applyFont="1" applyFill="1" applyBorder="1" applyAlignment="1">
      <alignment vertical="center" wrapText="1"/>
    </xf>
    <xf numFmtId="10" fontId="7" fillId="7" borderId="0" xfId="2" applyNumberFormat="1" applyFont="1" applyFill="1" applyBorder="1" applyAlignment="1">
      <alignment vertical="center" wrapText="1"/>
    </xf>
    <xf numFmtId="10" fontId="7" fillId="19" borderId="0" xfId="2" applyNumberFormat="1" applyFont="1" applyFill="1" applyBorder="1" applyAlignment="1">
      <alignment vertical="center" wrapText="1"/>
    </xf>
    <xf numFmtId="10" fontId="7" fillId="12" borderId="0" xfId="2" applyNumberFormat="1" applyFont="1" applyFill="1" applyBorder="1" applyAlignment="1">
      <alignment vertical="center" wrapText="1"/>
    </xf>
    <xf numFmtId="10" fontId="7" fillId="0" borderId="0" xfId="2" applyNumberFormat="1" applyFont="1" applyFill="1" applyBorder="1" applyAlignment="1">
      <alignment vertical="center" wrapText="1"/>
    </xf>
    <xf numFmtId="10" fontId="7" fillId="5" borderId="0" xfId="2" applyNumberFormat="1" applyFont="1" applyFill="1" applyBorder="1" applyAlignment="1">
      <alignment vertical="center" wrapText="1"/>
    </xf>
    <xf numFmtId="10" fontId="7" fillId="22" borderId="0" xfId="2" applyNumberFormat="1" applyFont="1" applyFill="1" applyBorder="1" applyAlignment="1">
      <alignment vertical="center" wrapText="1"/>
    </xf>
    <xf numFmtId="10" fontId="7" fillId="21" borderId="0" xfId="2" applyNumberFormat="1" applyFont="1" applyFill="1" applyBorder="1" applyAlignment="1">
      <alignment vertical="center" wrapText="1"/>
    </xf>
    <xf numFmtId="10" fontId="7" fillId="18" borderId="0" xfId="2" applyNumberFormat="1" applyFont="1" applyFill="1" applyBorder="1" applyAlignment="1">
      <alignment vertical="center" wrapText="1"/>
    </xf>
    <xf numFmtId="0" fontId="7" fillId="0" borderId="22" xfId="0" applyNumberFormat="1" applyFont="1" applyFill="1" applyBorder="1">
      <alignment vertical="center"/>
    </xf>
    <xf numFmtId="43" fontId="7" fillId="0" borderId="22" xfId="1" applyNumberFormat="1" applyFont="1" applyFill="1" applyBorder="1">
      <alignment vertical="center"/>
    </xf>
    <xf numFmtId="10" fontId="7" fillId="0" borderId="22" xfId="2" applyNumberFormat="1" applyFont="1" applyFill="1" applyBorder="1">
      <alignment vertical="center"/>
    </xf>
    <xf numFmtId="9" fontId="7" fillId="0" borderId="22" xfId="2" applyFont="1" applyFill="1" applyBorder="1">
      <alignment vertical="center"/>
    </xf>
    <xf numFmtId="0" fontId="7" fillId="0" borderId="22" xfId="0" applyNumberFormat="1" applyFont="1" applyFill="1" applyBorder="1" applyAlignment="1">
      <alignment horizontal="left" vertical="center" indent="1"/>
    </xf>
    <xf numFmtId="177" fontId="7" fillId="16" borderId="22" xfId="0" applyNumberFormat="1" applyFont="1" applyFill="1" applyBorder="1" applyAlignment="1">
      <alignment vertical="center" wrapText="1"/>
    </xf>
    <xf numFmtId="178" fontId="7" fillId="16" borderId="22" xfId="0" applyNumberFormat="1" applyFont="1" applyFill="1" applyBorder="1" applyAlignment="1">
      <alignment vertical="center" wrapText="1"/>
    </xf>
    <xf numFmtId="179" fontId="7" fillId="16" borderId="22" xfId="2" applyNumberFormat="1" applyFont="1" applyFill="1" applyBorder="1" applyAlignment="1">
      <alignment vertical="center" wrapText="1"/>
    </xf>
    <xf numFmtId="186" fontId="22" fillId="20" borderId="22" xfId="0" applyNumberFormat="1" applyFont="1" applyFill="1" applyBorder="1">
      <alignment vertical="center"/>
    </xf>
    <xf numFmtId="43" fontId="7" fillId="0" borderId="0" xfId="0" applyNumberFormat="1" applyFont="1" applyFill="1" applyBorder="1">
      <alignment vertical="center"/>
    </xf>
    <xf numFmtId="9" fontId="22" fillId="20" borderId="0" xfId="2" applyFont="1" applyFill="1">
      <alignment vertical="center"/>
    </xf>
    <xf numFmtId="43" fontId="7" fillId="2" borderId="4" xfId="1" applyNumberFormat="1" applyFont="1" applyFill="1" applyBorder="1" applyAlignment="1">
      <alignment vertical="center" wrapText="1"/>
    </xf>
    <xf numFmtId="178" fontId="7" fillId="7" borderId="0" xfId="1" applyNumberFormat="1" applyFont="1" applyFill="1" applyBorder="1" applyAlignment="1">
      <alignment vertical="center" wrapText="1"/>
    </xf>
    <xf numFmtId="179" fontId="7" fillId="19" borderId="0" xfId="2" applyNumberFormat="1" applyFont="1" applyFill="1" applyBorder="1" applyAlignment="1">
      <alignment vertical="center" wrapText="1"/>
    </xf>
    <xf numFmtId="0" fontId="0" fillId="0" borderId="0" xfId="0">
      <alignment vertical="center"/>
    </xf>
    <xf numFmtId="187" fontId="0" fillId="0" borderId="0" xfId="0" applyNumberFormat="1">
      <alignment vertical="center"/>
    </xf>
    <xf numFmtId="43" fontId="0" fillId="0" borderId="0" xfId="0" applyNumberFormat="1">
      <alignment vertical="center"/>
    </xf>
    <xf numFmtId="178" fontId="13" fillId="22" borderId="0" xfId="0" applyNumberFormat="1" applyFont="1" applyFill="1" applyBorder="1" applyAlignment="1">
      <alignment vertical="center" wrapText="1"/>
    </xf>
    <xf numFmtId="178" fontId="13" fillId="21" borderId="0" xfId="0" applyNumberFormat="1" applyFont="1" applyFill="1" applyBorder="1" applyAlignment="1">
      <alignment vertical="center" wrapText="1"/>
    </xf>
    <xf numFmtId="179" fontId="7" fillId="12" borderId="0" xfId="2" applyNumberFormat="1" applyFont="1" applyFill="1" applyBorder="1" applyAlignment="1">
      <alignment vertical="center" wrapText="1"/>
    </xf>
    <xf numFmtId="179" fontId="7" fillId="0" borderId="0" xfId="2" applyNumberFormat="1" applyFont="1" applyFill="1" applyBorder="1" applyAlignment="1">
      <alignment vertical="center" wrapText="1"/>
    </xf>
    <xf numFmtId="179" fontId="7" fillId="22" borderId="0" xfId="2" applyNumberFormat="1" applyFont="1" applyFill="1" applyBorder="1" applyAlignment="1">
      <alignment vertical="center" wrapText="1"/>
    </xf>
    <xf numFmtId="179" fontId="7" fillId="21" borderId="0" xfId="2" applyNumberFormat="1" applyFont="1" applyFill="1" applyBorder="1" applyAlignment="1">
      <alignment vertical="center" wrapText="1"/>
    </xf>
    <xf numFmtId="179" fontId="7" fillId="18" borderId="0" xfId="2" applyNumberFormat="1" applyFont="1" applyFill="1" applyBorder="1" applyAlignment="1">
      <alignment vertical="center" wrapText="1"/>
    </xf>
    <xf numFmtId="10" fontId="0" fillId="0" borderId="0" xfId="0" applyNumberFormat="1">
      <alignment vertical="center"/>
    </xf>
    <xf numFmtId="10" fontId="19" fillId="0" borderId="0" xfId="2" applyNumberFormat="1" applyFont="1">
      <alignment vertical="center"/>
    </xf>
    <xf numFmtId="0" fontId="0" fillId="0" borderId="0" xfId="0">
      <alignment vertical="center"/>
    </xf>
    <xf numFmtId="0" fontId="32" fillId="0" borderId="0" xfId="0" applyFont="1">
      <alignment vertical="center"/>
    </xf>
    <xf numFmtId="49" fontId="33" fillId="0" borderId="25" xfId="0" applyNumberFormat="1" applyFont="1" applyBorder="1" applyAlignment="1">
      <alignment horizontal="left" vertical="center" wrapText="1"/>
    </xf>
    <xf numFmtId="0" fontId="18" fillId="0" borderId="22" xfId="0" applyFont="1" applyFill="1" applyBorder="1">
      <alignment vertical="center"/>
    </xf>
    <xf numFmtId="4" fontId="36" fillId="0" borderId="26" xfId="0" applyNumberFormat="1" applyFont="1" applyBorder="1" applyAlignment="1" applyProtection="1">
      <alignment horizontal="right" vertical="center"/>
    </xf>
    <xf numFmtId="0" fontId="35" fillId="0" borderId="0" xfId="0" applyFont="1" applyBorder="1" applyAlignment="1" applyProtection="1">
      <protection locked="0"/>
    </xf>
    <xf numFmtId="0" fontId="19" fillId="0" borderId="0" xfId="0" applyFont="1" applyFill="1">
      <alignment vertical="center"/>
    </xf>
    <xf numFmtId="0" fontId="17" fillId="0" borderId="0" xfId="1" applyNumberFormat="1" applyFont="1" applyFill="1" applyAlignment="1">
      <alignment horizontal="center" vertical="center"/>
    </xf>
    <xf numFmtId="43" fontId="18" fillId="0" borderId="0" xfId="0" applyNumberFormat="1" applyFont="1" applyFill="1">
      <alignment vertical="center"/>
    </xf>
    <xf numFmtId="0" fontId="37" fillId="0" borderId="0" xfId="0" applyFont="1" applyBorder="1" applyAlignment="1" applyProtection="1">
      <protection locked="0"/>
    </xf>
    <xf numFmtId="43" fontId="35" fillId="0" borderId="0" xfId="1" applyFont="1" applyFill="1" applyBorder="1" applyAlignment="1" applyProtection="1">
      <protection locked="0"/>
    </xf>
    <xf numFmtId="0" fontId="38" fillId="0" borderId="0" xfId="0" applyFont="1">
      <alignment vertical="center"/>
    </xf>
    <xf numFmtId="43" fontId="38" fillId="0" borderId="0" xfId="1" applyFont="1">
      <alignment vertical="center"/>
    </xf>
    <xf numFmtId="43" fontId="39" fillId="0" borderId="0" xfId="1" applyFont="1">
      <alignment vertical="center"/>
    </xf>
    <xf numFmtId="0" fontId="39" fillId="0" borderId="0" xfId="0" applyFont="1">
      <alignment vertical="center"/>
    </xf>
    <xf numFmtId="0" fontId="31" fillId="0" borderId="0" xfId="0" applyFont="1">
      <alignment vertical="center"/>
    </xf>
    <xf numFmtId="0" fontId="29" fillId="0" borderId="0" xfId="0" applyFont="1">
      <alignment vertical="center"/>
    </xf>
    <xf numFmtId="4" fontId="39" fillId="0" borderId="0" xfId="0" applyNumberFormat="1" applyFont="1">
      <alignment vertical="center"/>
    </xf>
    <xf numFmtId="43" fontId="39" fillId="0" borderId="0" xfId="0" applyNumberFormat="1" applyFont="1">
      <alignment vertical="center"/>
    </xf>
    <xf numFmtId="0" fontId="23" fillId="0" borderId="26" xfId="3" applyNumberFormat="1" applyFont="1" applyFill="1" applyBorder="1" applyAlignment="1" applyProtection="1">
      <alignment horizontal="left" vertical="center"/>
    </xf>
    <xf numFmtId="49" fontId="23" fillId="0" borderId="26" xfId="3" applyNumberFormat="1" applyFont="1" applyFill="1" applyBorder="1" applyAlignment="1" applyProtection="1">
      <alignment horizontal="left" vertical="center"/>
    </xf>
    <xf numFmtId="43" fontId="40" fillId="6" borderId="0" xfId="1" applyFont="1" applyFill="1">
      <alignment vertical="center"/>
    </xf>
    <xf numFmtId="43" fontId="40" fillId="5" borderId="0" xfId="1" applyFont="1" applyFill="1">
      <alignment vertical="center"/>
    </xf>
    <xf numFmtId="43" fontId="40" fillId="25" borderId="0" xfId="1" applyFont="1" applyFill="1">
      <alignment vertical="center"/>
    </xf>
    <xf numFmtId="43" fontId="40" fillId="22" borderId="0" xfId="1" applyFont="1" applyFill="1">
      <alignment vertical="center"/>
    </xf>
    <xf numFmtId="0" fontId="0" fillId="0" borderId="0" xfId="0" applyAlignment="1">
      <alignment vertical="center" wrapText="1"/>
    </xf>
    <xf numFmtId="43" fontId="19" fillId="0" borderId="0" xfId="0" applyNumberFormat="1" applyFont="1" applyFill="1">
      <alignment vertical="center"/>
    </xf>
    <xf numFmtId="0" fontId="17" fillId="0" borderId="0" xfId="0" applyFont="1" applyFill="1">
      <alignment vertical="center"/>
    </xf>
    <xf numFmtId="43" fontId="35" fillId="0" borderId="0" xfId="4704" applyFont="1" applyBorder="1" applyProtection="1">
      <protection locked="0"/>
    </xf>
    <xf numFmtId="0" fontId="35" fillId="0" borderId="0" xfId="0" applyFont="1" applyAlignment="1" applyProtection="1">
      <protection locked="0"/>
    </xf>
    <xf numFmtId="0" fontId="32" fillId="15" borderId="0" xfId="0" applyFont="1" applyFill="1">
      <alignment vertical="center"/>
    </xf>
    <xf numFmtId="0" fontId="92" fillId="15" borderId="0" xfId="0" applyFont="1" applyFill="1">
      <alignment vertical="center"/>
    </xf>
    <xf numFmtId="43" fontId="92" fillId="15" borderId="0" xfId="0" applyNumberFormat="1" applyFont="1" applyFill="1">
      <alignment vertical="center"/>
    </xf>
    <xf numFmtId="4" fontId="92" fillId="15" borderId="0" xfId="0" applyNumberFormat="1" applyFont="1" applyFill="1">
      <alignment vertical="center"/>
    </xf>
    <xf numFmtId="0" fontId="19" fillId="0" borderId="22" xfId="0" applyFont="1" applyBorder="1" applyAlignment="1">
      <alignment horizontal="left" vertical="center"/>
    </xf>
    <xf numFmtId="43" fontId="19" fillId="15" borderId="0" xfId="0" applyNumberFormat="1" applyFont="1" applyFill="1">
      <alignment vertical="center"/>
    </xf>
    <xf numFmtId="0" fontId="93" fillId="0" borderId="0" xfId="0" applyFont="1">
      <alignment vertical="center"/>
    </xf>
    <xf numFmtId="0" fontId="0" fillId="0" borderId="0" xfId="0">
      <alignment vertical="center"/>
    </xf>
    <xf numFmtId="0" fontId="18" fillId="20" borderId="22" xfId="0" applyFont="1" applyFill="1" applyBorder="1" applyAlignment="1" applyProtection="1">
      <alignment horizontal="left" vertical="center" wrapText="1"/>
    </xf>
    <xf numFmtId="49" fontId="23" fillId="0" borderId="0" xfId="0" applyNumberFormat="1" applyFont="1" applyBorder="1" applyAlignment="1" applyProtection="1">
      <alignment horizontal="left" vertical="center" wrapText="1"/>
    </xf>
    <xf numFmtId="0" fontId="92" fillId="0" borderId="0" xfId="0" applyFont="1">
      <alignment vertical="center"/>
    </xf>
    <xf numFmtId="0" fontId="35" fillId="15" borderId="0" xfId="0" applyFont="1" applyFill="1" applyAlignment="1" applyProtection="1">
      <protection locked="0"/>
    </xf>
    <xf numFmtId="43" fontId="92" fillId="15" borderId="0" xfId="1" applyFont="1" applyFill="1">
      <alignment vertical="center"/>
    </xf>
    <xf numFmtId="176" fontId="7" fillId="2" borderId="0" xfId="0" applyNumberFormat="1" applyFont="1" applyFill="1" applyBorder="1" applyAlignment="1">
      <alignment horizontal="center" vertical="center" wrapText="1"/>
    </xf>
    <xf numFmtId="0" fontId="94" fillId="72" borderId="41" xfId="0" applyFont="1" applyFill="1" applyBorder="1" applyAlignment="1">
      <alignment horizontal="left" vertical="center" wrapText="1" readingOrder="1"/>
    </xf>
    <xf numFmtId="0" fontId="95" fillId="72" borderId="41" xfId="0" applyFont="1" applyFill="1" applyBorder="1" applyAlignment="1">
      <alignment horizontal="left" vertical="center" wrapText="1" readingOrder="1"/>
    </xf>
    <xf numFmtId="0" fontId="96" fillId="72" borderId="41" xfId="0" applyFont="1" applyFill="1" applyBorder="1" applyAlignment="1">
      <alignment horizontal="left" vertical="center" wrapText="1" readingOrder="1"/>
    </xf>
    <xf numFmtId="0" fontId="95" fillId="72" borderId="42" xfId="0" applyFont="1" applyFill="1" applyBorder="1" applyAlignment="1">
      <alignment horizontal="left" vertical="center" wrapText="1" readingOrder="1"/>
    </xf>
    <xf numFmtId="0" fontId="0" fillId="0" borderId="0" xfId="0" applyAlignment="1">
      <alignment horizontal="center" vertical="center"/>
    </xf>
    <xf numFmtId="0" fontId="35" fillId="15" borderId="0" xfId="0" applyFont="1" applyFill="1" applyAlignment="1"/>
    <xf numFmtId="0" fontId="0" fillId="0" borderId="0" xfId="0">
      <alignment vertical="center"/>
    </xf>
    <xf numFmtId="0" fontId="42" fillId="0" borderId="0" xfId="4927" applyFont="1" applyAlignment="1">
      <alignment vertical="top"/>
    </xf>
    <xf numFmtId="43" fontId="42" fillId="0" borderId="0" xfId="1" applyFont="1" applyAlignment="1">
      <alignment vertical="top"/>
    </xf>
    <xf numFmtId="14" fontId="42" fillId="0" borderId="0" xfId="4927" applyNumberFormat="1" applyFont="1" applyAlignment="1">
      <alignment vertical="top"/>
    </xf>
    <xf numFmtId="0" fontId="18" fillId="0" borderId="22" xfId="4927" applyFont="1" applyFill="1" applyBorder="1" applyAlignment="1">
      <alignment vertical="center"/>
    </xf>
    <xf numFmtId="43" fontId="42" fillId="0" borderId="0" xfId="4927" applyNumberFormat="1" applyFont="1" applyAlignment="1">
      <alignment vertical="top"/>
    </xf>
    <xf numFmtId="0" fontId="35" fillId="73" borderId="0" xfId="0" applyFont="1" applyFill="1" applyBorder="1" applyAlignment="1" applyProtection="1">
      <protection locked="0"/>
    </xf>
    <xf numFmtId="43" fontId="35" fillId="73" borderId="0" xfId="4704" applyFont="1" applyFill="1" applyBorder="1" applyProtection="1">
      <protection locked="0"/>
    </xf>
    <xf numFmtId="0" fontId="99" fillId="20" borderId="22" xfId="0" applyFont="1" applyFill="1" applyBorder="1" applyAlignment="1">
      <alignment horizontal="left" vertical="center" wrapText="1"/>
    </xf>
    <xf numFmtId="49" fontId="100" fillId="24" borderId="52" xfId="0" applyNumberFormat="1" applyFont="1" applyFill="1" applyBorder="1" applyAlignment="1">
      <alignment horizontal="left" vertical="center"/>
    </xf>
    <xf numFmtId="201" fontId="101" fillId="0" borderId="53" xfId="3" applyNumberFormat="1" applyFont="1" applyBorder="1" applyAlignment="1">
      <alignment horizontal="right" vertical="center"/>
    </xf>
    <xf numFmtId="201" fontId="101" fillId="74" borderId="53" xfId="3" applyNumberFormat="1" applyFont="1" applyFill="1" applyBorder="1" applyAlignment="1">
      <alignment horizontal="right" vertical="center"/>
    </xf>
    <xf numFmtId="179" fontId="101" fillId="74" borderId="53" xfId="2" applyNumberFormat="1" applyFont="1" applyFill="1" applyBorder="1" applyAlignment="1">
      <alignment horizontal="right" vertical="center"/>
    </xf>
    <xf numFmtId="179" fontId="101" fillId="0" borderId="53" xfId="2" applyNumberFormat="1" applyFont="1" applyBorder="1" applyAlignment="1">
      <alignment horizontal="right" vertical="center"/>
    </xf>
    <xf numFmtId="201" fontId="101" fillId="0" borderId="53" xfId="3" applyNumberFormat="1" applyFont="1" applyBorder="1" applyAlignment="1">
      <alignment horizontal="left" vertical="center" indent="1"/>
    </xf>
    <xf numFmtId="201" fontId="101" fillId="74" borderId="53" xfId="3" applyNumberFormat="1" applyFont="1" applyFill="1" applyBorder="1" applyAlignment="1">
      <alignment horizontal="left" vertical="center" indent="1"/>
    </xf>
    <xf numFmtId="179" fontId="0" fillId="0" borderId="0" xfId="0" applyNumberFormat="1">
      <alignment vertical="center"/>
    </xf>
    <xf numFmtId="49" fontId="97" fillId="20" borderId="46" xfId="0" applyNumberFormat="1" applyFont="1" applyFill="1" applyBorder="1" applyAlignment="1">
      <alignment horizontal="left" vertical="top"/>
    </xf>
    <xf numFmtId="49" fontId="32" fillId="0" borderId="0" xfId="0" applyNumberFormat="1" applyFont="1">
      <alignment vertical="center"/>
    </xf>
    <xf numFmtId="0" fontId="19" fillId="0" borderId="0" xfId="0" applyFont="1" applyBorder="1" applyAlignment="1">
      <alignment horizontal="center" vertical="center"/>
    </xf>
    <xf numFmtId="4" fontId="19" fillId="0" borderId="0" xfId="0" applyNumberFormat="1" applyFont="1">
      <alignment vertical="center"/>
    </xf>
    <xf numFmtId="10" fontId="5" fillId="2" borderId="0" xfId="0" applyNumberFormat="1" applyFont="1" applyFill="1">
      <alignment vertical="center"/>
    </xf>
    <xf numFmtId="0" fontId="42" fillId="0" borderId="0" xfId="4220"/>
    <xf numFmtId="202" fontId="42" fillId="0" borderId="0" xfId="4220" applyNumberFormat="1"/>
    <xf numFmtId="200" fontId="42" fillId="0" borderId="0" xfId="4220" applyNumberFormat="1"/>
    <xf numFmtId="0" fontId="101" fillId="0" borderId="55" xfId="4928" applyFont="1" applyBorder="1" applyAlignment="1">
      <alignment horizontal="left" vertical="center"/>
    </xf>
    <xf numFmtId="0" fontId="104" fillId="0" borderId="55" xfId="4928" applyFont="1" applyBorder="1" applyAlignment="1">
      <alignment horizontal="left" vertical="center"/>
    </xf>
    <xf numFmtId="0" fontId="101" fillId="74" borderId="55" xfId="4928" applyFont="1" applyFill="1" applyBorder="1" applyAlignment="1">
      <alignment horizontal="left" vertical="center"/>
    </xf>
    <xf numFmtId="0" fontId="104" fillId="0" borderId="55" xfId="0" applyFont="1" applyFill="1" applyBorder="1" applyAlignment="1">
      <alignment horizontal="left" vertical="center"/>
    </xf>
    <xf numFmtId="0" fontId="104" fillId="75" borderId="55" xfId="0" applyFont="1" applyFill="1" applyBorder="1" applyAlignment="1">
      <alignment horizontal="left" vertical="center"/>
    </xf>
    <xf numFmtId="0" fontId="106" fillId="75" borderId="55" xfId="0" applyFont="1" applyFill="1" applyBorder="1" applyAlignment="1">
      <alignment horizontal="left" vertical="center" wrapText="1"/>
    </xf>
    <xf numFmtId="0" fontId="106" fillId="75" borderId="55" xfId="0" applyFont="1" applyFill="1" applyBorder="1" applyAlignment="1">
      <alignment vertical="center"/>
    </xf>
    <xf numFmtId="10" fontId="101" fillId="74" borderId="53" xfId="2" applyNumberFormat="1" applyFont="1" applyFill="1" applyBorder="1" applyAlignment="1">
      <alignment horizontal="right" vertical="center"/>
    </xf>
    <xf numFmtId="10" fontId="101" fillId="0" borderId="53" xfId="2" applyNumberFormat="1" applyFont="1" applyBorder="1" applyAlignment="1">
      <alignment horizontal="right" vertical="center"/>
    </xf>
    <xf numFmtId="176" fontId="7" fillId="8" borderId="4" xfId="0" applyNumberFormat="1" applyFont="1" applyFill="1" applyBorder="1" applyAlignment="1">
      <alignment vertical="center" wrapText="1"/>
    </xf>
    <xf numFmtId="178" fontId="7" fillId="10" borderId="0" xfId="1" applyNumberFormat="1" applyFont="1" applyFill="1" applyBorder="1" applyAlignment="1">
      <alignment vertical="center" wrapText="1"/>
    </xf>
    <xf numFmtId="0" fontId="0" fillId="0" borderId="0" xfId="0">
      <alignment vertical="center"/>
    </xf>
    <xf numFmtId="43" fontId="19" fillId="17" borderId="0" xfId="0" applyNumberFormat="1" applyFont="1" applyFill="1">
      <alignment vertical="center"/>
    </xf>
    <xf numFmtId="0" fontId="30" fillId="0" borderId="0" xfId="0" applyFont="1">
      <alignment vertical="center"/>
    </xf>
    <xf numFmtId="0" fontId="107" fillId="0" borderId="0" xfId="0" applyFont="1" applyFill="1" applyBorder="1" applyAlignment="1">
      <alignment horizontal="left" vertical="center"/>
    </xf>
    <xf numFmtId="10" fontId="29" fillId="0" borderId="0" xfId="0" applyNumberFormat="1" applyFont="1">
      <alignment vertical="center"/>
    </xf>
    <xf numFmtId="10" fontId="30" fillId="0" borderId="0" xfId="0" applyNumberFormat="1" applyFont="1">
      <alignment vertical="center"/>
    </xf>
    <xf numFmtId="0" fontId="108" fillId="0" borderId="22" xfId="0" applyFont="1" applyBorder="1" applyAlignment="1">
      <alignment horizontal="left" vertical="center"/>
    </xf>
    <xf numFmtId="0" fontId="107" fillId="0" borderId="22" xfId="0" applyFont="1" applyBorder="1" applyAlignment="1">
      <alignment horizontal="left" vertical="center" indent="1"/>
    </xf>
    <xf numFmtId="186" fontId="107" fillId="0" borderId="22" xfId="1" applyNumberFormat="1" applyFont="1" applyBorder="1" applyAlignment="1">
      <alignment horizontal="left" vertical="center"/>
    </xf>
    <xf numFmtId="10" fontId="108" fillId="0" borderId="22" xfId="2" applyNumberFormat="1" applyFont="1" applyBorder="1" applyAlignment="1">
      <alignment horizontal="center" vertical="center"/>
    </xf>
    <xf numFmtId="10" fontId="107" fillId="0" borderId="22" xfId="2" applyNumberFormat="1" applyFont="1" applyBorder="1" applyAlignment="1">
      <alignment horizontal="center" vertical="center"/>
    </xf>
    <xf numFmtId="183" fontId="108" fillId="0" borderId="22" xfId="1" applyNumberFormat="1" applyFont="1" applyBorder="1" applyAlignment="1">
      <alignment horizontal="center" vertical="center"/>
    </xf>
    <xf numFmtId="9" fontId="108" fillId="0" borderId="22" xfId="2" applyFont="1" applyBorder="1" applyAlignment="1">
      <alignment horizontal="center" vertical="center"/>
    </xf>
    <xf numFmtId="186" fontId="108" fillId="0" borderId="22" xfId="1" applyNumberFormat="1" applyFont="1" applyBorder="1" applyAlignment="1">
      <alignment horizontal="center" vertical="center"/>
    </xf>
    <xf numFmtId="183" fontId="107" fillId="0" borderId="22" xfId="1" applyNumberFormat="1" applyFont="1" applyBorder="1" applyAlignment="1">
      <alignment horizontal="center" vertical="center"/>
    </xf>
    <xf numFmtId="9" fontId="107" fillId="0" borderId="22" xfId="2" applyFont="1" applyBorder="1" applyAlignment="1">
      <alignment horizontal="center" vertical="center"/>
    </xf>
    <xf numFmtId="186" fontId="107" fillId="0" borderId="22" xfId="1" applyNumberFormat="1" applyFont="1" applyBorder="1" applyAlignment="1">
      <alignment horizontal="center" vertical="center"/>
    </xf>
    <xf numFmtId="0" fontId="107" fillId="0" borderId="22" xfId="0" applyFont="1" applyBorder="1" applyAlignment="1">
      <alignment horizontal="left" vertical="center" indent="2"/>
    </xf>
    <xf numFmtId="183" fontId="0" fillId="0" borderId="0" xfId="0" applyNumberFormat="1">
      <alignment vertical="center"/>
    </xf>
    <xf numFmtId="178" fontId="7" fillId="22" borderId="0" xfId="1" applyNumberFormat="1" applyFont="1" applyFill="1" applyBorder="1" applyAlignment="1">
      <alignment vertical="center" wrapText="1"/>
    </xf>
    <xf numFmtId="179" fontId="19" fillId="0" borderId="0" xfId="2" applyNumberFormat="1" applyFont="1">
      <alignment vertical="center"/>
    </xf>
    <xf numFmtId="10" fontId="18" fillId="0" borderId="0" xfId="2" applyNumberFormat="1" applyFont="1" applyFill="1">
      <alignment vertical="center"/>
    </xf>
    <xf numFmtId="179" fontId="19" fillId="17" borderId="0" xfId="2" applyNumberFormat="1" applyFont="1" applyFill="1">
      <alignment vertical="center"/>
    </xf>
    <xf numFmtId="0" fontId="0" fillId="0" borderId="0" xfId="0">
      <alignment vertical="center"/>
    </xf>
    <xf numFmtId="0" fontId="109" fillId="3" borderId="55" xfId="4928" applyFont="1" applyFill="1" applyBorder="1" applyAlignment="1">
      <alignment horizontal="center" vertical="center"/>
    </xf>
    <xf numFmtId="9" fontId="110" fillId="75" borderId="55" xfId="4929" applyFont="1" applyFill="1" applyBorder="1" applyAlignment="1">
      <alignment horizontal="right" vertical="center"/>
    </xf>
    <xf numFmtId="0" fontId="110" fillId="75" borderId="58" xfId="4928" applyFont="1" applyFill="1" applyBorder="1" applyAlignment="1">
      <alignment horizontal="center" vertical="top"/>
    </xf>
    <xf numFmtId="0" fontId="111" fillId="0" borderId="55" xfId="4928" applyFont="1" applyBorder="1" applyAlignment="1">
      <alignment horizontal="left" vertical="center"/>
    </xf>
    <xf numFmtId="182" fontId="68" fillId="20" borderId="55" xfId="0" applyNumberFormat="1" applyFont="1" applyFill="1" applyBorder="1" applyAlignment="1">
      <alignment horizontal="right" vertical="center"/>
    </xf>
    <xf numFmtId="179" fontId="68" fillId="20" borderId="55" xfId="4929" applyNumberFormat="1" applyFont="1" applyFill="1" applyBorder="1" applyAlignment="1">
      <alignment horizontal="right" vertical="center"/>
    </xf>
    <xf numFmtId="0" fontId="111" fillId="74" borderId="55" xfId="4928" applyFont="1" applyFill="1" applyBorder="1" applyAlignment="1">
      <alignment horizontal="left" vertical="center"/>
    </xf>
    <xf numFmtId="182" fontId="68" fillId="14" borderId="55" xfId="0" applyNumberFormat="1" applyFont="1" applyFill="1" applyBorder="1" applyAlignment="1">
      <alignment horizontal="right" vertical="center"/>
    </xf>
    <xf numFmtId="0" fontId="110" fillId="0" borderId="55" xfId="4928" applyFont="1" applyBorder="1" applyAlignment="1">
      <alignment horizontal="left" vertical="center"/>
    </xf>
    <xf numFmtId="0" fontId="110" fillId="74" borderId="55" xfId="4928" applyFont="1" applyFill="1" applyBorder="1" applyAlignment="1">
      <alignment horizontal="left" vertical="center"/>
    </xf>
    <xf numFmtId="0" fontId="101" fillId="14" borderId="55" xfId="0" applyFont="1" applyFill="1" applyBorder="1" applyAlignment="1">
      <alignment horizontal="left" vertical="center"/>
    </xf>
    <xf numFmtId="0" fontId="101" fillId="0" borderId="55" xfId="0" applyFont="1" applyFill="1" applyBorder="1" applyAlignment="1">
      <alignment horizontal="left" vertical="center"/>
    </xf>
    <xf numFmtId="0" fontId="101" fillId="0" borderId="55" xfId="0" applyFont="1" applyFill="1" applyBorder="1" applyAlignment="1">
      <alignment horizontal="left" vertical="center" wrapText="1"/>
    </xf>
    <xf numFmtId="0" fontId="109" fillId="3" borderId="67" xfId="4928" applyFont="1" applyFill="1" applyBorder="1" applyAlignment="1">
      <alignment horizontal="center" vertical="center"/>
    </xf>
    <xf numFmtId="0" fontId="113" fillId="3" borderId="55" xfId="0" applyFont="1" applyFill="1" applyBorder="1" applyAlignment="1">
      <alignment horizontal="center" vertical="center" wrapText="1"/>
    </xf>
    <xf numFmtId="0" fontId="111" fillId="74" borderId="53" xfId="3" applyFont="1" applyFill="1" applyBorder="1" applyAlignment="1">
      <alignment horizontal="justify" vertical="center"/>
    </xf>
    <xf numFmtId="0" fontId="111" fillId="0" borderId="53" xfId="3" applyFont="1" applyBorder="1" applyAlignment="1">
      <alignment horizontal="justify" vertical="center"/>
    </xf>
    <xf numFmtId="0" fontId="114" fillId="75" borderId="55" xfId="0" applyFont="1" applyFill="1" applyBorder="1" applyAlignment="1">
      <alignment vertical="center"/>
    </xf>
    <xf numFmtId="10" fontId="0" fillId="0" borderId="0" xfId="2" applyNumberFormat="1" applyFont="1">
      <alignment vertical="center"/>
    </xf>
    <xf numFmtId="43" fontId="92" fillId="0" borderId="0" xfId="1" applyFont="1" applyFill="1">
      <alignment vertical="center"/>
    </xf>
    <xf numFmtId="43" fontId="0" fillId="0" borderId="0" xfId="1" applyFont="1">
      <alignment vertical="center"/>
    </xf>
    <xf numFmtId="10" fontId="68" fillId="20" borderId="55" xfId="2" applyNumberFormat="1" applyFont="1" applyFill="1" applyBorder="1" applyAlignment="1">
      <alignment horizontal="right" vertical="center"/>
    </xf>
    <xf numFmtId="10" fontId="68" fillId="14" borderId="55" xfId="2" applyNumberFormat="1" applyFont="1" applyFill="1" applyBorder="1" applyAlignment="1">
      <alignment horizontal="right" vertical="center"/>
    </xf>
    <xf numFmtId="0" fontId="117" fillId="0" borderId="0" xfId="0" applyFont="1">
      <alignment vertical="center"/>
    </xf>
    <xf numFmtId="0" fontId="34" fillId="0" borderId="26" xfId="0" applyFont="1" applyBorder="1" applyAlignment="1" applyProtection="1">
      <alignment horizontal="left" vertical="center"/>
    </xf>
    <xf numFmtId="0" fontId="0" fillId="0" borderId="0" xfId="0" applyAlignment="1"/>
    <xf numFmtId="0" fontId="32" fillId="75" borderId="0" xfId="0" applyFont="1" applyFill="1">
      <alignment vertical="center"/>
    </xf>
    <xf numFmtId="0" fontId="32" fillId="76" borderId="0" xfId="0" applyFont="1" applyFill="1">
      <alignment vertical="center"/>
    </xf>
    <xf numFmtId="0" fontId="42" fillId="75" borderId="0" xfId="4927" applyFont="1" applyFill="1" applyAlignment="1">
      <alignment vertical="top"/>
    </xf>
    <xf numFmtId="0" fontId="42" fillId="15" borderId="0" xfId="4927" applyFont="1" applyFill="1" applyAlignment="1">
      <alignment vertical="top"/>
    </xf>
    <xf numFmtId="0" fontId="42" fillId="19" borderId="0" xfId="4927" applyFont="1" applyFill="1" applyAlignment="1">
      <alignment vertical="top"/>
    </xf>
    <xf numFmtId="0" fontId="42" fillId="21" borderId="0" xfId="4927" applyFont="1" applyFill="1" applyAlignment="1">
      <alignment vertical="top"/>
    </xf>
    <xf numFmtId="43" fontId="110" fillId="75" borderId="55" xfId="1" applyFont="1" applyFill="1" applyBorder="1" applyAlignment="1">
      <alignment horizontal="right" vertical="center"/>
    </xf>
    <xf numFmtId="10" fontId="110" fillId="75" borderId="55" xfId="2" applyNumberFormat="1" applyFont="1" applyFill="1" applyBorder="1" applyAlignment="1">
      <alignment horizontal="right" vertical="center"/>
    </xf>
    <xf numFmtId="186" fontId="104" fillId="75" borderId="55" xfId="1" applyNumberFormat="1" applyFont="1" applyFill="1" applyBorder="1" applyAlignment="1">
      <alignment horizontal="left" vertical="center"/>
    </xf>
    <xf numFmtId="186" fontId="104" fillId="0" borderId="55" xfId="1" applyNumberFormat="1" applyFont="1" applyFill="1" applyBorder="1" applyAlignment="1">
      <alignment horizontal="left" vertical="center"/>
    </xf>
    <xf numFmtId="10" fontId="104" fillId="75" borderId="55" xfId="2" applyNumberFormat="1" applyFont="1" applyFill="1" applyBorder="1" applyAlignment="1">
      <alignment horizontal="right" vertical="center"/>
    </xf>
    <xf numFmtId="10" fontId="104" fillId="0" borderId="55" xfId="2" applyNumberFormat="1" applyFont="1" applyFill="1" applyBorder="1" applyAlignment="1">
      <alignment horizontal="right" vertical="center"/>
    </xf>
    <xf numFmtId="10" fontId="101" fillId="14" borderId="55" xfId="2" applyNumberFormat="1" applyFont="1" applyFill="1" applyBorder="1" applyAlignment="1">
      <alignment horizontal="right" vertical="center"/>
    </xf>
    <xf numFmtId="10" fontId="101" fillId="0" borderId="55" xfId="2" applyNumberFormat="1" applyFont="1" applyFill="1" applyBorder="1" applyAlignment="1">
      <alignment horizontal="right" vertical="center"/>
    </xf>
    <xf numFmtId="10" fontId="101" fillId="0" borderId="55" xfId="2" applyNumberFormat="1" applyFont="1" applyFill="1" applyBorder="1" applyAlignment="1">
      <alignment horizontal="right" vertical="center" wrapText="1"/>
    </xf>
    <xf numFmtId="179" fontId="116" fillId="74" borderId="70" xfId="2" applyNumberFormat="1" applyFont="1" applyFill="1" applyBorder="1" applyAlignment="1">
      <alignment horizontal="right" vertical="center"/>
    </xf>
    <xf numFmtId="179" fontId="116" fillId="0" borderId="71" xfId="2" applyNumberFormat="1" applyFont="1" applyBorder="1" applyAlignment="1">
      <alignment horizontal="right" vertical="center"/>
    </xf>
    <xf numFmtId="179" fontId="115" fillId="75" borderId="55" xfId="2" applyNumberFormat="1" applyFont="1" applyFill="1" applyBorder="1" applyAlignment="1">
      <alignment horizontal="right" vertical="center"/>
    </xf>
    <xf numFmtId="0" fontId="0" fillId="0" borderId="0" xfId="0">
      <alignment vertical="center"/>
    </xf>
    <xf numFmtId="0" fontId="35" fillId="0" borderId="0" xfId="0" applyFont="1" applyFill="1" applyAlignment="1"/>
    <xf numFmtId="0" fontId="0" fillId="0" borderId="0" xfId="0">
      <alignment vertical="center"/>
    </xf>
    <xf numFmtId="49" fontId="100" fillId="12" borderId="51" xfId="0" applyNumberFormat="1" applyFont="1" applyFill="1" applyBorder="1" applyAlignment="1">
      <alignment horizontal="left" vertical="center"/>
    </xf>
    <xf numFmtId="0" fontId="92" fillId="11" borderId="0" xfId="0" applyFont="1" applyFill="1">
      <alignment vertical="center"/>
    </xf>
    <xf numFmtId="49" fontId="119" fillId="12" borderId="52" xfId="0" applyNumberFormat="1" applyFont="1" applyFill="1" applyBorder="1" applyAlignment="1">
      <alignment horizontal="left" vertical="center"/>
    </xf>
    <xf numFmtId="49" fontId="119" fillId="0" borderId="0" xfId="0" applyNumberFormat="1" applyFont="1" applyBorder="1" applyAlignment="1" applyProtection="1">
      <alignment horizontal="left" vertical="center" wrapText="1"/>
    </xf>
    <xf numFmtId="43" fontId="121" fillId="0" borderId="0" xfId="0" applyNumberFormat="1" applyFont="1">
      <alignment vertical="center"/>
    </xf>
    <xf numFmtId="0" fontId="118" fillId="0" borderId="0" xfId="0" applyFont="1">
      <alignment vertical="center"/>
    </xf>
    <xf numFmtId="10" fontId="120" fillId="14" borderId="55" xfId="2" applyNumberFormat="1" applyFont="1" applyFill="1" applyBorder="1" applyAlignment="1">
      <alignment horizontal="right" vertical="center"/>
    </xf>
    <xf numFmtId="0" fontId="123" fillId="0" borderId="0" xfId="0" applyFont="1">
      <alignment vertical="center"/>
    </xf>
    <xf numFmtId="10" fontId="122" fillId="14" borderId="55" xfId="2" applyNumberFormat="1" applyFont="1" applyFill="1" applyBorder="1" applyAlignment="1">
      <alignment horizontal="right" vertical="center"/>
    </xf>
    <xf numFmtId="0" fontId="104" fillId="0" borderId="55" xfId="4928" applyFont="1" applyFill="1" applyBorder="1" applyAlignment="1">
      <alignment horizontal="left" vertical="center"/>
    </xf>
    <xf numFmtId="0" fontId="117" fillId="77" borderId="0" xfId="0" applyFont="1" applyFill="1">
      <alignment vertical="center"/>
    </xf>
    <xf numFmtId="183" fontId="32" fillId="77" borderId="0" xfId="1" applyNumberFormat="1" applyFont="1" applyFill="1">
      <alignment vertical="center"/>
    </xf>
    <xf numFmtId="182" fontId="116" fillId="20" borderId="55" xfId="0" applyNumberFormat="1" applyFont="1" applyFill="1" applyBorder="1" applyAlignment="1">
      <alignment horizontal="right" vertical="center"/>
    </xf>
    <xf numFmtId="0" fontId="19" fillId="19" borderId="0" xfId="0" applyFont="1" applyFill="1">
      <alignment vertical="center"/>
    </xf>
    <xf numFmtId="43" fontId="18" fillId="19" borderId="0" xfId="1" applyFont="1" applyFill="1">
      <alignment vertical="center"/>
    </xf>
    <xf numFmtId="43" fontId="19" fillId="19" borderId="0" xfId="0" applyNumberFormat="1" applyFont="1" applyFill="1">
      <alignment vertical="center"/>
    </xf>
    <xf numFmtId="186" fontId="7" fillId="7" borderId="0" xfId="1" applyNumberFormat="1" applyFont="1" applyFill="1" applyBorder="1" applyAlignment="1">
      <alignment vertical="center" wrapText="1"/>
    </xf>
    <xf numFmtId="9" fontId="7" fillId="7" borderId="0" xfId="2" applyNumberFormat="1" applyFont="1" applyFill="1" applyBorder="1" applyAlignment="1">
      <alignment vertical="center" wrapText="1"/>
    </xf>
    <xf numFmtId="0" fontId="7" fillId="0" borderId="0" xfId="0" applyNumberFormat="1" applyFont="1" applyFill="1" applyBorder="1" applyAlignment="1">
      <alignment horizontal="left" vertical="center" indent="1"/>
    </xf>
    <xf numFmtId="178" fontId="7" fillId="0" borderId="0" xfId="1" applyNumberFormat="1" applyFont="1" applyFill="1" applyBorder="1" applyAlignment="1">
      <alignment vertical="center" wrapText="1"/>
    </xf>
    <xf numFmtId="183" fontId="7" fillId="0" borderId="4" xfId="1" applyNumberFormat="1" applyFont="1" applyFill="1" applyBorder="1" applyAlignment="1">
      <alignment vertical="center" wrapText="1"/>
    </xf>
    <xf numFmtId="1" fontId="5" fillId="0" borderId="0" xfId="1" applyNumberFormat="1" applyFont="1" applyFill="1">
      <alignment vertical="center"/>
    </xf>
    <xf numFmtId="9" fontId="5" fillId="0" borderId="0" xfId="0" applyNumberFormat="1" applyFont="1" applyFill="1">
      <alignment vertical="center"/>
    </xf>
    <xf numFmtId="179" fontId="5" fillId="0" borderId="0" xfId="0" applyNumberFormat="1" applyFont="1" applyFill="1">
      <alignment vertical="center"/>
    </xf>
    <xf numFmtId="10" fontId="5" fillId="0" borderId="0" xfId="0" applyNumberFormat="1" applyFont="1" applyFill="1">
      <alignment vertical="center"/>
    </xf>
    <xf numFmtId="184" fontId="5" fillId="0" borderId="0" xfId="1" applyNumberFormat="1" applyFont="1" applyFill="1">
      <alignment vertical="center"/>
    </xf>
    <xf numFmtId="0" fontId="124" fillId="7" borderId="0" xfId="0" applyNumberFormat="1" applyFont="1" applyFill="1" applyBorder="1" applyAlignment="1">
      <alignment horizontal="left" vertical="center" indent="1"/>
    </xf>
    <xf numFmtId="0" fontId="124" fillId="10" borderId="0" xfId="0" applyNumberFormat="1" applyFont="1" applyFill="1" applyBorder="1" applyAlignment="1">
      <alignment horizontal="left" vertical="center" indent="1"/>
    </xf>
    <xf numFmtId="0" fontId="93" fillId="17" borderId="0" xfId="0" applyFont="1" applyFill="1">
      <alignment vertical="center"/>
    </xf>
    <xf numFmtId="0" fontId="124" fillId="6" borderId="0" xfId="0" applyNumberFormat="1" applyFont="1" applyFill="1" applyBorder="1" applyAlignment="1">
      <alignment horizontal="left" vertical="center" indent="1"/>
    </xf>
    <xf numFmtId="10" fontId="7" fillId="6" borderId="0" xfId="2" applyNumberFormat="1" applyFont="1" applyFill="1" applyBorder="1" applyAlignment="1">
      <alignment vertical="center" wrapText="1"/>
    </xf>
    <xf numFmtId="178" fontId="11" fillId="6" borderId="0" xfId="0" applyNumberFormat="1" applyFont="1" applyFill="1" applyBorder="1" applyAlignment="1">
      <alignment vertical="center" wrapText="1"/>
    </xf>
    <xf numFmtId="183" fontId="7" fillId="6" borderId="4" xfId="1" applyNumberFormat="1" applyFont="1" applyFill="1" applyBorder="1" applyAlignment="1">
      <alignment vertical="center" wrapText="1"/>
    </xf>
    <xf numFmtId="183" fontId="7" fillId="7" borderId="4" xfId="1" applyNumberFormat="1" applyFont="1" applyFill="1" applyBorder="1" applyAlignment="1">
      <alignment vertical="center" wrapText="1"/>
    </xf>
    <xf numFmtId="49" fontId="100" fillId="24" borderId="51" xfId="0" applyNumberFormat="1" applyFont="1" applyFill="1" applyBorder="1" applyAlignment="1">
      <alignment horizontal="left" vertical="center"/>
    </xf>
    <xf numFmtId="43" fontId="37" fillId="0" borderId="0" xfId="1" applyFont="1" applyFill="1" applyBorder="1" applyAlignment="1" applyProtection="1">
      <protection locked="0"/>
    </xf>
    <xf numFmtId="0" fontId="18" fillId="0" borderId="0" xfId="0" applyFont="1" applyFill="1">
      <alignment vertical="center"/>
    </xf>
    <xf numFmtId="4" fontId="119" fillId="0" borderId="0" xfId="0" applyNumberFormat="1" applyFont="1" applyFill="1" applyBorder="1" applyAlignment="1" applyProtection="1">
      <alignment horizontal="right" vertical="center"/>
    </xf>
    <xf numFmtId="4" fontId="23" fillId="0" borderId="0" xfId="0" applyNumberFormat="1" applyFont="1" applyFill="1" applyBorder="1" applyAlignment="1" applyProtection="1">
      <alignment horizontal="right" vertical="center"/>
    </xf>
    <xf numFmtId="43" fontId="37" fillId="0" borderId="0" xfId="4704" applyFont="1" applyBorder="1" applyProtection="1">
      <protection locked="0"/>
    </xf>
    <xf numFmtId="49" fontId="119" fillId="0" borderId="52" xfId="0" applyNumberFormat="1" applyFont="1" applyFill="1" applyBorder="1" applyAlignment="1">
      <alignment horizontal="left" vertical="center"/>
    </xf>
    <xf numFmtId="43" fontId="37" fillId="0" borderId="0" xfId="4704" applyFont="1" applyFill="1" applyBorder="1" applyProtection="1">
      <protection locked="0"/>
    </xf>
    <xf numFmtId="0" fontId="126" fillId="23" borderId="46" xfId="0" applyFont="1" applyFill="1" applyBorder="1" applyAlignment="1">
      <alignment horizontal="center" vertical="center"/>
    </xf>
    <xf numFmtId="0" fontId="127" fillId="23" borderId="46" xfId="0" applyFont="1" applyFill="1" applyBorder="1" applyAlignment="1">
      <alignment horizontal="center" vertical="top"/>
    </xf>
    <xf numFmtId="0" fontId="127" fillId="23" borderId="47" xfId="0" applyFont="1" applyFill="1" applyBorder="1" applyAlignment="1">
      <alignment horizontal="center" vertical="top"/>
    </xf>
    <xf numFmtId="0" fontId="127" fillId="23" borderId="48" xfId="0" applyFont="1" applyFill="1" applyBorder="1" applyAlignment="1">
      <alignment horizontal="center" vertical="top"/>
    </xf>
    <xf numFmtId="4" fontId="133" fillId="20" borderId="46" xfId="0" applyNumberFormat="1" applyFont="1" applyFill="1" applyBorder="1" applyAlignment="1">
      <alignment horizontal="right" vertical="top" wrapText="1"/>
    </xf>
    <xf numFmtId="4" fontId="133" fillId="20" borderId="43" xfId="0" applyNumberFormat="1" applyFont="1" applyFill="1" applyBorder="1" applyAlignment="1">
      <alignment horizontal="right" vertical="top" wrapText="1"/>
    </xf>
    <xf numFmtId="0" fontId="32" fillId="0" borderId="0" xfId="0" applyFont="1" applyFill="1">
      <alignment vertical="center"/>
    </xf>
    <xf numFmtId="4" fontId="133" fillId="78" borderId="46" xfId="0" applyNumberFormat="1" applyFont="1" applyFill="1" applyBorder="1" applyAlignment="1">
      <alignment horizontal="right" vertical="top" wrapText="1"/>
    </xf>
    <xf numFmtId="0" fontId="32" fillId="78" borderId="0" xfId="0" applyFont="1" applyFill="1">
      <alignment vertical="center"/>
    </xf>
    <xf numFmtId="10" fontId="19" fillId="0" borderId="0" xfId="2" applyNumberFormat="1" applyFont="1" applyFill="1">
      <alignment vertical="center"/>
    </xf>
    <xf numFmtId="43" fontId="121" fillId="11" borderId="0" xfId="0" applyNumberFormat="1" applyFont="1" applyFill="1">
      <alignment vertical="center"/>
    </xf>
    <xf numFmtId="4" fontId="121" fillId="11" borderId="0" xfId="0" applyNumberFormat="1" applyFont="1" applyFill="1">
      <alignment vertical="center"/>
    </xf>
    <xf numFmtId="0" fontId="37" fillId="0" borderId="0" xfId="0" applyFont="1" applyFill="1" applyBorder="1" applyAlignment="1" applyProtection="1">
      <protection locked="0"/>
    </xf>
    <xf numFmtId="186" fontId="120" fillId="14" borderId="55" xfId="1" applyNumberFormat="1" applyFont="1" applyFill="1" applyBorder="1" applyAlignment="1">
      <alignment horizontal="right" vertical="center"/>
    </xf>
    <xf numFmtId="186" fontId="120" fillId="0" borderId="55" xfId="1" applyNumberFormat="1" applyFont="1" applyFill="1" applyBorder="1" applyAlignment="1">
      <alignment horizontal="right" vertical="center"/>
    </xf>
    <xf numFmtId="186" fontId="120" fillId="0" borderId="55" xfId="1" applyNumberFormat="1" applyFont="1" applyFill="1" applyBorder="1" applyAlignment="1">
      <alignment horizontal="right" vertical="center" wrapText="1"/>
    </xf>
    <xf numFmtId="186" fontId="104" fillId="0" borderId="55" xfId="1" applyNumberFormat="1" applyFont="1" applyFill="1" applyBorder="1" applyAlignment="1">
      <alignment horizontal="right" vertical="center"/>
    </xf>
    <xf numFmtId="186" fontId="122" fillId="14" borderId="55" xfId="1" applyNumberFormat="1" applyFont="1" applyFill="1" applyBorder="1" applyAlignment="1">
      <alignment horizontal="right" vertical="center"/>
    </xf>
    <xf numFmtId="0" fontId="0" fillId="0" borderId="0" xfId="0">
      <alignment vertical="center"/>
    </xf>
    <xf numFmtId="0" fontId="0" fillId="0" borderId="0" xfId="0">
      <alignment vertical="center"/>
    </xf>
    <xf numFmtId="0" fontId="0" fillId="0" borderId="0" xfId="0">
      <alignment vertical="center"/>
    </xf>
    <xf numFmtId="0" fontId="135" fillId="15" borderId="0" xfId="0" applyFont="1" applyFill="1">
      <alignment vertical="center"/>
    </xf>
    <xf numFmtId="4" fontId="19" fillId="0" borderId="0" xfId="0" applyNumberFormat="1" applyFont="1" applyFill="1">
      <alignment vertical="center"/>
    </xf>
    <xf numFmtId="0" fontId="0" fillId="0" borderId="0" xfId="0">
      <alignment vertical="center"/>
    </xf>
    <xf numFmtId="0" fontId="109" fillId="3" borderId="64" xfId="4928" applyFont="1" applyFill="1" applyBorder="1" applyAlignment="1">
      <alignment horizontal="center" vertical="center"/>
    </xf>
    <xf numFmtId="0" fontId="109" fillId="3" borderId="37" xfId="4928" applyFont="1" applyFill="1" applyBorder="1" applyAlignment="1">
      <alignment horizontal="center" vertical="center"/>
    </xf>
    <xf numFmtId="0" fontId="37" fillId="0" borderId="0" xfId="0" applyFont="1" applyAlignment="1"/>
    <xf numFmtId="0" fontId="35" fillId="0" borderId="0" xfId="0" applyFont="1" applyAlignment="1"/>
    <xf numFmtId="0" fontId="37" fillId="0" borderId="26" xfId="0" applyFont="1" applyBorder="1" applyAlignment="1" applyProtection="1">
      <alignment horizontal="left" vertical="center"/>
    </xf>
    <xf numFmtId="0" fontId="19" fillId="0" borderId="0" xfId="0" applyFont="1" applyAlignment="1"/>
    <xf numFmtId="0" fontId="0" fillId="0" borderId="0" xfId="0">
      <alignment vertical="center"/>
    </xf>
    <xf numFmtId="0" fontId="121" fillId="77" borderId="0" xfId="0" applyFont="1" applyFill="1">
      <alignment vertical="center"/>
    </xf>
    <xf numFmtId="0" fontId="35" fillId="77" borderId="0" xfId="0" applyFont="1" applyFill="1" applyBorder="1" applyAlignment="1" applyProtection="1">
      <protection locked="0"/>
    </xf>
    <xf numFmtId="0" fontId="109" fillId="3" borderId="67" xfId="4928" applyFont="1" applyFill="1" applyBorder="1" applyAlignment="1">
      <alignment horizontal="center" vertical="center"/>
    </xf>
    <xf numFmtId="0" fontId="32" fillId="80" borderId="0" xfId="0" applyFont="1" applyFill="1">
      <alignment vertical="center"/>
    </xf>
    <xf numFmtId="0" fontId="135" fillId="0" borderId="0" xfId="0" applyFont="1" applyFill="1">
      <alignment vertical="center"/>
    </xf>
    <xf numFmtId="4" fontId="99" fillId="20" borderId="22" xfId="0" applyNumberFormat="1" applyFont="1" applyFill="1" applyBorder="1" applyAlignment="1">
      <alignment horizontal="right" vertical="center" wrapText="1"/>
    </xf>
    <xf numFmtId="183" fontId="19" fillId="0" borderId="0" xfId="0" applyNumberFormat="1" applyFont="1" applyFill="1">
      <alignment vertical="center"/>
    </xf>
    <xf numFmtId="183" fontId="92" fillId="0" borderId="0" xfId="1" applyNumberFormat="1" applyFont="1" applyFill="1">
      <alignment vertical="center"/>
    </xf>
    <xf numFmtId="4" fontId="98" fillId="5" borderId="0" xfId="0" applyNumberFormat="1" applyFont="1" applyFill="1" applyBorder="1" applyAlignment="1" applyProtection="1">
      <alignment horizontal="right" vertical="center"/>
    </xf>
    <xf numFmtId="4" fontId="99" fillId="20" borderId="0" xfId="0" applyNumberFormat="1" applyFont="1" applyFill="1" applyBorder="1" applyAlignment="1">
      <alignment horizontal="right" vertical="center" wrapText="1"/>
    </xf>
    <xf numFmtId="4" fontId="102" fillId="15" borderId="26" xfId="0" applyNumberFormat="1" applyFont="1" applyFill="1" applyBorder="1" applyAlignment="1" applyProtection="1">
      <alignment horizontal="right" vertical="center"/>
    </xf>
    <xf numFmtId="4" fontId="18" fillId="6" borderId="22" xfId="0" applyNumberFormat="1" applyFont="1" applyFill="1" applyBorder="1" applyAlignment="1">
      <alignment horizontal="right" vertical="center" wrapText="1"/>
    </xf>
    <xf numFmtId="43" fontId="18" fillId="79" borderId="0" xfId="1" applyFont="1" applyFill="1">
      <alignment vertical="center"/>
    </xf>
    <xf numFmtId="0" fontId="0" fillId="0" borderId="0" xfId="0">
      <alignment vertical="center"/>
    </xf>
    <xf numFmtId="0" fontId="101" fillId="22" borderId="55" xfId="0" applyFont="1" applyFill="1" applyBorder="1" applyAlignment="1">
      <alignment horizontal="left" vertical="center"/>
    </xf>
    <xf numFmtId="186" fontId="120" fillId="22" borderId="55" xfId="1" applyNumberFormat="1" applyFont="1" applyFill="1" applyBorder="1" applyAlignment="1">
      <alignment horizontal="right" vertical="center"/>
    </xf>
    <xf numFmtId="0" fontId="118" fillId="22" borderId="0" xfId="0" applyFont="1" applyFill="1">
      <alignment vertical="center"/>
    </xf>
    <xf numFmtId="10" fontId="101" fillId="22" borderId="55" xfId="2" applyNumberFormat="1" applyFont="1" applyFill="1" applyBorder="1" applyAlignment="1">
      <alignment horizontal="right" vertical="center"/>
    </xf>
    <xf numFmtId="0" fontId="0" fillId="22" borderId="0" xfId="0" applyFill="1">
      <alignment vertical="center"/>
    </xf>
    <xf numFmtId="0" fontId="32" fillId="81" borderId="0" xfId="0" applyFont="1" applyFill="1">
      <alignment vertical="center"/>
    </xf>
    <xf numFmtId="0" fontId="32" fillId="11" borderId="0" xfId="0" applyFont="1" applyFill="1">
      <alignment vertical="center"/>
    </xf>
    <xf numFmtId="181" fontId="42" fillId="0" borderId="0" xfId="4927" applyNumberFormat="1" applyFont="1" applyAlignment="1">
      <alignment vertical="top"/>
    </xf>
    <xf numFmtId="181" fontId="37" fillId="15" borderId="0" xfId="1" applyNumberFormat="1" applyFont="1" applyFill="1" applyAlignment="1">
      <alignment vertical="top"/>
    </xf>
    <xf numFmtId="181" fontId="42" fillId="0" borderId="0" xfId="0" applyNumberFormat="1" applyFont="1" applyAlignment="1">
      <alignment vertical="top"/>
    </xf>
    <xf numFmtId="181" fontId="42" fillId="0" borderId="0" xfId="0" applyNumberFormat="1" applyFont="1" applyAlignment="1">
      <alignment horizontal="left" vertical="top"/>
    </xf>
    <xf numFmtId="180" fontId="42" fillId="0" borderId="0" xfId="1" applyNumberFormat="1" applyFont="1" applyAlignment="1">
      <alignment vertical="top"/>
    </xf>
    <xf numFmtId="180" fontId="42" fillId="15" borderId="0" xfId="1" applyNumberFormat="1" applyFont="1" applyFill="1" applyAlignment="1">
      <alignment vertical="top"/>
    </xf>
    <xf numFmtId="181" fontId="42" fillId="0" borderId="0" xfId="1" applyNumberFormat="1" applyFont="1" applyAlignment="1">
      <alignment vertical="top"/>
    </xf>
    <xf numFmtId="0" fontId="32" fillId="16" borderId="0" xfId="0" applyFont="1" applyFill="1">
      <alignment vertical="center"/>
    </xf>
    <xf numFmtId="4" fontId="133" fillId="79" borderId="46" xfId="0" applyNumberFormat="1" applyFont="1" applyFill="1" applyBorder="1" applyAlignment="1">
      <alignment horizontal="right" vertical="top" wrapText="1"/>
    </xf>
    <xf numFmtId="0" fontId="32" fillId="79" borderId="0" xfId="0" applyFont="1" applyFill="1">
      <alignment vertical="center"/>
    </xf>
    <xf numFmtId="4" fontId="32" fillId="0" borderId="0" xfId="0" applyNumberFormat="1" applyFont="1">
      <alignment vertical="center"/>
    </xf>
    <xf numFmtId="0" fontId="0" fillId="0" borderId="0" xfId="0" applyAlignment="1">
      <alignment horizontal="right" vertical="center" wrapText="1"/>
    </xf>
    <xf numFmtId="0" fontId="0" fillId="0" borderId="0" xfId="0" applyAlignment="1">
      <alignment horizontal="center" vertical="center" wrapText="1"/>
    </xf>
    <xf numFmtId="0" fontId="138" fillId="0" borderId="0" xfId="0" applyFont="1">
      <alignment vertical="center"/>
    </xf>
    <xf numFmtId="0" fontId="138" fillId="0" borderId="0" xfId="0" applyFont="1" applyAlignment="1">
      <alignment horizontal="center" vertical="center"/>
    </xf>
    <xf numFmtId="43" fontId="38" fillId="0" borderId="0" xfId="0" applyNumberFormat="1" applyFont="1">
      <alignment vertical="center"/>
    </xf>
    <xf numFmtId="0" fontId="19" fillId="0" borderId="22" xfId="0" applyFont="1" applyFill="1" applyBorder="1" applyAlignment="1">
      <alignment horizontal="left" vertical="center"/>
    </xf>
    <xf numFmtId="4" fontId="98" fillId="0" borderId="0" xfId="0" applyNumberFormat="1" applyFont="1" applyFill="1" applyBorder="1" applyAlignment="1" applyProtection="1">
      <alignment horizontal="right" vertical="center"/>
    </xf>
    <xf numFmtId="0" fontId="19" fillId="0" borderId="0" xfId="0" applyFont="1" applyFill="1" applyBorder="1" applyAlignment="1">
      <alignment horizontal="center" vertical="center"/>
    </xf>
    <xf numFmtId="4" fontId="128" fillId="0" borderId="0" xfId="0" applyNumberFormat="1" applyFont="1" applyFill="1" applyBorder="1" applyAlignment="1" applyProtection="1">
      <alignment horizontal="right" vertical="center"/>
    </xf>
    <xf numFmtId="0" fontId="139" fillId="0" borderId="0" xfId="4927" applyFont="1" applyAlignment="1">
      <alignment horizontal="center" vertical="center"/>
    </xf>
    <xf numFmtId="0" fontId="42" fillId="82" borderId="0" xfId="4927" applyFont="1" applyFill="1" applyAlignment="1">
      <alignment vertical="top"/>
    </xf>
    <xf numFmtId="0" fontId="101" fillId="0" borderId="55" xfId="4928" applyFont="1" applyFill="1" applyBorder="1" applyAlignment="1">
      <alignment horizontal="left" vertical="center"/>
    </xf>
    <xf numFmtId="57" fontId="17" fillId="0" borderId="0" xfId="0" applyNumberFormat="1" applyFont="1" applyFill="1" applyAlignment="1"/>
    <xf numFmtId="4" fontId="19" fillId="0" borderId="0" xfId="0" applyNumberFormat="1" applyFont="1" applyFill="1" applyAlignment="1"/>
    <xf numFmtId="4" fontId="136" fillId="0" borderId="26" xfId="0" applyNumberFormat="1" applyFont="1" applyFill="1" applyBorder="1" applyAlignment="1" applyProtection="1">
      <alignment horizontal="right" vertical="center"/>
    </xf>
    <xf numFmtId="200" fontId="19" fillId="0" borderId="0" xfId="0" applyNumberFormat="1" applyFont="1" applyFill="1">
      <alignment vertical="center"/>
    </xf>
    <xf numFmtId="57" fontId="19" fillId="0" borderId="0" xfId="0" applyNumberFormat="1" applyFont="1" applyFill="1" applyAlignment="1"/>
    <xf numFmtId="0" fontId="0" fillId="0" borderId="0" xfId="0">
      <alignment vertical="center"/>
    </xf>
    <xf numFmtId="200" fontId="32" fillId="0" borderId="0" xfId="0" applyNumberFormat="1" applyFont="1">
      <alignment vertical="center"/>
    </xf>
    <xf numFmtId="0" fontId="124" fillId="18" borderId="0" xfId="0" applyNumberFormat="1" applyFont="1" applyFill="1" applyBorder="1" applyAlignment="1">
      <alignment horizontal="left" vertical="center" indent="1"/>
    </xf>
    <xf numFmtId="0" fontId="17" fillId="15" borderId="0" xfId="0" applyFont="1" applyFill="1">
      <alignment vertical="center"/>
    </xf>
    <xf numFmtId="0" fontId="140" fillId="71" borderId="38" xfId="0" applyFont="1" applyFill="1" applyBorder="1" applyAlignment="1">
      <alignment horizontal="center" vertical="center" wrapText="1"/>
    </xf>
    <xf numFmtId="0" fontId="19" fillId="0" borderId="22" xfId="0" applyFont="1" applyFill="1" applyBorder="1" applyAlignment="1">
      <alignment horizontal="center" vertical="center"/>
    </xf>
    <xf numFmtId="49" fontId="141" fillId="0" borderId="0" xfId="0" applyNumberFormat="1" applyFont="1" applyBorder="1" applyAlignment="1" applyProtection="1">
      <alignment horizontal="right" vertical="center"/>
    </xf>
    <xf numFmtId="49" fontId="141" fillId="0" borderId="0" xfId="0" applyNumberFormat="1" applyFont="1" applyBorder="1" applyAlignment="1" applyProtection="1">
      <alignment horizontal="left" vertical="center"/>
    </xf>
    <xf numFmtId="49" fontId="141" fillId="0" borderId="26" xfId="0" applyNumberFormat="1" applyFont="1" applyBorder="1" applyAlignment="1" applyProtection="1">
      <alignment horizontal="center" vertical="center"/>
    </xf>
    <xf numFmtId="0" fontId="142" fillId="0" borderId="26" xfId="0" applyFont="1" applyBorder="1" applyAlignment="1" applyProtection="1">
      <alignment horizontal="center" vertical="center"/>
    </xf>
    <xf numFmtId="0" fontId="141" fillId="0" borderId="26" xfId="0" applyFont="1" applyBorder="1" applyAlignment="1" applyProtection="1">
      <alignment horizontal="left" vertical="center"/>
    </xf>
    <xf numFmtId="0" fontId="34" fillId="0" borderId="26" xfId="0" applyFont="1" applyBorder="1" applyAlignment="1" applyProtection="1">
      <alignment horizontal="right" vertical="center"/>
    </xf>
    <xf numFmtId="0" fontId="141" fillId="0" borderId="26" xfId="0" applyFont="1" applyBorder="1" applyAlignment="1" applyProtection="1">
      <alignment horizontal="right" vertical="center"/>
    </xf>
    <xf numFmtId="49" fontId="141" fillId="0" borderId="26" xfId="0" applyNumberFormat="1" applyFont="1" applyBorder="1" applyAlignment="1" applyProtection="1">
      <alignment horizontal="left" vertical="center"/>
    </xf>
    <xf numFmtId="0" fontId="142" fillId="0" borderId="75" xfId="0" applyFont="1" applyBorder="1" applyAlignment="1" applyProtection="1">
      <alignment horizontal="center" vertical="center"/>
    </xf>
    <xf numFmtId="0" fontId="143" fillId="0" borderId="0" xfId="0" applyFont="1" applyAlignment="1">
      <alignment horizontal="center" vertical="center" wrapText="1"/>
    </xf>
    <xf numFmtId="0" fontId="144" fillId="0" borderId="0" xfId="0" applyFont="1" applyAlignment="1">
      <alignment horizontal="left" vertical="center" wrapText="1"/>
    </xf>
    <xf numFmtId="17" fontId="144" fillId="0" borderId="0" xfId="0" applyNumberFormat="1" applyFont="1" applyAlignment="1">
      <alignment horizontal="center" vertical="center" wrapText="1"/>
    </xf>
    <xf numFmtId="0" fontId="144" fillId="0" borderId="0" xfId="0" applyFont="1" applyAlignment="1">
      <alignment horizontal="right" vertical="center" wrapText="1"/>
    </xf>
    <xf numFmtId="0" fontId="145" fillId="26" borderId="22" xfId="0" applyFont="1" applyFill="1" applyBorder="1" applyAlignment="1">
      <alignment horizontal="center" vertical="center" wrapText="1"/>
    </xf>
    <xf numFmtId="0" fontId="146" fillId="20" borderId="22" xfId="0" applyFont="1" applyFill="1" applyBorder="1" applyAlignment="1">
      <alignment horizontal="left" vertical="center" wrapText="1"/>
    </xf>
    <xf numFmtId="4" fontId="146" fillId="20" borderId="22" xfId="0" applyNumberFormat="1" applyFont="1" applyFill="1" applyBorder="1" applyAlignment="1">
      <alignment horizontal="right" vertical="center" wrapText="1"/>
    </xf>
    <xf numFmtId="0" fontId="146" fillId="20" borderId="22" xfId="0" applyFont="1" applyFill="1" applyBorder="1" applyAlignment="1">
      <alignment horizontal="right" vertical="center" wrapText="1"/>
    </xf>
    <xf numFmtId="17" fontId="147" fillId="0" borderId="0" xfId="0" applyNumberFormat="1" applyFont="1" applyAlignment="1">
      <alignment horizontal="center" vertical="center" wrapText="1"/>
    </xf>
    <xf numFmtId="0" fontId="148" fillId="20" borderId="22" xfId="0" applyFont="1" applyFill="1" applyBorder="1" applyAlignment="1">
      <alignment horizontal="left" vertical="center" wrapText="1"/>
    </xf>
    <xf numFmtId="0" fontId="42" fillId="0" borderId="0" xfId="0" applyNumberFormat="1" applyFont="1" applyAlignment="1">
      <alignment horizontal="left" vertical="top"/>
    </xf>
    <xf numFmtId="49" fontId="133" fillId="20" borderId="46" xfId="0" applyNumberFormat="1" applyFont="1" applyFill="1" applyBorder="1" applyAlignment="1">
      <alignment horizontal="left" vertical="center" indent="1"/>
    </xf>
    <xf numFmtId="4" fontId="133" fillId="20" borderId="46" xfId="0" applyNumberFormat="1" applyFont="1" applyFill="1" applyBorder="1" applyAlignment="1">
      <alignment horizontal="left" vertical="top" indent="1"/>
    </xf>
    <xf numFmtId="4" fontId="133" fillId="20" borderId="46" xfId="0" applyNumberFormat="1" applyFont="1" applyFill="1" applyBorder="1" applyAlignment="1">
      <alignment horizontal="right" vertical="top" indent="1"/>
    </xf>
    <xf numFmtId="4" fontId="133" fillId="20" borderId="48" xfId="0" applyNumberFormat="1" applyFont="1" applyFill="1" applyBorder="1" applyAlignment="1">
      <alignment horizontal="right" vertical="top" indent="1"/>
    </xf>
    <xf numFmtId="49" fontId="133" fillId="20" borderId="43" xfId="0" applyNumberFormat="1" applyFont="1" applyFill="1" applyBorder="1" applyAlignment="1">
      <alignment horizontal="left" vertical="center" indent="1"/>
    </xf>
    <xf numFmtId="4" fontId="133" fillId="20" borderId="43" xfId="0" applyNumberFormat="1" applyFont="1" applyFill="1" applyBorder="1" applyAlignment="1">
      <alignment horizontal="left" vertical="top" indent="1"/>
    </xf>
    <xf numFmtId="4" fontId="133" fillId="20" borderId="43" xfId="0" applyNumberFormat="1" applyFont="1" applyFill="1" applyBorder="1" applyAlignment="1">
      <alignment horizontal="right" vertical="top" indent="1"/>
    </xf>
    <xf numFmtId="4" fontId="133" fillId="20" borderId="47" xfId="0" applyNumberFormat="1" applyFont="1" applyFill="1" applyBorder="1" applyAlignment="1">
      <alignment horizontal="right" vertical="top" indent="1"/>
    </xf>
    <xf numFmtId="49" fontId="133" fillId="78" borderId="46" xfId="0" applyNumberFormat="1" applyFont="1" applyFill="1" applyBorder="1" applyAlignment="1">
      <alignment horizontal="left" vertical="center" indent="1"/>
    </xf>
    <xf numFmtId="4" fontId="133" fillId="78" borderId="46" xfId="0" applyNumberFormat="1" applyFont="1" applyFill="1" applyBorder="1" applyAlignment="1">
      <alignment horizontal="left" vertical="top" indent="1"/>
    </xf>
    <xf numFmtId="4" fontId="133" fillId="78" borderId="46" xfId="0" applyNumberFormat="1" applyFont="1" applyFill="1" applyBorder="1" applyAlignment="1">
      <alignment horizontal="right" vertical="top" indent="1"/>
    </xf>
    <xf numFmtId="4" fontId="133" fillId="78" borderId="48" xfId="0" applyNumberFormat="1" applyFont="1" applyFill="1" applyBorder="1" applyAlignment="1">
      <alignment horizontal="right" vertical="top" indent="1"/>
    </xf>
    <xf numFmtId="49" fontId="133" fillId="79" borderId="46" xfId="0" applyNumberFormat="1" applyFont="1" applyFill="1" applyBorder="1" applyAlignment="1">
      <alignment horizontal="left" vertical="center" indent="1"/>
    </xf>
    <xf numFmtId="4" fontId="133" fillId="79" borderId="46" xfId="0" applyNumberFormat="1" applyFont="1" applyFill="1" applyBorder="1" applyAlignment="1">
      <alignment horizontal="left" vertical="top" indent="1"/>
    </xf>
    <xf numFmtId="4" fontId="133" fillId="79" borderId="46" xfId="0" applyNumberFormat="1" applyFont="1" applyFill="1" applyBorder="1" applyAlignment="1">
      <alignment horizontal="right" vertical="top" indent="1"/>
    </xf>
    <xf numFmtId="4" fontId="133" fillId="79" borderId="48" xfId="0" applyNumberFormat="1" applyFont="1" applyFill="1" applyBorder="1" applyAlignment="1">
      <alignment horizontal="right" vertical="top" indent="1"/>
    </xf>
    <xf numFmtId="0" fontId="0" fillId="0" borderId="0" xfId="0">
      <alignment vertical="center"/>
    </xf>
    <xf numFmtId="0" fontId="32" fillId="83" borderId="0" xfId="0" applyFont="1" applyFill="1">
      <alignment vertical="center"/>
    </xf>
    <xf numFmtId="43" fontId="39" fillId="0" borderId="0" xfId="1" applyFont="1" applyAlignment="1">
      <alignment horizontal="center" vertical="center"/>
    </xf>
    <xf numFmtId="0" fontId="39" fillId="0" borderId="0" xfId="0" applyFont="1" applyAlignment="1">
      <alignment horizontal="center" vertical="center"/>
    </xf>
    <xf numFmtId="14" fontId="42" fillId="0" borderId="0" xfId="4220" applyNumberFormat="1"/>
    <xf numFmtId="10" fontId="19" fillId="15" borderId="0" xfId="2" applyNumberFormat="1" applyFont="1" applyFill="1">
      <alignment vertical="center"/>
    </xf>
    <xf numFmtId="10" fontId="109" fillId="3" borderId="67" xfId="4928" applyNumberFormat="1" applyFont="1" applyFill="1" applyBorder="1" applyAlignment="1">
      <alignment horizontal="center" vertical="center"/>
    </xf>
    <xf numFmtId="10" fontId="120" fillId="14" borderId="55" xfId="1" applyNumberFormat="1" applyFont="1" applyFill="1" applyBorder="1" applyAlignment="1">
      <alignment horizontal="right" vertical="center"/>
    </xf>
    <xf numFmtId="10" fontId="104" fillId="0" borderId="55" xfId="1" applyNumberFormat="1" applyFont="1" applyFill="1" applyBorder="1" applyAlignment="1">
      <alignment horizontal="right" vertical="center"/>
    </xf>
    <xf numFmtId="10" fontId="122" fillId="14" borderId="55" xfId="1" applyNumberFormat="1" applyFont="1" applyFill="1" applyBorder="1" applyAlignment="1">
      <alignment horizontal="right" vertical="center"/>
    </xf>
    <xf numFmtId="10" fontId="104" fillId="75" borderId="55" xfId="1" applyNumberFormat="1" applyFont="1" applyFill="1" applyBorder="1" applyAlignment="1">
      <alignment horizontal="right" vertical="center"/>
    </xf>
    <xf numFmtId="10" fontId="0" fillId="0" borderId="0" xfId="0" applyNumberFormat="1" applyAlignment="1">
      <alignment horizontal="right" vertical="center"/>
    </xf>
    <xf numFmtId="10" fontId="120" fillId="0" borderId="55" xfId="1" applyNumberFormat="1" applyFont="1" applyFill="1" applyBorder="1" applyAlignment="1">
      <alignment horizontal="right" vertical="center" wrapText="1"/>
    </xf>
    <xf numFmtId="10" fontId="120" fillId="0" borderId="55" xfId="1" applyNumberFormat="1" applyFont="1" applyFill="1" applyBorder="1" applyAlignment="1">
      <alignment horizontal="right" vertical="center"/>
    </xf>
    <xf numFmtId="10" fontId="120" fillId="22" borderId="55" xfId="1" applyNumberFormat="1" applyFont="1" applyFill="1" applyBorder="1" applyAlignment="1">
      <alignment horizontal="right" vertical="center"/>
    </xf>
    <xf numFmtId="178" fontId="7" fillId="6" borderId="0" xfId="1" applyNumberFormat="1" applyFont="1" applyFill="1" applyBorder="1" applyAlignment="1">
      <alignment vertical="center" wrapText="1"/>
    </xf>
    <xf numFmtId="178" fontId="7" fillId="2" borderId="0" xfId="1" applyNumberFormat="1" applyFont="1" applyFill="1" applyBorder="1" applyAlignment="1">
      <alignment vertical="center" wrapText="1"/>
    </xf>
    <xf numFmtId="178" fontId="7" fillId="12" borderId="0" xfId="1" applyNumberFormat="1" applyFont="1" applyFill="1" applyBorder="1" applyAlignment="1">
      <alignment vertical="center" wrapText="1"/>
    </xf>
    <xf numFmtId="178" fontId="7" fillId="5" borderId="0" xfId="1" applyNumberFormat="1" applyFont="1" applyFill="1" applyBorder="1" applyAlignment="1">
      <alignment vertical="center" wrapText="1"/>
    </xf>
    <xf numFmtId="178" fontId="7" fillId="19" borderId="0" xfId="1" applyNumberFormat="1" applyFont="1" applyFill="1" applyBorder="1" applyAlignment="1">
      <alignment vertical="center" wrapText="1"/>
    </xf>
    <xf numFmtId="178" fontId="7" fillId="21" borderId="0" xfId="1" applyNumberFormat="1" applyFont="1" applyFill="1" applyBorder="1" applyAlignment="1">
      <alignment vertical="center" wrapText="1"/>
    </xf>
    <xf numFmtId="178" fontId="7" fillId="18" borderId="0" xfId="1" applyNumberFormat="1" applyFont="1" applyFill="1" applyBorder="1" applyAlignment="1">
      <alignment vertical="center" wrapText="1"/>
    </xf>
    <xf numFmtId="178" fontId="7" fillId="11" borderId="4" xfId="1" applyNumberFormat="1" applyFont="1" applyFill="1" applyBorder="1" applyAlignment="1">
      <alignment vertical="center" wrapText="1"/>
    </xf>
    <xf numFmtId="0" fontId="35" fillId="0" borderId="0" xfId="4220" applyFont="1" applyAlignment="1">
      <alignment horizontal="right"/>
    </xf>
    <xf numFmtId="176" fontId="13" fillId="6" borderId="0" xfId="0" applyNumberFormat="1" applyFont="1" applyFill="1" applyBorder="1" applyAlignment="1">
      <alignment vertical="center" wrapText="1"/>
    </xf>
    <xf numFmtId="176" fontId="7" fillId="7" borderId="0" xfId="0" applyNumberFormat="1" applyFont="1" applyFill="1" applyBorder="1" applyAlignment="1">
      <alignment vertical="center" wrapText="1"/>
    </xf>
    <xf numFmtId="176" fontId="13" fillId="2" borderId="0" xfId="0" applyNumberFormat="1" applyFont="1" applyFill="1" applyBorder="1" applyAlignment="1">
      <alignment vertical="center" wrapText="1"/>
    </xf>
    <xf numFmtId="176" fontId="7" fillId="10" borderId="0" xfId="0" applyNumberFormat="1" applyFont="1" applyFill="1" applyBorder="1" applyAlignment="1">
      <alignment vertical="center" wrapText="1"/>
    </xf>
    <xf numFmtId="43" fontId="7" fillId="8" borderId="4" xfId="1" applyFont="1" applyFill="1" applyBorder="1" applyAlignment="1">
      <alignment vertical="center" wrapText="1"/>
    </xf>
    <xf numFmtId="43" fontId="13" fillId="6" borderId="0" xfId="1" applyFont="1" applyFill="1" applyBorder="1" applyAlignment="1">
      <alignment vertical="center" wrapText="1"/>
    </xf>
    <xf numFmtId="43" fontId="7" fillId="7" borderId="0" xfId="1" applyFont="1" applyFill="1" applyBorder="1" applyAlignment="1">
      <alignment vertical="center" wrapText="1"/>
    </xf>
    <xf numFmtId="43" fontId="13" fillId="2" borderId="0" xfId="1" applyFont="1" applyFill="1" applyBorder="1" applyAlignment="1">
      <alignment vertical="center" wrapText="1"/>
    </xf>
    <xf numFmtId="43" fontId="13" fillId="0" borderId="0" xfId="1" applyFont="1" applyFill="1" applyBorder="1" applyAlignment="1">
      <alignment vertical="center" wrapText="1"/>
    </xf>
    <xf numFmtId="43" fontId="7" fillId="10" borderId="0" xfId="1" applyFont="1" applyFill="1" applyBorder="1" applyAlignment="1">
      <alignment vertical="center" wrapText="1"/>
    </xf>
    <xf numFmtId="43" fontId="11" fillId="2" borderId="0" xfId="1" applyFont="1" applyFill="1" applyBorder="1" applyAlignment="1">
      <alignment vertical="center" wrapText="1"/>
    </xf>
    <xf numFmtId="43" fontId="7" fillId="12" borderId="0" xfId="1" applyFont="1" applyFill="1" applyBorder="1" applyAlignment="1">
      <alignment vertical="center" wrapText="1"/>
    </xf>
    <xf numFmtId="43" fontId="7" fillId="5" borderId="0" xfId="1" applyFont="1" applyFill="1" applyBorder="1" applyAlignment="1">
      <alignment vertical="center" wrapText="1"/>
    </xf>
    <xf numFmtId="43" fontId="20" fillId="19" borderId="0" xfId="1" applyFont="1" applyFill="1" applyBorder="1" applyAlignment="1">
      <alignment vertical="center" wrapText="1"/>
    </xf>
    <xf numFmtId="43" fontId="13" fillId="22" borderId="0" xfId="1" applyFont="1" applyFill="1" applyBorder="1" applyAlignment="1">
      <alignment vertical="center" wrapText="1"/>
    </xf>
    <xf numFmtId="43" fontId="13" fillId="21" borderId="0" xfId="1" applyFont="1" applyFill="1" applyBorder="1" applyAlignment="1">
      <alignment vertical="center" wrapText="1"/>
    </xf>
    <xf numFmtId="43" fontId="20" fillId="18" borderId="0" xfId="1" applyFont="1" applyFill="1" applyBorder="1" applyAlignment="1">
      <alignment vertical="center" wrapText="1"/>
    </xf>
    <xf numFmtId="43" fontId="7" fillId="11" borderId="4" xfId="1" applyFont="1" applyFill="1" applyBorder="1" applyAlignment="1">
      <alignment vertical="center" wrapText="1"/>
    </xf>
    <xf numFmtId="43" fontId="19" fillId="0" borderId="0" xfId="1" applyFont="1" applyFill="1">
      <alignment vertical="center"/>
    </xf>
    <xf numFmtId="181" fontId="35" fillId="0" borderId="0" xfId="4927" applyNumberFormat="1" applyFont="1" applyAlignment="1">
      <alignment vertical="top"/>
    </xf>
    <xf numFmtId="0" fontId="0" fillId="0" borderId="0" xfId="0">
      <alignment vertical="center"/>
    </xf>
    <xf numFmtId="10" fontId="19" fillId="0" borderId="0" xfId="0" applyNumberFormat="1" applyFont="1">
      <alignment vertical="center"/>
    </xf>
    <xf numFmtId="4" fontId="32" fillId="83" borderId="0" xfId="0" applyNumberFormat="1" applyFont="1" applyFill="1">
      <alignment vertical="center"/>
    </xf>
    <xf numFmtId="200" fontId="32" fillId="83" borderId="0" xfId="0" applyNumberFormat="1" applyFont="1" applyFill="1">
      <alignment vertical="center"/>
    </xf>
    <xf numFmtId="49" fontId="133" fillId="80" borderId="46" xfId="0" applyNumberFormat="1" applyFont="1" applyFill="1" applyBorder="1" applyAlignment="1">
      <alignment horizontal="left" vertical="center" indent="1"/>
    </xf>
    <xf numFmtId="4" fontId="133" fillId="80" borderId="46" xfId="0" applyNumberFormat="1" applyFont="1" applyFill="1" applyBorder="1" applyAlignment="1">
      <alignment horizontal="left" vertical="top" indent="1"/>
    </xf>
    <xf numFmtId="4" fontId="133" fillId="80" borderId="46" xfId="0" applyNumberFormat="1" applyFont="1" applyFill="1" applyBorder="1" applyAlignment="1">
      <alignment horizontal="right" vertical="top" indent="1"/>
    </xf>
    <xf numFmtId="4" fontId="133" fillId="80" borderId="46" xfId="0" applyNumberFormat="1" applyFont="1" applyFill="1" applyBorder="1" applyAlignment="1">
      <alignment horizontal="right" vertical="top" wrapText="1"/>
    </xf>
    <xf numFmtId="4" fontId="133" fillId="80" borderId="48" xfId="0" applyNumberFormat="1" applyFont="1" applyFill="1" applyBorder="1" applyAlignment="1">
      <alignment horizontal="right" vertical="top" indent="1"/>
    </xf>
    <xf numFmtId="0" fontId="32" fillId="84" borderId="0" xfId="0" applyFont="1" applyFill="1">
      <alignment vertical="center"/>
    </xf>
    <xf numFmtId="0" fontId="35" fillId="0" borderId="0" xfId="0" applyFont="1" applyFill="1" applyAlignment="1" applyProtection="1">
      <protection locked="0"/>
    </xf>
    <xf numFmtId="0" fontId="0" fillId="0" borderId="0" xfId="0">
      <alignment vertical="center"/>
    </xf>
    <xf numFmtId="0" fontId="149" fillId="0" borderId="0" xfId="0" applyFont="1" applyAlignment="1">
      <alignment horizontal="center" vertical="center" wrapText="1"/>
    </xf>
    <xf numFmtId="0" fontId="30" fillId="0" borderId="0" xfId="0" applyFont="1" applyAlignment="1">
      <alignment horizontal="left" vertical="center" wrapText="1"/>
    </xf>
    <xf numFmtId="31" fontId="30" fillId="0" borderId="0" xfId="0" applyNumberFormat="1" applyFont="1" applyAlignment="1">
      <alignment horizontal="center" vertical="center" wrapText="1"/>
    </xf>
    <xf numFmtId="0" fontId="30" fillId="0" borderId="0" xfId="0" applyFont="1" applyAlignment="1">
      <alignment horizontal="right" vertical="center" wrapText="1"/>
    </xf>
    <xf numFmtId="0" fontId="29" fillId="26" borderId="22" xfId="0" applyFont="1" applyFill="1" applyBorder="1" applyAlignment="1">
      <alignment horizontal="center" vertical="center" wrapText="1"/>
    </xf>
    <xf numFmtId="0" fontId="18" fillId="20" borderId="22" xfId="0" applyFont="1" applyFill="1" applyBorder="1" applyAlignment="1">
      <alignment horizontal="left" vertical="center" wrapText="1"/>
    </xf>
    <xf numFmtId="4" fontId="18" fillId="20" borderId="22" xfId="0" applyNumberFormat="1" applyFont="1" applyFill="1" applyBorder="1" applyAlignment="1">
      <alignment horizontal="right" vertical="center" wrapText="1"/>
    </xf>
    <xf numFmtId="0" fontId="18" fillId="20" borderId="22" xfId="0" applyFont="1" applyFill="1" applyBorder="1" applyAlignment="1">
      <alignment horizontal="right" vertical="center" wrapText="1"/>
    </xf>
    <xf numFmtId="0" fontId="18" fillId="15" borderId="22" xfId="0" applyFont="1" applyFill="1" applyBorder="1" applyAlignment="1">
      <alignment horizontal="left" vertical="center" wrapText="1"/>
    </xf>
    <xf numFmtId="4" fontId="18" fillId="15" borderId="22" xfId="0" applyNumberFormat="1" applyFont="1" applyFill="1" applyBorder="1" applyAlignment="1">
      <alignment horizontal="right" vertical="center" wrapText="1"/>
    </xf>
    <xf numFmtId="0" fontId="18" fillId="15" borderId="22" xfId="0" applyFont="1" applyFill="1" applyBorder="1" applyAlignment="1">
      <alignment horizontal="right" vertical="center" wrapText="1"/>
    </xf>
    <xf numFmtId="31" fontId="150" fillId="0" borderId="0" xfId="0" applyNumberFormat="1" applyFont="1" applyAlignment="1">
      <alignment horizontal="center" vertical="center" wrapText="1"/>
    </xf>
    <xf numFmtId="0" fontId="17" fillId="20" borderId="22" xfId="0" applyFont="1" applyFill="1" applyBorder="1" applyAlignment="1">
      <alignment horizontal="left" vertical="center" wrapText="1"/>
    </xf>
    <xf numFmtId="0" fontId="140" fillId="71" borderId="38" xfId="0" applyFont="1" applyFill="1" applyBorder="1" applyAlignment="1">
      <alignment horizontal="center" vertical="center" wrapText="1"/>
    </xf>
    <xf numFmtId="0" fontId="127" fillId="15" borderId="46" xfId="0" applyFont="1" applyFill="1" applyBorder="1" applyAlignment="1">
      <alignment horizontal="center" vertical="top"/>
    </xf>
    <xf numFmtId="0" fontId="151" fillId="23" borderId="46" xfId="0" applyFont="1" applyFill="1" applyBorder="1" applyAlignment="1">
      <alignment horizontal="center" vertical="top"/>
    </xf>
    <xf numFmtId="0" fontId="152" fillId="15" borderId="46" xfId="0" applyFont="1" applyFill="1" applyBorder="1" applyAlignment="1">
      <alignment horizontal="center" vertical="top"/>
    </xf>
    <xf numFmtId="0" fontId="153" fillId="15" borderId="46" xfId="0" applyFont="1" applyFill="1" applyBorder="1" applyAlignment="1">
      <alignment horizontal="center" vertical="top"/>
    </xf>
    <xf numFmtId="49" fontId="133" fillId="20" borderId="46" xfId="0" applyNumberFormat="1" applyFont="1" applyFill="1" applyBorder="1" applyAlignment="1">
      <alignment horizontal="left" vertical="center"/>
    </xf>
    <xf numFmtId="4" fontId="133" fillId="20" borderId="46" xfId="0" applyNumberFormat="1" applyFont="1" applyFill="1" applyBorder="1" applyAlignment="1">
      <alignment horizontal="left" vertical="top"/>
    </xf>
    <xf numFmtId="4" fontId="133" fillId="20" borderId="46" xfId="0" applyNumberFormat="1" applyFont="1" applyFill="1" applyBorder="1" applyAlignment="1">
      <alignment horizontal="right" vertical="top"/>
    </xf>
    <xf numFmtId="4" fontId="133" fillId="15" borderId="46" xfId="0" applyNumberFormat="1" applyFont="1" applyFill="1" applyBorder="1" applyAlignment="1">
      <alignment horizontal="right" vertical="top"/>
    </xf>
    <xf numFmtId="4" fontId="154" fillId="15" borderId="46" xfId="0" applyNumberFormat="1" applyFont="1" applyFill="1" applyBorder="1" applyAlignment="1">
      <alignment horizontal="right" vertical="top"/>
    </xf>
    <xf numFmtId="4" fontId="133" fillId="20" borderId="48" xfId="0" applyNumberFormat="1" applyFont="1" applyFill="1" applyBorder="1" applyAlignment="1">
      <alignment horizontal="right" vertical="top"/>
    </xf>
    <xf numFmtId="49" fontId="133" fillId="15" borderId="46" xfId="0" applyNumberFormat="1" applyFont="1" applyFill="1" applyBorder="1" applyAlignment="1">
      <alignment horizontal="left" vertical="center"/>
    </xf>
    <xf numFmtId="4" fontId="133" fillId="15" borderId="46" xfId="0" applyNumberFormat="1" applyFont="1" applyFill="1" applyBorder="1" applyAlignment="1">
      <alignment horizontal="left" vertical="top"/>
    </xf>
    <xf numFmtId="4" fontId="97" fillId="15" borderId="46" xfId="0" applyNumberFormat="1" applyFont="1" applyFill="1" applyBorder="1" applyAlignment="1">
      <alignment horizontal="right" vertical="top"/>
    </xf>
    <xf numFmtId="10" fontId="97" fillId="15" borderId="46" xfId="2" applyNumberFormat="1" applyFont="1" applyFill="1" applyBorder="1" applyAlignment="1">
      <alignment horizontal="right" vertical="top"/>
    </xf>
    <xf numFmtId="4" fontId="133" fillId="15" borderId="46" xfId="0" applyNumberFormat="1" applyFont="1" applyFill="1" applyBorder="1" applyAlignment="1">
      <alignment horizontal="right" vertical="top" wrapText="1"/>
    </xf>
    <xf numFmtId="4" fontId="133" fillId="15" borderId="48" xfId="0" applyNumberFormat="1" applyFont="1" applyFill="1" applyBorder="1" applyAlignment="1">
      <alignment horizontal="right" vertical="top"/>
    </xf>
    <xf numFmtId="10" fontId="133" fillId="15" borderId="46" xfId="2" applyNumberFormat="1" applyFont="1" applyFill="1" applyBorder="1" applyAlignment="1">
      <alignment horizontal="right" vertical="top"/>
    </xf>
    <xf numFmtId="49" fontId="133" fillId="75" borderId="46" xfId="0" applyNumberFormat="1" applyFont="1" applyFill="1" applyBorder="1" applyAlignment="1">
      <alignment horizontal="left" vertical="center"/>
    </xf>
    <xf numFmtId="4" fontId="133" fillId="75" borderId="46" xfId="0" applyNumberFormat="1" applyFont="1" applyFill="1" applyBorder="1" applyAlignment="1">
      <alignment horizontal="left" vertical="top"/>
    </xf>
    <xf numFmtId="4" fontId="133" fillId="75" borderId="46" xfId="0" applyNumberFormat="1" applyFont="1" applyFill="1" applyBorder="1" applyAlignment="1">
      <alignment horizontal="right" vertical="top"/>
    </xf>
    <xf numFmtId="4" fontId="97" fillId="75" borderId="46" xfId="0" applyNumberFormat="1" applyFont="1" applyFill="1" applyBorder="1" applyAlignment="1">
      <alignment horizontal="right" vertical="top"/>
    </xf>
    <xf numFmtId="10" fontId="97" fillId="75" borderId="46" xfId="2" applyNumberFormat="1" applyFont="1" applyFill="1" applyBorder="1" applyAlignment="1">
      <alignment horizontal="right" vertical="top"/>
    </xf>
    <xf numFmtId="4" fontId="133" fillId="75" borderId="46" xfId="0" applyNumberFormat="1" applyFont="1" applyFill="1" applyBorder="1" applyAlignment="1">
      <alignment horizontal="right" vertical="top" wrapText="1"/>
    </xf>
    <xf numFmtId="4" fontId="133" fillId="75" borderId="48" xfId="0" applyNumberFormat="1" applyFont="1" applyFill="1" applyBorder="1" applyAlignment="1">
      <alignment horizontal="right" vertical="top"/>
    </xf>
    <xf numFmtId="4" fontId="97" fillId="20" borderId="46" xfId="0" applyNumberFormat="1" applyFont="1" applyFill="1" applyBorder="1" applyAlignment="1">
      <alignment horizontal="right" vertical="top"/>
    </xf>
    <xf numFmtId="49" fontId="133" fillId="76" borderId="46" xfId="0" applyNumberFormat="1" applyFont="1" applyFill="1" applyBorder="1" applyAlignment="1">
      <alignment horizontal="left" vertical="center"/>
    </xf>
    <xf numFmtId="4" fontId="133" fillId="76" borderId="46" xfId="0" applyNumberFormat="1" applyFont="1" applyFill="1" applyBorder="1" applyAlignment="1">
      <alignment horizontal="left" vertical="top"/>
    </xf>
    <xf numFmtId="4" fontId="133" fillId="76" borderId="46" xfId="0" applyNumberFormat="1" applyFont="1" applyFill="1" applyBorder="1" applyAlignment="1">
      <alignment horizontal="right" vertical="top"/>
    </xf>
    <xf numFmtId="4" fontId="97" fillId="76" borderId="46" xfId="0" applyNumberFormat="1" applyFont="1" applyFill="1" applyBorder="1" applyAlignment="1">
      <alignment horizontal="right" vertical="top"/>
    </xf>
    <xf numFmtId="10" fontId="133" fillId="76" borderId="46" xfId="2" applyNumberFormat="1" applyFont="1" applyFill="1" applyBorder="1" applyAlignment="1">
      <alignment horizontal="right" vertical="top"/>
    </xf>
    <xf numFmtId="4" fontId="133" fillId="76" borderId="46" xfId="0" applyNumberFormat="1" applyFont="1" applyFill="1" applyBorder="1" applyAlignment="1">
      <alignment horizontal="right" vertical="top" wrapText="1"/>
    </xf>
    <xf numFmtId="4" fontId="133" fillId="76" borderId="48" xfId="0" applyNumberFormat="1" applyFont="1" applyFill="1" applyBorder="1" applyAlignment="1">
      <alignment horizontal="right" vertical="top"/>
    </xf>
    <xf numFmtId="49" fontId="133" fillId="78" borderId="46" xfId="0" applyNumberFormat="1" applyFont="1" applyFill="1" applyBorder="1" applyAlignment="1">
      <alignment horizontal="left" vertical="center"/>
    </xf>
    <xf numFmtId="4" fontId="133" fillId="78" borderId="46" xfId="0" applyNumberFormat="1" applyFont="1" applyFill="1" applyBorder="1" applyAlignment="1">
      <alignment horizontal="left" vertical="top"/>
    </xf>
    <xf numFmtId="4" fontId="133" fillId="78" borderId="46" xfId="0" applyNumberFormat="1" applyFont="1" applyFill="1" applyBorder="1" applyAlignment="1">
      <alignment horizontal="right" vertical="top"/>
    </xf>
    <xf numFmtId="4" fontId="97" fillId="78" borderId="46" xfId="0" applyNumberFormat="1" applyFont="1" applyFill="1" applyBorder="1" applyAlignment="1">
      <alignment horizontal="right" vertical="top"/>
    </xf>
    <xf numFmtId="10" fontId="133" fillId="78" borderId="46" xfId="2" applyNumberFormat="1" applyFont="1" applyFill="1" applyBorder="1" applyAlignment="1">
      <alignment horizontal="right" vertical="top"/>
    </xf>
    <xf numFmtId="4" fontId="133" fillId="78" borderId="48" xfId="0" applyNumberFormat="1" applyFont="1" applyFill="1" applyBorder="1" applyAlignment="1">
      <alignment horizontal="right" vertical="top"/>
    </xf>
    <xf numFmtId="9" fontId="133" fillId="78" borderId="46" xfId="2" applyNumberFormat="1" applyFont="1" applyFill="1" applyBorder="1" applyAlignment="1">
      <alignment horizontal="right" vertical="top"/>
    </xf>
    <xf numFmtId="49" fontId="133" fillId="20" borderId="43" xfId="0" applyNumberFormat="1" applyFont="1" applyFill="1" applyBorder="1" applyAlignment="1">
      <alignment horizontal="left" vertical="center"/>
    </xf>
    <xf numFmtId="4" fontId="133" fillId="20" borderId="43" xfId="0" applyNumberFormat="1" applyFont="1" applyFill="1" applyBorder="1" applyAlignment="1">
      <alignment horizontal="left" vertical="top"/>
    </xf>
    <xf numFmtId="4" fontId="133" fillId="20" borderId="43" xfId="0" applyNumberFormat="1" applyFont="1" applyFill="1" applyBorder="1" applyAlignment="1">
      <alignment horizontal="right" vertical="top"/>
    </xf>
    <xf numFmtId="4" fontId="133" fillId="15" borderId="43" xfId="0" applyNumberFormat="1" applyFont="1" applyFill="1" applyBorder="1" applyAlignment="1">
      <alignment horizontal="right" vertical="top"/>
    </xf>
    <xf numFmtId="4" fontId="154" fillId="15" borderId="43" xfId="0" applyNumberFormat="1" applyFont="1" applyFill="1" applyBorder="1" applyAlignment="1">
      <alignment horizontal="right" vertical="top"/>
    </xf>
    <xf numFmtId="4" fontId="133" fillId="20" borderId="47" xfId="0" applyNumberFormat="1" applyFont="1" applyFill="1" applyBorder="1" applyAlignment="1">
      <alignment horizontal="right" vertical="top"/>
    </xf>
    <xf numFmtId="4" fontId="135" fillId="15" borderId="0" xfId="0" applyNumberFormat="1" applyFont="1" applyFill="1">
      <alignment vertical="center"/>
    </xf>
    <xf numFmtId="183" fontId="32" fillId="0" borderId="0" xfId="1" applyNumberFormat="1" applyFont="1">
      <alignment vertical="center"/>
    </xf>
    <xf numFmtId="203" fontId="32" fillId="0" borderId="0" xfId="0" applyNumberFormat="1" applyFont="1">
      <alignment vertical="center"/>
    </xf>
    <xf numFmtId="43" fontId="32" fillId="0" borderId="0" xfId="1" applyFont="1">
      <alignment vertical="center"/>
    </xf>
    <xf numFmtId="43" fontId="135" fillId="15" borderId="0" xfId="1" applyFont="1" applyFill="1">
      <alignment vertical="center"/>
    </xf>
    <xf numFmtId="43" fontId="32" fillId="0" borderId="0" xfId="0" applyNumberFormat="1" applyFont="1">
      <alignment vertical="center"/>
    </xf>
    <xf numFmtId="43" fontId="135" fillId="15" borderId="0" xfId="0" applyNumberFormat="1" applyFont="1" applyFill="1">
      <alignment vertical="center"/>
    </xf>
    <xf numFmtId="49" fontId="133" fillId="76" borderId="46" xfId="0" applyNumberFormat="1" applyFont="1" applyFill="1" applyBorder="1" applyAlignment="1">
      <alignment horizontal="left" vertical="center" indent="1"/>
    </xf>
    <xf numFmtId="4" fontId="133" fillId="76" borderId="46" xfId="0" applyNumberFormat="1" applyFont="1" applyFill="1" applyBorder="1" applyAlignment="1">
      <alignment horizontal="left" vertical="top" indent="1"/>
    </xf>
    <xf numFmtId="4" fontId="133" fillId="76" borderId="46" xfId="0" applyNumberFormat="1" applyFont="1" applyFill="1" applyBorder="1" applyAlignment="1">
      <alignment horizontal="right" vertical="top" indent="1"/>
    </xf>
    <xf numFmtId="4" fontId="133" fillId="76" borderId="48" xfId="0" applyNumberFormat="1" applyFont="1" applyFill="1" applyBorder="1" applyAlignment="1">
      <alignment horizontal="right" vertical="top" indent="1"/>
    </xf>
    <xf numFmtId="0" fontId="35" fillId="0" borderId="0" xfId="0" applyFont="1" applyFill="1" applyBorder="1" applyAlignment="1" applyProtection="1">
      <protection locked="0"/>
    </xf>
    <xf numFmtId="43" fontId="35" fillId="0" borderId="0" xfId="4704" applyFont="1" applyFill="1" applyBorder="1" applyProtection="1">
      <protection locked="0"/>
    </xf>
    <xf numFmtId="0" fontId="99" fillId="0" borderId="22" xfId="0" applyFont="1" applyFill="1" applyBorder="1" applyAlignment="1" applyProtection="1">
      <alignment horizontal="left" vertical="center" wrapText="1"/>
    </xf>
    <xf numFmtId="0" fontId="99" fillId="0" borderId="0" xfId="0" applyFont="1" applyFill="1" applyBorder="1" applyAlignment="1" applyProtection="1">
      <alignment horizontal="left" vertical="center" wrapText="1"/>
    </xf>
    <xf numFmtId="0" fontId="101" fillId="0" borderId="0" xfId="4928" applyFont="1" applyFill="1" applyBorder="1" applyAlignment="1">
      <alignment horizontal="left" vertical="center"/>
    </xf>
    <xf numFmtId="200" fontId="19" fillId="0" borderId="0" xfId="0" applyNumberFormat="1" applyFont="1">
      <alignment vertical="center"/>
    </xf>
    <xf numFmtId="0" fontId="92" fillId="0" borderId="0" xfId="0" applyFont="1" applyFill="1">
      <alignment vertical="center"/>
    </xf>
    <xf numFmtId="49" fontId="119" fillId="0" borderId="0" xfId="0" applyNumberFormat="1" applyFont="1" applyFill="1" applyBorder="1" applyAlignment="1">
      <alignment horizontal="left" vertical="center"/>
    </xf>
    <xf numFmtId="0" fontId="17" fillId="0" borderId="0" xfId="0" applyFont="1">
      <alignment vertical="center"/>
    </xf>
    <xf numFmtId="0" fontId="7" fillId="2" borderId="76" xfId="0" applyNumberFormat="1" applyFont="1" applyFill="1" applyBorder="1">
      <alignment vertical="center"/>
    </xf>
    <xf numFmtId="177" fontId="7" fillId="2" borderId="76" xfId="0" applyNumberFormat="1" applyFont="1" applyFill="1" applyBorder="1" applyAlignment="1">
      <alignment vertical="center" wrapText="1"/>
    </xf>
    <xf numFmtId="9" fontId="7" fillId="2" borderId="76" xfId="2" applyFont="1" applyFill="1" applyBorder="1" applyAlignment="1">
      <alignment vertical="center" wrapText="1"/>
    </xf>
    <xf numFmtId="178" fontId="7" fillId="2" borderId="76" xfId="0" applyNumberFormat="1" applyFont="1" applyFill="1" applyBorder="1" applyAlignment="1">
      <alignment vertical="center" wrapText="1"/>
    </xf>
    <xf numFmtId="179" fontId="7" fillId="2" borderId="76" xfId="2" applyNumberFormat="1" applyFont="1" applyFill="1" applyBorder="1" applyAlignment="1">
      <alignment vertical="center" wrapText="1"/>
    </xf>
    <xf numFmtId="10" fontId="7" fillId="2" borderId="76" xfId="2" applyNumberFormat="1" applyFont="1" applyFill="1" applyBorder="1" applyAlignment="1">
      <alignment vertical="center" wrapText="1"/>
    </xf>
    <xf numFmtId="180" fontId="7" fillId="2" borderId="76" xfId="0" applyNumberFormat="1" applyFont="1" applyFill="1" applyBorder="1" applyAlignment="1">
      <alignment vertical="center" wrapText="1"/>
    </xf>
    <xf numFmtId="177" fontId="7" fillId="2" borderId="76" xfId="1" applyNumberFormat="1" applyFont="1" applyFill="1" applyBorder="1" applyAlignment="1">
      <alignment vertical="center" wrapText="1"/>
    </xf>
    <xf numFmtId="9" fontId="11" fillId="2" borderId="76" xfId="2" applyFont="1" applyFill="1" applyBorder="1" applyAlignment="1">
      <alignment vertical="center" wrapText="1"/>
    </xf>
    <xf numFmtId="183" fontId="7" fillId="2" borderId="76" xfId="1" applyNumberFormat="1" applyFont="1" applyFill="1" applyBorder="1" applyAlignment="1">
      <alignment vertical="center" wrapText="1"/>
    </xf>
    <xf numFmtId="43" fontId="7" fillId="2" borderId="76" xfId="1" applyNumberFormat="1" applyFont="1" applyFill="1" applyBorder="1" applyAlignment="1">
      <alignment vertical="center" wrapText="1"/>
    </xf>
    <xf numFmtId="43" fontId="37" fillId="15" borderId="0" xfId="4704" applyFont="1" applyFill="1" applyBorder="1" applyProtection="1">
      <protection locked="0"/>
    </xf>
    <xf numFmtId="0" fontId="0" fillId="0" borderId="0" xfId="0">
      <alignment vertical="center"/>
    </xf>
    <xf numFmtId="187" fontId="19" fillId="0" borderId="0" xfId="0" applyNumberFormat="1" applyFont="1">
      <alignment vertical="center"/>
    </xf>
    <xf numFmtId="179" fontId="19" fillId="0" borderId="0" xfId="0" applyNumberFormat="1" applyFont="1">
      <alignment vertical="center"/>
    </xf>
    <xf numFmtId="49" fontId="19" fillId="0" borderId="0" xfId="0" applyNumberFormat="1" applyFont="1">
      <alignment vertical="center"/>
    </xf>
    <xf numFmtId="57" fontId="19" fillId="0" borderId="0" xfId="0" applyNumberFormat="1" applyFont="1">
      <alignment vertical="center"/>
    </xf>
    <xf numFmtId="183" fontId="19" fillId="0" borderId="0" xfId="0" applyNumberFormat="1" applyFont="1">
      <alignment vertical="center"/>
    </xf>
    <xf numFmtId="0" fontId="0" fillId="0" borderId="0" xfId="0">
      <alignment vertical="center"/>
    </xf>
    <xf numFmtId="10" fontId="104" fillId="75" borderId="55" xfId="4929" applyNumberFormat="1" applyFont="1" applyFill="1" applyBorder="1" applyAlignment="1">
      <alignment horizontal="right" vertical="center"/>
    </xf>
    <xf numFmtId="10" fontId="104" fillId="0" borderId="55" xfId="4929" applyNumberFormat="1" applyFont="1" applyFill="1" applyBorder="1" applyAlignment="1">
      <alignment horizontal="right" vertical="center"/>
    </xf>
    <xf numFmtId="10" fontId="101" fillId="14" borderId="55" xfId="4929" applyNumberFormat="1" applyFont="1" applyFill="1" applyBorder="1" applyAlignment="1">
      <alignment horizontal="right" vertical="center"/>
    </xf>
    <xf numFmtId="10" fontId="101" fillId="0" borderId="55" xfId="4929" applyNumberFormat="1" applyFont="1" applyFill="1" applyBorder="1" applyAlignment="1">
      <alignment horizontal="right" vertical="center"/>
    </xf>
    <xf numFmtId="10" fontId="101" fillId="0" borderId="55" xfId="4929" applyNumberFormat="1" applyFont="1" applyFill="1" applyBorder="1" applyAlignment="1">
      <alignment horizontal="right" vertical="center" wrapText="1"/>
    </xf>
    <xf numFmtId="183" fontId="127" fillId="23" borderId="47" xfId="1" applyNumberFormat="1" applyFont="1" applyFill="1" applyBorder="1" applyAlignment="1">
      <alignment horizontal="center" vertical="top"/>
    </xf>
    <xf numFmtId="183" fontId="133" fillId="20" borderId="46" xfId="1" applyNumberFormat="1" applyFont="1" applyFill="1" applyBorder="1" applyAlignment="1">
      <alignment horizontal="right" vertical="top" indent="1"/>
    </xf>
    <xf numFmtId="183" fontId="133" fillId="76" borderId="46" xfId="1" applyNumberFormat="1" applyFont="1" applyFill="1" applyBorder="1" applyAlignment="1">
      <alignment horizontal="right" vertical="top" indent="1"/>
    </xf>
    <xf numFmtId="183" fontId="133" fillId="78" borderId="46" xfId="1" applyNumberFormat="1" applyFont="1" applyFill="1" applyBorder="1" applyAlignment="1">
      <alignment horizontal="right" vertical="top" indent="1"/>
    </xf>
    <xf numFmtId="183" fontId="133" fillId="80" borderId="46" xfId="1" applyNumberFormat="1" applyFont="1" applyFill="1" applyBorder="1" applyAlignment="1">
      <alignment horizontal="right" vertical="top" indent="1"/>
    </xf>
    <xf numFmtId="183" fontId="133" fillId="79" borderId="46" xfId="1" applyNumberFormat="1" applyFont="1" applyFill="1" applyBorder="1" applyAlignment="1">
      <alignment horizontal="right" vertical="top" indent="1"/>
    </xf>
    <xf numFmtId="183" fontId="133" fillId="20" borderId="43" xfId="1" applyNumberFormat="1" applyFont="1" applyFill="1" applyBorder="1" applyAlignment="1">
      <alignment horizontal="right" vertical="top" indent="1"/>
    </xf>
    <xf numFmtId="183" fontId="32" fillId="0" borderId="0" xfId="1" applyNumberFormat="1" applyFont="1" applyFill="1">
      <alignment vertical="center"/>
    </xf>
    <xf numFmtId="183" fontId="32" fillId="0" borderId="0" xfId="1" applyNumberFormat="1" applyFont="1" applyAlignment="1">
      <alignment horizontal="right" vertical="center"/>
    </xf>
    <xf numFmtId="183" fontId="127" fillId="23" borderId="46" xfId="1" applyNumberFormat="1" applyFont="1" applyFill="1" applyBorder="1" applyAlignment="1">
      <alignment horizontal="right" vertical="top"/>
    </xf>
    <xf numFmtId="183" fontId="32" fillId="0" borderId="0" xfId="1" applyNumberFormat="1" applyFont="1" applyFill="1" applyAlignment="1">
      <alignment horizontal="right" vertical="center"/>
    </xf>
    <xf numFmtId="201" fontId="104" fillId="74" borderId="53" xfId="3" applyNumberFormat="1" applyFont="1" applyFill="1" applyBorder="1" applyAlignment="1">
      <alignment horizontal="left" vertical="center"/>
    </xf>
    <xf numFmtId="201" fontId="104" fillId="74" borderId="53" xfId="3" applyNumberFormat="1" applyFont="1" applyFill="1" applyBorder="1" applyAlignment="1">
      <alignment horizontal="right" vertical="center"/>
    </xf>
    <xf numFmtId="179" fontId="104" fillId="74" borderId="53" xfId="2" applyNumberFormat="1" applyFont="1" applyFill="1" applyBorder="1" applyAlignment="1">
      <alignment horizontal="right" vertical="center"/>
    </xf>
    <xf numFmtId="10" fontId="104" fillId="74" borderId="53" xfId="2" applyNumberFormat="1" applyFont="1" applyFill="1" applyBorder="1" applyAlignment="1">
      <alignment horizontal="right" vertical="center"/>
    </xf>
    <xf numFmtId="179" fontId="31" fillId="0" borderId="0" xfId="0" applyNumberFormat="1" applyFont="1">
      <alignment vertical="center"/>
    </xf>
    <xf numFmtId="201" fontId="0" fillId="0" borderId="0" xfId="0" applyNumberFormat="1">
      <alignment vertical="center"/>
    </xf>
    <xf numFmtId="201" fontId="120" fillId="0" borderId="53" xfId="3" applyNumberFormat="1" applyFont="1" applyBorder="1" applyAlignment="1">
      <alignment horizontal="right" vertical="center"/>
    </xf>
    <xf numFmtId="201" fontId="104" fillId="75" borderId="0" xfId="3" applyNumberFormat="1" applyFont="1" applyFill="1" applyBorder="1" applyAlignment="1">
      <alignment horizontal="left" vertical="center" indent="1"/>
    </xf>
    <xf numFmtId="201" fontId="104" fillId="75" borderId="0" xfId="3" applyNumberFormat="1" applyFont="1" applyFill="1" applyBorder="1" applyAlignment="1">
      <alignment horizontal="right" vertical="center"/>
    </xf>
    <xf numFmtId="179" fontId="104" fillId="75" borderId="0" xfId="2" applyNumberFormat="1" applyFont="1" applyFill="1" applyBorder="1" applyAlignment="1">
      <alignment horizontal="right" vertical="center"/>
    </xf>
    <xf numFmtId="10" fontId="104" fillId="75" borderId="0" xfId="2" applyNumberFormat="1" applyFont="1" applyFill="1" applyBorder="1" applyAlignment="1">
      <alignment horizontal="right" vertical="center"/>
    </xf>
    <xf numFmtId="4" fontId="104" fillId="75" borderId="0" xfId="2" applyNumberFormat="1" applyFont="1" applyFill="1" applyBorder="1" applyAlignment="1">
      <alignment horizontal="right" vertical="center"/>
    </xf>
    <xf numFmtId="201" fontId="104" fillId="85" borderId="0" xfId="3" applyNumberFormat="1" applyFont="1" applyFill="1" applyBorder="1" applyAlignment="1">
      <alignment horizontal="left" vertical="center" indent="1"/>
    </xf>
    <xf numFmtId="201" fontId="104" fillId="85" borderId="0" xfId="3" applyNumberFormat="1" applyFont="1" applyFill="1" applyBorder="1" applyAlignment="1">
      <alignment horizontal="right" vertical="center"/>
    </xf>
    <xf numFmtId="179" fontId="104" fillId="85" borderId="0" xfId="2" applyNumberFormat="1" applyFont="1" applyFill="1" applyBorder="1" applyAlignment="1">
      <alignment horizontal="right" vertical="center"/>
    </xf>
    <xf numFmtId="10" fontId="104" fillId="85" borderId="0" xfId="2" applyNumberFormat="1" applyFont="1" applyFill="1" applyBorder="1" applyAlignment="1">
      <alignment horizontal="right" vertical="center"/>
    </xf>
    <xf numFmtId="201" fontId="101" fillId="74" borderId="53" xfId="2" applyNumberFormat="1" applyFont="1" applyFill="1" applyBorder="1" applyAlignment="1">
      <alignment horizontal="right" vertical="center"/>
    </xf>
    <xf numFmtId="201" fontId="104" fillId="74" borderId="53" xfId="2" applyNumberFormat="1" applyFont="1" applyFill="1" applyBorder="1" applyAlignment="1">
      <alignment horizontal="right" vertical="center"/>
    </xf>
    <xf numFmtId="201" fontId="101" fillId="0" borderId="53" xfId="2" applyNumberFormat="1" applyFont="1" applyBorder="1" applyAlignment="1">
      <alignment horizontal="right" vertical="center"/>
    </xf>
    <xf numFmtId="178" fontId="155" fillId="8" borderId="4" xfId="1" applyNumberFormat="1" applyFont="1" applyFill="1" applyBorder="1" applyAlignment="1">
      <alignment vertical="center" wrapText="1"/>
    </xf>
    <xf numFmtId="0" fontId="156" fillId="0" borderId="0" xfId="0" applyFont="1">
      <alignment vertical="center"/>
    </xf>
    <xf numFmtId="186" fontId="156" fillId="0" borderId="0" xfId="1" applyNumberFormat="1" applyFont="1">
      <alignment vertical="center"/>
    </xf>
    <xf numFmtId="179" fontId="156" fillId="0" borderId="0" xfId="2" applyNumberFormat="1" applyFont="1">
      <alignment vertical="center"/>
    </xf>
    <xf numFmtId="0" fontId="157" fillId="0" borderId="0" xfId="0" applyFont="1">
      <alignment vertical="center"/>
    </xf>
    <xf numFmtId="43" fontId="156" fillId="0" borderId="0" xfId="1" applyFont="1">
      <alignment vertical="center"/>
    </xf>
    <xf numFmtId="10" fontId="157" fillId="0" borderId="0" xfId="0" applyNumberFormat="1" applyFont="1">
      <alignment vertical="center"/>
    </xf>
    <xf numFmtId="186" fontId="110" fillId="75" borderId="55" xfId="1" applyNumberFormat="1" applyFont="1" applyFill="1" applyBorder="1" applyAlignment="1">
      <alignment horizontal="right" vertical="center"/>
    </xf>
    <xf numFmtId="186" fontId="68" fillId="20" borderId="55" xfId="1" applyNumberFormat="1" applyFont="1" applyFill="1" applyBorder="1" applyAlignment="1">
      <alignment horizontal="right" vertical="center"/>
    </xf>
    <xf numFmtId="186" fontId="68" fillId="14" borderId="55" xfId="1" applyNumberFormat="1" applyFont="1" applyFill="1" applyBorder="1" applyAlignment="1">
      <alignment horizontal="right" vertical="center"/>
    </xf>
    <xf numFmtId="186" fontId="116" fillId="20" borderId="55" xfId="1" applyNumberFormat="1" applyFont="1" applyFill="1" applyBorder="1" applyAlignment="1">
      <alignment horizontal="right" vertical="center"/>
    </xf>
    <xf numFmtId="0" fontId="109" fillId="3" borderId="77" xfId="0" applyFont="1" applyFill="1" applyBorder="1" applyAlignment="1">
      <alignment horizontal="center" vertical="center" wrapText="1"/>
    </xf>
    <xf numFmtId="0" fontId="109" fillId="3" borderId="0" xfId="0" applyFont="1" applyFill="1" applyBorder="1" applyAlignment="1">
      <alignment horizontal="center" vertical="center" wrapText="1"/>
    </xf>
    <xf numFmtId="10" fontId="114" fillId="75" borderId="55" xfId="2" applyNumberFormat="1" applyFont="1" applyFill="1" applyBorder="1" applyAlignment="1">
      <alignment horizontal="right" vertical="center" wrapText="1"/>
    </xf>
    <xf numFmtId="10" fontId="116" fillId="74" borderId="70" xfId="2" applyNumberFormat="1" applyFont="1" applyFill="1" applyBorder="1" applyAlignment="1">
      <alignment horizontal="right" vertical="center"/>
    </xf>
    <xf numFmtId="10" fontId="116" fillId="0" borderId="71" xfId="2" applyNumberFormat="1" applyFont="1" applyBorder="1" applyAlignment="1">
      <alignment horizontal="right" vertical="center"/>
    </xf>
    <xf numFmtId="43" fontId="115" fillId="75" borderId="55" xfId="1" applyFont="1" applyFill="1" applyBorder="1" applyAlignment="1">
      <alignment horizontal="right" vertical="center"/>
    </xf>
    <xf numFmtId="43" fontId="99" fillId="17" borderId="0" xfId="1" applyFont="1" applyFill="1">
      <alignment vertical="center"/>
    </xf>
    <xf numFmtId="204" fontId="110" fillId="75" borderId="55" xfId="2" applyNumberFormat="1" applyFont="1" applyFill="1" applyBorder="1" applyAlignment="1">
      <alignment horizontal="right" vertical="center"/>
    </xf>
    <xf numFmtId="205" fontId="156" fillId="0" borderId="0" xfId="0" applyNumberFormat="1" applyFont="1">
      <alignment vertical="center"/>
    </xf>
    <xf numFmtId="0" fontId="14" fillId="2" borderId="0" xfId="0" applyFont="1" applyFill="1" applyAlignment="1">
      <alignment horizontal="center" vertical="center" wrapText="1"/>
    </xf>
    <xf numFmtId="0" fontId="14" fillId="2" borderId="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12" borderId="8" xfId="0" applyFont="1" applyFill="1" applyBorder="1" applyAlignment="1">
      <alignment horizontal="center" vertical="center" wrapText="1"/>
    </xf>
    <xf numFmtId="0" fontId="7" fillId="12" borderId="9" xfId="0" applyFont="1" applyFill="1" applyBorder="1" applyAlignment="1">
      <alignment horizontal="center" vertical="center" wrapText="1"/>
    </xf>
    <xf numFmtId="0" fontId="7" fillId="12" borderId="10" xfId="0" applyFont="1" applyFill="1" applyBorder="1" applyAlignment="1">
      <alignment horizontal="center" vertical="center" wrapText="1"/>
    </xf>
    <xf numFmtId="0" fontId="7" fillId="12" borderId="12" xfId="0" applyFont="1" applyFill="1" applyBorder="1" applyAlignment="1">
      <alignment horizontal="center" vertical="center" wrapText="1"/>
    </xf>
    <xf numFmtId="0" fontId="7" fillId="12" borderId="13" xfId="0" applyFont="1" applyFill="1" applyBorder="1" applyAlignment="1">
      <alignment horizontal="center" vertical="center" wrapText="1"/>
    </xf>
    <xf numFmtId="0" fontId="7" fillId="12" borderId="14"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8" fillId="13" borderId="15" xfId="0" applyFont="1" applyFill="1" applyBorder="1" applyAlignment="1">
      <alignment horizontal="center" vertical="center" wrapText="1"/>
    </xf>
    <xf numFmtId="0" fontId="7" fillId="2" borderId="0" xfId="0" applyFont="1" applyFill="1" applyAlignment="1">
      <alignment horizontal="center" vertical="center" wrapText="1"/>
    </xf>
    <xf numFmtId="0" fontId="7" fillId="8" borderId="8" xfId="0" applyFont="1" applyFill="1" applyBorder="1" applyAlignment="1">
      <alignment horizontal="center" vertical="center" wrapText="1"/>
    </xf>
    <xf numFmtId="0" fontId="0" fillId="0" borderId="9" xfId="0" applyBorder="1">
      <alignment vertical="center"/>
    </xf>
    <xf numFmtId="0" fontId="0" fillId="0" borderId="10"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7" fillId="14" borderId="6" xfId="0" applyFont="1" applyFill="1" applyBorder="1" applyAlignment="1">
      <alignment horizontal="center" vertical="center" wrapText="1"/>
    </xf>
    <xf numFmtId="0" fontId="0" fillId="0" borderId="16" xfId="0" applyBorder="1">
      <alignment vertical="center"/>
    </xf>
    <xf numFmtId="0" fontId="0" fillId="0" borderId="0" xfId="0">
      <alignment vertical="center"/>
    </xf>
    <xf numFmtId="0" fontId="0" fillId="0" borderId="7" xfId="0" applyBorder="1">
      <alignment vertical="center"/>
    </xf>
    <xf numFmtId="57" fontId="109" fillId="3" borderId="60" xfId="4928" applyNumberFormat="1" applyFont="1" applyFill="1" applyBorder="1" applyAlignment="1">
      <alignment horizontal="center" vertical="center"/>
    </xf>
    <xf numFmtId="0" fontId="109" fillId="3" borderId="61" xfId="4928" applyFont="1" applyFill="1" applyBorder="1" applyAlignment="1">
      <alignment horizontal="center" vertical="center"/>
    </xf>
    <xf numFmtId="0" fontId="109" fillId="3" borderId="66" xfId="4928" applyFont="1" applyFill="1" applyBorder="1" applyAlignment="1">
      <alignment horizontal="center" vertical="center"/>
    </xf>
    <xf numFmtId="0" fontId="109" fillId="3" borderId="67" xfId="4928" applyFont="1" applyFill="1" applyBorder="1" applyAlignment="1">
      <alignment horizontal="center" vertical="center"/>
    </xf>
    <xf numFmtId="0" fontId="109" fillId="3" borderId="0" xfId="4928" applyFont="1" applyFill="1" applyBorder="1" applyAlignment="1">
      <alignment horizontal="center" vertical="center"/>
    </xf>
    <xf numFmtId="0" fontId="109" fillId="3" borderId="72" xfId="4928" applyFont="1" applyFill="1" applyBorder="1" applyAlignment="1">
      <alignment horizontal="center" vertical="center"/>
    </xf>
    <xf numFmtId="0" fontId="109" fillId="3" borderId="73" xfId="4928" applyFont="1" applyFill="1" applyBorder="1" applyAlignment="1">
      <alignment horizontal="center" vertical="center"/>
    </xf>
    <xf numFmtId="0" fontId="109" fillId="3" borderId="74" xfId="4928" applyFont="1" applyFill="1" applyBorder="1" applyAlignment="1">
      <alignment horizontal="center" vertical="center"/>
    </xf>
    <xf numFmtId="0" fontId="108" fillId="0" borderId="18" xfId="0" applyFont="1" applyBorder="1" applyAlignment="1">
      <alignment horizontal="center" vertical="center"/>
    </xf>
    <xf numFmtId="0" fontId="108" fillId="0" borderId="19" xfId="0" applyFont="1" applyBorder="1" applyAlignment="1">
      <alignment horizontal="center" vertical="center"/>
    </xf>
    <xf numFmtId="0" fontId="29" fillId="0" borderId="18" xfId="0" applyFont="1" applyBorder="1" applyAlignment="1">
      <alignment horizontal="center" vertical="center"/>
    </xf>
    <xf numFmtId="0" fontId="29" fillId="0" borderId="19" xfId="0" applyFont="1" applyBorder="1" applyAlignment="1">
      <alignment horizontal="center" vertical="center"/>
    </xf>
    <xf numFmtId="0" fontId="29" fillId="0" borderId="22" xfId="0" applyFont="1" applyBorder="1" applyAlignment="1">
      <alignment horizontal="center" vertical="center"/>
    </xf>
    <xf numFmtId="0" fontId="110" fillId="74" borderId="65" xfId="4928" applyFont="1" applyFill="1" applyBorder="1" applyAlignment="1">
      <alignment horizontal="center" vertical="center" wrapText="1"/>
    </xf>
    <xf numFmtId="0" fontId="110" fillId="74" borderId="37" xfId="4928" applyFont="1" applyFill="1" applyBorder="1" applyAlignment="1">
      <alignment horizontal="center" vertical="center" wrapText="1"/>
    </xf>
    <xf numFmtId="0" fontId="109" fillId="3" borderId="58" xfId="4928" applyFont="1" applyFill="1" applyBorder="1" applyAlignment="1">
      <alignment horizontal="center" vertical="center"/>
    </xf>
    <xf numFmtId="0" fontId="109" fillId="3" borderId="68" xfId="4928" applyFont="1" applyFill="1" applyBorder="1" applyAlignment="1">
      <alignment horizontal="center" vertical="center"/>
    </xf>
    <xf numFmtId="0" fontId="109" fillId="3" borderId="59" xfId="4928" applyFont="1" applyFill="1" applyBorder="1" applyAlignment="1">
      <alignment horizontal="center" vertical="center"/>
    </xf>
    <xf numFmtId="0" fontId="109" fillId="3" borderId="63" xfId="4928" applyFont="1" applyFill="1" applyBorder="1" applyAlignment="1">
      <alignment horizontal="center" vertical="center" wrapText="1"/>
    </xf>
    <xf numFmtId="0" fontId="110" fillId="0" borderId="65" xfId="4928" applyFont="1" applyBorder="1" applyAlignment="1">
      <alignment horizontal="center" vertical="center" wrapText="1"/>
    </xf>
    <xf numFmtId="0" fontId="110" fillId="0" borderId="37" xfId="4928" applyFont="1" applyBorder="1" applyAlignment="1">
      <alignment horizontal="center" vertical="center" wrapText="1"/>
    </xf>
    <xf numFmtId="0" fontId="109" fillId="3" borderId="56" xfId="4928" applyFont="1" applyFill="1" applyBorder="1" applyAlignment="1">
      <alignment horizontal="center" vertical="center"/>
    </xf>
    <xf numFmtId="0" fontId="109" fillId="3" borderId="57" xfId="4928" applyFont="1" applyFill="1" applyBorder="1" applyAlignment="1">
      <alignment horizontal="center" vertical="center"/>
    </xf>
    <xf numFmtId="0" fontId="109" fillId="3" borderId="62" xfId="0" applyFont="1" applyFill="1" applyBorder="1" applyAlignment="1">
      <alignment horizontal="center" vertical="center" wrapText="1"/>
    </xf>
    <xf numFmtId="0" fontId="109" fillId="3" borderId="69" xfId="0" applyFont="1" applyFill="1" applyBorder="1" applyAlignment="1">
      <alignment horizontal="center" vertical="center" wrapText="1"/>
    </xf>
    <xf numFmtId="0" fontId="109" fillId="3" borderId="64" xfId="0" applyFont="1" applyFill="1" applyBorder="1" applyAlignment="1">
      <alignment horizontal="center" vertical="center" wrapText="1"/>
    </xf>
    <xf numFmtId="0" fontId="109" fillId="3" borderId="58" xfId="0" applyFont="1" applyFill="1" applyBorder="1" applyAlignment="1">
      <alignment horizontal="center" vertical="center" wrapText="1"/>
    </xf>
    <xf numFmtId="0" fontId="109" fillId="3" borderId="68" xfId="0" applyFont="1" applyFill="1" applyBorder="1" applyAlignment="1">
      <alignment horizontal="center" vertical="center" wrapText="1"/>
    </xf>
    <xf numFmtId="0" fontId="113" fillId="3" borderId="67" xfId="0" applyFont="1" applyFill="1" applyBorder="1" applyAlignment="1">
      <alignment horizontal="center" vertical="center" wrapText="1"/>
    </xf>
    <xf numFmtId="0" fontId="113" fillId="3" borderId="0" xfId="0" applyFont="1" applyFill="1" applyBorder="1" applyAlignment="1">
      <alignment horizontal="center" vertical="center" wrapText="1"/>
    </xf>
    <xf numFmtId="0" fontId="113" fillId="3" borderId="64" xfId="0" applyFont="1" applyFill="1" applyBorder="1" applyAlignment="1">
      <alignment horizontal="center" vertical="center" wrapText="1"/>
    </xf>
    <xf numFmtId="0" fontId="113" fillId="3" borderId="69" xfId="0" applyFont="1" applyFill="1" applyBorder="1" applyAlignment="1">
      <alignment horizontal="center" vertical="center" wrapText="1"/>
    </xf>
    <xf numFmtId="0" fontId="113" fillId="3" borderId="62" xfId="0" applyFont="1" applyFill="1" applyBorder="1" applyAlignment="1">
      <alignment horizontal="center" vertical="center" wrapText="1"/>
    </xf>
    <xf numFmtId="0" fontId="109" fillId="3" borderId="77" xfId="0" applyFont="1" applyFill="1" applyBorder="1" applyAlignment="1">
      <alignment horizontal="center" vertical="center" wrapText="1"/>
    </xf>
    <xf numFmtId="0" fontId="109" fillId="3" borderId="0" xfId="0" applyFont="1" applyFill="1" applyBorder="1" applyAlignment="1">
      <alignment horizontal="center" vertical="center" wrapText="1"/>
    </xf>
    <xf numFmtId="0" fontId="113" fillId="3" borderId="78" xfId="0" applyFont="1" applyFill="1" applyBorder="1" applyAlignment="1">
      <alignment horizontal="center" vertical="center" wrapText="1"/>
    </xf>
    <xf numFmtId="0" fontId="113" fillId="3" borderId="77" xfId="0" applyFont="1" applyFill="1" applyBorder="1" applyAlignment="1">
      <alignment horizontal="center" vertical="center" wrapText="1"/>
    </xf>
    <xf numFmtId="0" fontId="113" fillId="3" borderId="65" xfId="0" applyFont="1" applyFill="1" applyBorder="1" applyAlignment="1">
      <alignment horizontal="center" vertical="center" wrapText="1"/>
    </xf>
    <xf numFmtId="0" fontId="113" fillId="3" borderId="60" xfId="0" applyFont="1" applyFill="1" applyBorder="1" applyAlignment="1">
      <alignment horizontal="center" vertical="center" wrapText="1"/>
    </xf>
    <xf numFmtId="0" fontId="113" fillId="3" borderId="61" xfId="0" applyFont="1" applyFill="1" applyBorder="1" applyAlignment="1">
      <alignment horizontal="center" vertical="center" wrapText="1"/>
    </xf>
    <xf numFmtId="0" fontId="113" fillId="3" borderId="66" xfId="0" applyFont="1" applyFill="1" applyBorder="1" applyAlignment="1">
      <alignment horizontal="center" vertical="center" wrapText="1"/>
    </xf>
    <xf numFmtId="57" fontId="113" fillId="3" borderId="58" xfId="0" applyNumberFormat="1" applyFont="1" applyFill="1" applyBorder="1" applyAlignment="1">
      <alignment horizontal="center" vertical="center" wrapText="1"/>
    </xf>
    <xf numFmtId="0" fontId="113" fillId="3" borderId="59" xfId="0" applyFont="1" applyFill="1" applyBorder="1" applyAlignment="1">
      <alignment horizontal="center" vertical="center" wrapText="1"/>
    </xf>
    <xf numFmtId="57" fontId="140" fillId="71" borderId="39" xfId="0" applyNumberFormat="1" applyFont="1" applyFill="1" applyBorder="1" applyAlignment="1">
      <alignment horizontal="center" vertical="center" wrapText="1"/>
    </xf>
    <xf numFmtId="0" fontId="140" fillId="71" borderId="40" xfId="0" applyFont="1" applyFill="1" applyBorder="1" applyAlignment="1">
      <alignment horizontal="center" vertical="center" wrapText="1"/>
    </xf>
    <xf numFmtId="0" fontId="140" fillId="71" borderId="38" xfId="0" applyFont="1" applyFill="1" applyBorder="1" applyAlignment="1">
      <alignment horizontal="center" vertical="center" wrapText="1"/>
    </xf>
    <xf numFmtId="0" fontId="140" fillId="71" borderId="37" xfId="0" applyFont="1" applyFill="1" applyBorder="1" applyAlignment="1">
      <alignment horizontal="center" vertical="center" wrapText="1"/>
    </xf>
    <xf numFmtId="0" fontId="140" fillId="71" borderId="39" xfId="0"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3" fillId="2" borderId="3" xfId="0" applyNumberFormat="1" applyFont="1" applyFill="1" applyBorder="1">
      <alignment vertical="center"/>
    </xf>
    <xf numFmtId="0" fontId="3" fillId="2" borderId="5" xfId="0" applyNumberFormat="1" applyFont="1" applyFill="1" applyBorder="1">
      <alignment vertical="center"/>
    </xf>
    <xf numFmtId="0" fontId="4" fillId="3" borderId="0" xfId="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0" xfId="0" applyNumberFormat="1" applyFont="1" applyFill="1" applyBorder="1" applyAlignment="1">
      <alignment horizontal="center" vertical="center" wrapText="1"/>
    </xf>
    <xf numFmtId="176" fontId="7" fillId="2" borderId="0" xfId="0" applyNumberFormat="1" applyFont="1" applyFill="1" applyBorder="1" applyAlignment="1">
      <alignment horizontal="center" vertical="center" wrapText="1"/>
    </xf>
    <xf numFmtId="14" fontId="8" fillId="5" borderId="4" xfId="0" applyNumberFormat="1" applyFont="1" applyFill="1" applyBorder="1" applyAlignment="1">
      <alignment horizontal="center" vertical="center" wrapText="1"/>
    </xf>
    <xf numFmtId="0" fontId="8" fillId="6" borderId="4" xfId="0" applyNumberFormat="1" applyFont="1" applyFill="1" applyBorder="1" applyAlignment="1">
      <alignment horizontal="center" vertical="center" wrapText="1"/>
    </xf>
    <xf numFmtId="14" fontId="7" fillId="16" borderId="22" xfId="0" applyNumberFormat="1" applyFont="1" applyFill="1" applyBorder="1" applyAlignment="1">
      <alignment horizontal="center" vertical="center"/>
    </xf>
    <xf numFmtId="0" fontId="7" fillId="16" borderId="22" xfId="0" applyFont="1" applyFill="1" applyBorder="1" applyAlignment="1">
      <alignment horizontal="center" vertical="center"/>
    </xf>
    <xf numFmtId="0" fontId="24" fillId="20" borderId="22" xfId="0" applyFont="1" applyFill="1" applyBorder="1" applyAlignment="1">
      <alignment horizontal="center" vertical="center"/>
    </xf>
    <xf numFmtId="0" fontId="24" fillId="20" borderId="22" xfId="0" applyFont="1" applyFill="1" applyBorder="1" applyAlignment="1">
      <alignment horizontal="center" vertical="center" wrapText="1" readingOrder="1"/>
    </xf>
    <xf numFmtId="0" fontId="24" fillId="20" borderId="18" xfId="0" applyFont="1" applyFill="1" applyBorder="1" applyAlignment="1">
      <alignment horizontal="center" vertical="center"/>
    </xf>
    <xf numFmtId="0" fontId="24" fillId="20" borderId="19" xfId="0" applyFont="1" applyFill="1" applyBorder="1" applyAlignment="1">
      <alignment horizontal="center" vertical="center"/>
    </xf>
    <xf numFmtId="0" fontId="24" fillId="20" borderId="24" xfId="0" applyFont="1" applyFill="1" applyBorder="1" applyAlignment="1">
      <alignment horizontal="center" vertical="center" wrapText="1" readingOrder="1"/>
    </xf>
    <xf numFmtId="0" fontId="24" fillId="20" borderId="4" xfId="0" applyFont="1" applyFill="1" applyBorder="1" applyAlignment="1">
      <alignment horizontal="center" vertical="center" wrapText="1" readingOrder="1"/>
    </xf>
    <xf numFmtId="0" fontId="24" fillId="20" borderId="23" xfId="0" applyFont="1" applyFill="1" applyBorder="1" applyAlignment="1">
      <alignment horizontal="center" vertical="center" wrapText="1" readingOrder="1"/>
    </xf>
    <xf numFmtId="0" fontId="26" fillId="20" borderId="0" xfId="0" applyFont="1" applyFill="1" applyBorder="1" applyAlignment="1">
      <alignment horizontal="center" vertical="center" wrapText="1" readingOrder="1"/>
    </xf>
    <xf numFmtId="0" fontId="27" fillId="20" borderId="0" xfId="0" applyFont="1" applyFill="1" applyBorder="1" applyAlignment="1">
      <alignment horizontal="center" vertical="center"/>
    </xf>
    <xf numFmtId="0" fontId="28" fillId="20" borderId="0" xfId="0" applyFont="1" applyFill="1" applyAlignment="1">
      <alignment horizontal="center" vertical="center"/>
    </xf>
    <xf numFmtId="0" fontId="19" fillId="0" borderId="22" xfId="0" applyFont="1" applyBorder="1" applyAlignment="1">
      <alignment horizontal="center" vertical="center"/>
    </xf>
    <xf numFmtId="49" fontId="133" fillId="20" borderId="48" xfId="0" applyNumberFormat="1" applyFont="1" applyFill="1" applyBorder="1" applyAlignment="1">
      <alignment horizontal="left" vertical="center" indent="1"/>
    </xf>
    <xf numFmtId="49" fontId="133" fillId="20" borderId="49" xfId="0" applyNumberFormat="1" applyFont="1" applyFill="1" applyBorder="1" applyAlignment="1">
      <alignment horizontal="left" vertical="center" indent="1"/>
    </xf>
    <xf numFmtId="49" fontId="133" fillId="20" borderId="50" xfId="0" applyNumberFormat="1" applyFont="1" applyFill="1" applyBorder="1" applyAlignment="1">
      <alignment horizontal="left" vertical="center" indent="1"/>
    </xf>
    <xf numFmtId="49" fontId="133" fillId="78" borderId="48" xfId="0" applyNumberFormat="1" applyFont="1" applyFill="1" applyBorder="1" applyAlignment="1">
      <alignment horizontal="left" vertical="center" indent="1"/>
    </xf>
    <xf numFmtId="49" fontId="133" fillId="78" borderId="49" xfId="0" applyNumberFormat="1" applyFont="1" applyFill="1" applyBorder="1" applyAlignment="1">
      <alignment horizontal="left" vertical="center" indent="1"/>
    </xf>
    <xf numFmtId="49" fontId="133" fillId="78" borderId="50" xfId="0" applyNumberFormat="1" applyFont="1" applyFill="1" applyBorder="1" applyAlignment="1">
      <alignment horizontal="left" vertical="center" indent="1"/>
    </xf>
    <xf numFmtId="49" fontId="133" fillId="79" borderId="48" xfId="0" applyNumberFormat="1" applyFont="1" applyFill="1" applyBorder="1" applyAlignment="1">
      <alignment horizontal="left" vertical="center" indent="1"/>
    </xf>
    <xf numFmtId="49" fontId="133" fillId="79" borderId="49" xfId="0" applyNumberFormat="1" applyFont="1" applyFill="1" applyBorder="1" applyAlignment="1">
      <alignment horizontal="left" vertical="center" indent="1"/>
    </xf>
    <xf numFmtId="49" fontId="133" fillId="79" borderId="50" xfId="0" applyNumberFormat="1" applyFont="1" applyFill="1" applyBorder="1" applyAlignment="1">
      <alignment horizontal="left" vertical="center" indent="1"/>
    </xf>
    <xf numFmtId="49" fontId="133" fillId="80" borderId="48" xfId="0" applyNumberFormat="1" applyFont="1" applyFill="1" applyBorder="1" applyAlignment="1">
      <alignment horizontal="left" vertical="center" indent="1"/>
    </xf>
    <xf numFmtId="49" fontId="133" fillId="80" borderId="49" xfId="0" applyNumberFormat="1" applyFont="1" applyFill="1" applyBorder="1" applyAlignment="1">
      <alignment horizontal="left" vertical="center" indent="1"/>
    </xf>
    <xf numFmtId="49" fontId="133" fillId="80" borderId="50" xfId="0" applyNumberFormat="1" applyFont="1" applyFill="1" applyBorder="1" applyAlignment="1">
      <alignment horizontal="left" vertical="center" indent="1"/>
    </xf>
    <xf numFmtId="0" fontId="126" fillId="23" borderId="43" xfId="0" applyFont="1" applyFill="1" applyBorder="1" applyAlignment="1">
      <alignment horizontal="center" vertical="center"/>
    </xf>
    <xf numFmtId="0" fontId="126" fillId="23" borderId="45" xfId="0" applyFont="1" applyFill="1" applyBorder="1" applyAlignment="1">
      <alignment horizontal="center" vertical="center"/>
    </xf>
    <xf numFmtId="0" fontId="126" fillId="23" borderId="44" xfId="0" applyFont="1" applyFill="1" applyBorder="1" applyAlignment="1">
      <alignment horizontal="center" vertical="center"/>
    </xf>
    <xf numFmtId="0" fontId="126" fillId="23" borderId="43" xfId="0" applyFont="1" applyFill="1" applyBorder="1" applyAlignment="1">
      <alignment horizontal="center" vertical="center" wrapText="1"/>
    </xf>
    <xf numFmtId="0" fontId="126" fillId="23" borderId="45" xfId="0" applyFont="1" applyFill="1" applyBorder="1" applyAlignment="1">
      <alignment horizontal="center" vertical="center" wrapText="1"/>
    </xf>
    <xf numFmtId="0" fontId="125" fillId="0" borderId="0" xfId="0" applyFont="1" applyAlignment="1">
      <alignment horizontal="left" wrapText="1"/>
    </xf>
    <xf numFmtId="0" fontId="132" fillId="0" borderId="0" xfId="0" applyFont="1" applyAlignment="1">
      <alignment horizontal="left" vertical="top" wrapText="1"/>
    </xf>
    <xf numFmtId="49" fontId="133" fillId="20" borderId="48" xfId="0" applyNumberFormat="1" applyFont="1" applyFill="1" applyBorder="1" applyAlignment="1">
      <alignment horizontal="left" vertical="center"/>
    </xf>
    <xf numFmtId="49" fontId="133" fillId="20" borderId="49" xfId="0" applyNumberFormat="1" applyFont="1" applyFill="1" applyBorder="1" applyAlignment="1">
      <alignment horizontal="left" vertical="center"/>
    </xf>
    <xf numFmtId="49" fontId="133" fillId="20" borderId="50" xfId="0" applyNumberFormat="1" applyFont="1" applyFill="1" applyBorder="1" applyAlignment="1">
      <alignment horizontal="left" vertical="center"/>
    </xf>
    <xf numFmtId="49" fontId="133" fillId="75" borderId="48" xfId="0" applyNumberFormat="1" applyFont="1" applyFill="1" applyBorder="1" applyAlignment="1">
      <alignment horizontal="left" vertical="center"/>
    </xf>
    <xf numFmtId="49" fontId="133" fillId="75" borderId="50" xfId="0" applyNumberFormat="1" applyFont="1" applyFill="1" applyBorder="1" applyAlignment="1">
      <alignment horizontal="left" vertical="center"/>
    </xf>
    <xf numFmtId="49" fontId="133" fillId="76" borderId="48" xfId="0" applyNumberFormat="1" applyFont="1" applyFill="1" applyBorder="1" applyAlignment="1">
      <alignment horizontal="left" vertical="center"/>
    </xf>
    <xf numFmtId="49" fontId="133" fillId="76" borderId="49" xfId="0" applyNumberFormat="1" applyFont="1" applyFill="1" applyBorder="1" applyAlignment="1">
      <alignment horizontal="left" vertical="center"/>
    </xf>
    <xf numFmtId="49" fontId="133" fillId="76" borderId="50" xfId="0" applyNumberFormat="1" applyFont="1" applyFill="1" applyBorder="1" applyAlignment="1">
      <alignment horizontal="left" vertical="center"/>
    </xf>
    <xf numFmtId="49" fontId="133" fillId="15" borderId="48" xfId="0" applyNumberFormat="1" applyFont="1" applyFill="1" applyBorder="1" applyAlignment="1">
      <alignment horizontal="left" vertical="center"/>
    </xf>
    <xf numFmtId="49" fontId="133" fillId="15" borderId="50" xfId="0" applyNumberFormat="1" applyFont="1" applyFill="1" applyBorder="1" applyAlignment="1">
      <alignment horizontal="left" vertical="center"/>
    </xf>
    <xf numFmtId="49" fontId="103" fillId="0" borderId="0" xfId="0" applyNumberFormat="1" applyFont="1" applyBorder="1" applyAlignment="1" applyProtection="1">
      <alignment horizontal="center" vertical="center"/>
    </xf>
    <xf numFmtId="0" fontId="103" fillId="0" borderId="0" xfId="0" applyFont="1" applyBorder="1" applyAlignment="1" applyProtection="1">
      <alignment horizontal="center" vertical="center"/>
    </xf>
    <xf numFmtId="0" fontId="141" fillId="0" borderId="54" xfId="0" applyFont="1" applyBorder="1" applyAlignment="1" applyProtection="1">
      <alignment horizontal="center" vertical="center"/>
    </xf>
    <xf numFmtId="176" fontId="155" fillId="8" borderId="4" xfId="1" applyNumberFormat="1" applyFont="1" applyFill="1" applyBorder="1" applyAlignment="1">
      <alignment vertical="center" wrapText="1"/>
    </xf>
    <xf numFmtId="176" fontId="155" fillId="8" borderId="4" xfId="0" applyNumberFormat="1" applyFont="1" applyFill="1" applyBorder="1" applyAlignment="1">
      <alignment vertical="center" wrapText="1"/>
    </xf>
    <xf numFmtId="178" fontId="7" fillId="15" borderId="0" xfId="0" applyNumberFormat="1" applyFont="1" applyFill="1" applyBorder="1" applyAlignment="1">
      <alignment vertical="center" wrapText="1"/>
    </xf>
    <xf numFmtId="178" fontId="7" fillId="15" borderId="4" xfId="0" applyNumberFormat="1" applyFont="1" applyFill="1" applyBorder="1" applyAlignment="1">
      <alignment vertical="center" wrapText="1"/>
    </xf>
    <xf numFmtId="179" fontId="7" fillId="15" borderId="4" xfId="2" applyNumberFormat="1" applyFont="1" applyFill="1" applyBorder="1" applyAlignment="1">
      <alignment vertical="center" wrapText="1"/>
    </xf>
    <xf numFmtId="179" fontId="7" fillId="15" borderId="76" xfId="2" applyNumberFormat="1" applyFont="1" applyFill="1" applyBorder="1" applyAlignment="1">
      <alignment vertical="center" wrapText="1"/>
    </xf>
    <xf numFmtId="176" fontId="7" fillId="15" borderId="0" xfId="0" applyNumberFormat="1" applyFont="1" applyFill="1" applyBorder="1" applyAlignment="1">
      <alignment vertical="center" wrapText="1"/>
    </xf>
    <xf numFmtId="201" fontId="158" fillId="74" borderId="53" xfId="3" applyNumberFormat="1" applyFont="1" applyFill="1" applyBorder="1" applyAlignment="1">
      <alignment horizontal="right" vertical="center"/>
    </xf>
    <xf numFmtId="10" fontId="158" fillId="75" borderId="0" xfId="2" applyNumberFormat="1" applyFont="1" applyFill="1" applyBorder="1" applyAlignment="1">
      <alignment horizontal="right" vertical="center"/>
    </xf>
    <xf numFmtId="0" fontId="159" fillId="3" borderId="55" xfId="0" applyFont="1" applyFill="1" applyBorder="1" applyAlignment="1">
      <alignment horizontal="center" vertical="center" wrapText="1"/>
    </xf>
    <xf numFmtId="10" fontId="159" fillId="75" borderId="55" xfId="2" applyNumberFormat="1" applyFont="1" applyFill="1" applyBorder="1" applyAlignment="1">
      <alignment horizontal="right" vertical="center" wrapText="1"/>
    </xf>
    <xf numFmtId="10" fontId="112" fillId="74" borderId="70" xfId="2" applyNumberFormat="1" applyFont="1" applyFill="1" applyBorder="1" applyAlignment="1">
      <alignment horizontal="right" vertical="center"/>
    </xf>
    <xf numFmtId="10" fontId="112" fillId="0" borderId="71" xfId="2" applyNumberFormat="1" applyFont="1" applyBorder="1" applyAlignment="1">
      <alignment horizontal="right" vertical="center"/>
    </xf>
    <xf numFmtId="43" fontId="118" fillId="0" borderId="0" xfId="1" applyFont="1">
      <alignment vertical="center"/>
    </xf>
    <xf numFmtId="57" fontId="159" fillId="3" borderId="69" xfId="0" applyNumberFormat="1" applyFont="1" applyFill="1" applyBorder="1" applyAlignment="1">
      <alignment horizontal="center" vertical="center" wrapText="1"/>
    </xf>
    <xf numFmtId="0" fontId="159" fillId="3" borderId="64" xfId="0" applyFont="1" applyFill="1" applyBorder="1" applyAlignment="1">
      <alignment horizontal="center" vertical="center" wrapText="1"/>
    </xf>
    <xf numFmtId="0" fontId="159" fillId="3" borderId="67" xfId="4928" applyFont="1" applyFill="1" applyBorder="1" applyAlignment="1">
      <alignment horizontal="center" vertical="center"/>
    </xf>
    <xf numFmtId="0" fontId="159" fillId="3" borderId="55" xfId="4928" applyFont="1" applyFill="1" applyBorder="1" applyAlignment="1">
      <alignment horizontal="center" vertical="center"/>
    </xf>
    <xf numFmtId="186" fontId="159" fillId="75" borderId="55" xfId="1" applyNumberFormat="1" applyFont="1" applyFill="1" applyBorder="1" applyAlignment="1">
      <alignment horizontal="right" vertical="center"/>
    </xf>
    <xf numFmtId="186" fontId="112" fillId="20" borderId="55" xfId="1" applyNumberFormat="1" applyFont="1" applyFill="1" applyBorder="1" applyAlignment="1">
      <alignment horizontal="right" vertical="center"/>
    </xf>
    <xf numFmtId="186" fontId="112" fillId="14" borderId="55" xfId="1" applyNumberFormat="1" applyFont="1" applyFill="1" applyBorder="1" applyAlignment="1">
      <alignment horizontal="right" vertical="center"/>
    </xf>
    <xf numFmtId="179" fontId="112" fillId="20" borderId="55" xfId="4929" applyNumberFormat="1" applyFont="1" applyFill="1" applyBorder="1" applyAlignment="1">
      <alignment horizontal="right" vertical="center"/>
    </xf>
    <xf numFmtId="0" fontId="99" fillId="0" borderId="0" xfId="0" applyFont="1">
      <alignment vertical="center"/>
    </xf>
    <xf numFmtId="0" fontId="93" fillId="16" borderId="0" xfId="1" applyNumberFormat="1" applyFont="1" applyFill="1" applyAlignment="1">
      <alignment horizontal="center" vertical="center"/>
    </xf>
    <xf numFmtId="43" fontId="99" fillId="17" borderId="0" xfId="0" applyNumberFormat="1" applyFont="1" applyFill="1">
      <alignment vertical="center"/>
    </xf>
    <xf numFmtId="43" fontId="99" fillId="0" borderId="0" xfId="0" applyNumberFormat="1" applyFont="1">
      <alignment vertical="center"/>
    </xf>
    <xf numFmtId="0" fontId="99" fillId="0" borderId="0" xfId="0" applyFont="1" applyFill="1">
      <alignment vertical="center"/>
    </xf>
    <xf numFmtId="43" fontId="99" fillId="0" borderId="0" xfId="1" applyFont="1">
      <alignment vertical="center"/>
    </xf>
    <xf numFmtId="0" fontId="37" fillId="0" borderId="0" xfId="0" applyFont="1" applyFill="1" applyAlignment="1" applyProtection="1">
      <protection locked="0"/>
    </xf>
    <xf numFmtId="10" fontId="7" fillId="77" borderId="0" xfId="2" applyNumberFormat="1" applyFont="1" applyFill="1" applyBorder="1" applyAlignment="1">
      <alignment vertical="center" wrapText="1"/>
    </xf>
    <xf numFmtId="10" fontId="7" fillId="77" borderId="4" xfId="2" applyNumberFormat="1" applyFont="1" applyFill="1" applyBorder="1" applyAlignment="1">
      <alignment vertical="center" wrapText="1"/>
    </xf>
    <xf numFmtId="57" fontId="158" fillId="71" borderId="39" xfId="0" applyNumberFormat="1" applyFont="1" applyFill="1" applyBorder="1" applyAlignment="1">
      <alignment horizontal="center" vertical="center" wrapText="1"/>
    </xf>
    <xf numFmtId="0" fontId="158" fillId="71" borderId="40" xfId="0" applyFont="1" applyFill="1" applyBorder="1" applyAlignment="1">
      <alignment horizontal="center" vertical="center" wrapText="1"/>
    </xf>
    <xf numFmtId="0" fontId="158" fillId="71" borderId="38" xfId="0" applyFont="1" applyFill="1" applyBorder="1" applyAlignment="1">
      <alignment horizontal="center" vertical="center" wrapText="1"/>
    </xf>
    <xf numFmtId="201" fontId="120" fillId="74" borderId="53" xfId="3" applyNumberFormat="1" applyFont="1" applyFill="1" applyBorder="1" applyAlignment="1">
      <alignment horizontal="right" vertical="center"/>
    </xf>
    <xf numFmtId="201" fontId="158" fillId="75" borderId="0" xfId="3" applyNumberFormat="1" applyFont="1" applyFill="1" applyBorder="1" applyAlignment="1">
      <alignment horizontal="right" vertical="center"/>
    </xf>
    <xf numFmtId="201" fontId="101" fillId="77" borderId="53" xfId="3" applyNumberFormat="1" applyFont="1" applyFill="1" applyBorder="1" applyAlignment="1">
      <alignment horizontal="right" vertical="center"/>
    </xf>
    <xf numFmtId="179" fontId="101" fillId="77" borderId="53" xfId="2" applyNumberFormat="1" applyFont="1" applyFill="1" applyBorder="1" applyAlignment="1">
      <alignment horizontal="right" vertical="center"/>
    </xf>
    <xf numFmtId="10" fontId="101" fillId="77" borderId="53" xfId="2" applyNumberFormat="1" applyFont="1" applyFill="1" applyBorder="1" applyAlignment="1">
      <alignment horizontal="right" vertical="center"/>
    </xf>
    <xf numFmtId="201" fontId="104" fillId="77" borderId="53" xfId="3" applyNumberFormat="1" applyFont="1" applyFill="1" applyBorder="1" applyAlignment="1">
      <alignment horizontal="right" vertical="center"/>
    </xf>
    <xf numFmtId="179" fontId="104" fillId="77" borderId="53" xfId="2" applyNumberFormat="1" applyFont="1" applyFill="1" applyBorder="1" applyAlignment="1">
      <alignment horizontal="right" vertical="center"/>
    </xf>
    <xf numFmtId="10" fontId="104" fillId="77" borderId="53" xfId="2" applyNumberFormat="1" applyFont="1" applyFill="1" applyBorder="1" applyAlignment="1">
      <alignment horizontal="right" vertical="center"/>
    </xf>
    <xf numFmtId="10" fontId="156" fillId="77" borderId="53" xfId="2" applyNumberFormat="1" applyFont="1" applyFill="1" applyBorder="1" applyAlignment="1">
      <alignment horizontal="right" vertical="center"/>
    </xf>
    <xf numFmtId="0" fontId="112" fillId="74" borderId="53" xfId="3" applyFont="1" applyFill="1" applyBorder="1" applyAlignment="1">
      <alignment horizontal="justify" vertical="center"/>
    </xf>
    <xf numFmtId="201" fontId="112" fillId="74" borderId="70" xfId="3" applyNumberFormat="1" applyFont="1" applyFill="1" applyBorder="1" applyAlignment="1">
      <alignment horizontal="right" vertical="center"/>
    </xf>
    <xf numFmtId="201" fontId="112" fillId="0" borderId="71" xfId="3" applyNumberFormat="1" applyFont="1" applyBorder="1" applyAlignment="1">
      <alignment horizontal="right" vertical="center"/>
    </xf>
    <xf numFmtId="206" fontId="118" fillId="0" borderId="0" xfId="0" applyNumberFormat="1" applyFont="1">
      <alignment vertical="center"/>
    </xf>
    <xf numFmtId="0" fontId="158" fillId="71" borderId="38" xfId="0" applyFont="1" applyFill="1" applyBorder="1" applyAlignment="1">
      <alignment horizontal="center" vertical="center" wrapText="1"/>
    </xf>
    <xf numFmtId="201" fontId="158" fillId="85" borderId="0" xfId="3" applyNumberFormat="1" applyFont="1" applyFill="1" applyBorder="1" applyAlignment="1">
      <alignment horizontal="right" vertical="center"/>
    </xf>
    <xf numFmtId="43" fontId="92" fillId="0" borderId="0" xfId="0" applyNumberFormat="1" applyFont="1">
      <alignment vertical="center"/>
    </xf>
    <xf numFmtId="187" fontId="92" fillId="0" borderId="0" xfId="0" applyNumberFormat="1" applyFont="1">
      <alignment vertical="center"/>
    </xf>
    <xf numFmtId="201" fontId="157" fillId="77" borderId="53" xfId="3" applyNumberFormat="1" applyFont="1" applyFill="1" applyBorder="1" applyAlignment="1">
      <alignment horizontal="right" vertical="center"/>
    </xf>
    <xf numFmtId="201" fontId="156" fillId="77" borderId="53" xfId="3" applyNumberFormat="1" applyFont="1" applyFill="1" applyBorder="1" applyAlignment="1">
      <alignment horizontal="right" vertical="center"/>
    </xf>
    <xf numFmtId="186" fontId="115" fillId="77" borderId="55" xfId="1" applyNumberFormat="1" applyFont="1" applyFill="1" applyBorder="1" applyAlignment="1">
      <alignment horizontal="right" vertical="center"/>
    </xf>
    <xf numFmtId="186" fontId="116" fillId="77" borderId="70" xfId="1" applyNumberFormat="1" applyFont="1" applyFill="1" applyBorder="1" applyAlignment="1">
      <alignment horizontal="right" vertical="center"/>
    </xf>
    <xf numFmtId="186" fontId="116" fillId="77" borderId="71" xfId="1" applyNumberFormat="1" applyFont="1" applyFill="1" applyBorder="1" applyAlignment="1">
      <alignment horizontal="right" vertical="center"/>
    </xf>
    <xf numFmtId="186" fontId="116" fillId="77" borderId="55" xfId="1" quotePrefix="1" applyNumberFormat="1" applyFont="1" applyFill="1" applyBorder="1" applyAlignment="1">
      <alignment horizontal="right" vertical="center"/>
    </xf>
    <xf numFmtId="182" fontId="116" fillId="77" borderId="55" xfId="0" quotePrefix="1" applyNumberFormat="1" applyFont="1" applyFill="1" applyBorder="1" applyAlignment="1">
      <alignment horizontal="right" vertical="center"/>
    </xf>
    <xf numFmtId="10" fontId="116" fillId="77" borderId="55" xfId="2" applyNumberFormat="1" applyFont="1" applyFill="1" applyBorder="1" applyAlignment="1">
      <alignment horizontal="right" vertical="center"/>
    </xf>
    <xf numFmtId="186" fontId="116" fillId="14" borderId="55" xfId="1" applyNumberFormat="1" applyFont="1" applyFill="1" applyBorder="1" applyAlignment="1">
      <alignment horizontal="right" vertical="center"/>
    </xf>
    <xf numFmtId="182" fontId="116" fillId="14" borderId="55" xfId="0" applyNumberFormat="1" applyFont="1" applyFill="1" applyBorder="1" applyAlignment="1">
      <alignment horizontal="right" vertical="center"/>
    </xf>
    <xf numFmtId="10" fontId="116" fillId="14" borderId="55" xfId="2" applyNumberFormat="1" applyFont="1" applyFill="1" applyBorder="1" applyAlignment="1">
      <alignment horizontal="right" vertical="center"/>
    </xf>
    <xf numFmtId="10" fontId="68" fillId="77" borderId="55" xfId="2" applyNumberFormat="1" applyFont="1" applyFill="1" applyBorder="1" applyAlignment="1">
      <alignment horizontal="right" vertical="center"/>
    </xf>
  </cellXfs>
  <cellStyles count="4930">
    <cellStyle name=" 1" xfId="4"/>
    <cellStyle name=" 3]_x000d__x000a_Zoomed=1_x000d__x000a_Row=0_x000d__x000a_Column=0_x000d__x000a_Height=300_x000d__x000a_Width=300_x000d__x000a_FontName=細明體_x000d__x000a_FontStyle=0_x000d__x000a_FontSize=9_x000d__x000a_PrtFontName=Co" xfId="5"/>
    <cellStyle name=" 3]_x000d__x000a_Zoomed=1_x000d__x000a_Row=0_x000d__x000a_Column=0_x000d__x000a_Height=300_x000d__x000a_Width=300_x000d__x000a_FontName=細明體_x000d__x000a_FontStyle=0_x000d__x000a_FontSize=9_x000d__x000a_PrtFontName=Co 2" xfId="6"/>
    <cellStyle name=" 3]_x000d__x000a_Zoomed=1_x000d__x000a_Row=0_x000d__x000a_Column=0_x000d__x000a_Height=300_x000d__x000a_Width=300_x000d__x000a_FontName=細明體_x000d__x000a_FontStyle=0_x000d__x000a_FontSize=9_x000d__x000a_PrtFontName=Co 2 2" xfId="7"/>
    <cellStyle name="_x000d__x000a_JournalTemplate=C:\COMFO\CTALK\JOURSTD.TPL_x000d__x000a_LbStateAddress=3 3 0 251 1 89 2 311_x000d__x000a_LbStateJou" xfId="8"/>
    <cellStyle name="?" xfId="9"/>
    <cellStyle name="??" xfId="10"/>
    <cellStyle name="?? [0.00]_Analysis of Loans" xfId="11"/>
    <cellStyle name="?? [0]" xfId="12"/>
    <cellStyle name="?? [0] 2" xfId="13"/>
    <cellStyle name="?? 2" xfId="14"/>
    <cellStyle name="???? [0.00]_Analysis of Loans" xfId="15"/>
    <cellStyle name="????_Analysis of Loans" xfId="16"/>
    <cellStyle name="??_????????" xfId="17"/>
    <cellStyle name="?_Yield wp template(081031)" xfId="18"/>
    <cellStyle name="?W3s£g2" xfId="19"/>
    <cellStyle name="?鹎" xfId="20"/>
    <cellStyle name="?鹎%" xfId="21"/>
    <cellStyle name="?鹎%U" xfId="22"/>
    <cellStyle name="?鹎%U龡&amp;" xfId="23"/>
    <cellStyle name="?鹎%U龡&amp;H" xfId="24"/>
    <cellStyle name="?鹎%U龡&amp;H?_x0008__x001c_" xfId="25"/>
    <cellStyle name="?鹎%U龡&amp;H?_x0008__x001c__x001c_?" xfId="26"/>
    <cellStyle name="?鹎%U龡&amp;H?_x0008__x001c__x001c_?_x0007__x0001_" xfId="27"/>
    <cellStyle name="?鹎%U龡&amp;H?_x0008__x001c__x001c_?_x0007__x0001__x0001_" xfId="28"/>
    <cellStyle name="?鹎%U龡&amp;H?_x0008__x001c__x001c_?_x0007__x0001__x0001_ 2" xfId="29"/>
    <cellStyle name="?鹎%U龡&amp;H?_x0008__x001c__x001c_?_x0007__x0001__x0001_ 2 2" xfId="30"/>
    <cellStyle name="?鹎%U龡&amp;H?_x0008__x001c__x001c_?_x0007__x0001__x0001_ 2 2 2" xfId="31"/>
    <cellStyle name="?鹎%U龡&amp;H?_x0008__x001c__x001c_?_x0007__x0001__x0001_ 2 2 2 2" xfId="32"/>
    <cellStyle name="?鹎%U龡&amp;H?_x0008__x001c__x001c_?_x0007__x0001__x0001_ 2 2 2 2 2" xfId="33"/>
    <cellStyle name="?鹎%U龡&amp;H?_x0008__x001c__x001c_?_x0007__x0001__x0001_ 2 2 2 2_10月考核记账审批表" xfId="34"/>
    <cellStyle name="?鹎%U龡&amp;H?_x0008__x001c__x001c_?_x0007__x0001__x0001_ 2 2 3" xfId="35"/>
    <cellStyle name="?鹎%U龡&amp;H?_x0008__x001c__x001c_?_x0007__x0001__x0001_ 2 2 3 2" xfId="36"/>
    <cellStyle name="?鹎%U龡&amp;H?_x0008__x001c__x001c_?_x0007__x0001__x0001_ 2 2 3_10月考核记账审批表" xfId="37"/>
    <cellStyle name="?鹎%U龡&amp;H?_x0008__x001c__x001c_?_x0007__x0001__x0001_ 2 2_交易指令表 (2)" xfId="38"/>
    <cellStyle name="?鹎%U龡&amp;H?_x0008__x001c__x001c_?_x0007__x0001__x0001_ 2 3" xfId="39"/>
    <cellStyle name="?鹎%U龡&amp;H?_x0008__x001c__x001c_?_x0007__x0001__x0001_ 2 3 2" xfId="40"/>
    <cellStyle name="?鹎%U龡&amp;H?_x0008__x001c__x001c_?_x0007__x0001__x0001_ 2 3 2 2" xfId="41"/>
    <cellStyle name="?鹎%U龡&amp;H?_x0008__x001c__x001c_?_x0007__x0001__x0001_ 2 3 2_10月考核记账审批表" xfId="42"/>
    <cellStyle name="?鹎%U龡&amp;H?_x0008__x001c__x001c_?_x0007__x0001__x0001_ 2 4" xfId="43"/>
    <cellStyle name="?鹎%U龡&amp;H?_x0008__x001c__x001c_?_x0007__x0001__x0001_ 2 4 2" xfId="44"/>
    <cellStyle name="?鹎%U龡&amp;H?_x0008__x001c__x001c_?_x0007__x0001__x0001_ 2 4_10月考核记账审批表" xfId="45"/>
    <cellStyle name="?鹎%U龡&amp;H?_x0008__x001c__x001c_?_x0007__x0001__x0001_ 2 5" xfId="46"/>
    <cellStyle name="?鹎%U龡&amp;H?_x0008__x001c__x001c_?_x0007__x0001__x0001_ 2 6" xfId="47"/>
    <cellStyle name="?鹎%U龡&amp;H?_x0008__x001c__x001c_?_x0007__x0001__x0001_ 2_交易指令表 (2)" xfId="48"/>
    <cellStyle name="?鹎%U龡&amp;H?_x0008__x001c__x001c_?_x0007__x0001__x0001_ 3" xfId="49"/>
    <cellStyle name="?鹎%U龡&amp;H?_x0008__x001c__x001c_?_x0007__x0001__x0001_ 3 2" xfId="50"/>
    <cellStyle name="?鹎%U龡&amp;H?_x0008__x001c__x001c_?_x0007__x0001__x0001_ 3 2 2" xfId="51"/>
    <cellStyle name="?鹎%U龡&amp;H?_x0008__x001c__x001c_?_x0007__x0001__x0001_ 3 2 2 2" xfId="52"/>
    <cellStyle name="?鹎%U龡&amp;H?_x0008__x001c__x001c_?_x0007__x0001__x0001_ 3 2 2_10月考核记账审批表" xfId="53"/>
    <cellStyle name="?鹎%U龡&amp;H?_x0008__x001c__x001c_?_x0007__x0001__x0001_ 3 3" xfId="54"/>
    <cellStyle name="?鹎%U龡&amp;H?_x0008__x001c__x001c_?_x0007__x0001__x0001_ 3 3 2" xfId="55"/>
    <cellStyle name="?鹎%U龡&amp;H?_x0008__x001c__x001c_?_x0007__x0001__x0001_ 3 3_10月考核记账审批表" xfId="56"/>
    <cellStyle name="?鹎%U龡&amp;H?_x0008__x001c__x001c_?_x0007__x0001__x0001_ 3_交易指令表 (2)" xfId="57"/>
    <cellStyle name="?鹎%U龡&amp;H?_x0008__x001c__x001c_?_x0007__x0001__x0001_ 4" xfId="58"/>
    <cellStyle name="?鹎%U龡&amp;H?_x0008__x001c__x001c_?_x0007__x0001__x0001_ 4 2" xfId="59"/>
    <cellStyle name="?鹎%U龡&amp;H?_x0008__x001c__x001c_?_x0007__x0001__x0001_ 4_10月考核记账审批表" xfId="60"/>
    <cellStyle name="?鹎%U龡&amp;H?_x0008__x001c__x001c_?_x0007__x0001__x0001_ 5" xfId="61"/>
    <cellStyle name="?鹎%U龡&amp;H?_x0008__x001c__x001c_?_x0007__x0001__x0001_ 5 2" xfId="62"/>
    <cellStyle name="?鹎%U龡&amp;H?_x0008__x001c__x001c_?_x0007__x0001__x0001_ 6" xfId="63"/>
    <cellStyle name="?鹎%U龡&amp;H?_x0008__x001c__x001c_?_x0007__x0001__x0001_ 6 2" xfId="64"/>
    <cellStyle name="?鹎%U龡&amp;H?_x0008__x001c__x001c_?_x0007__x0001__x0001_ 6 2 2" xfId="65"/>
    <cellStyle name="?鹎%U龡&amp;H?_x0008__x001c__x001c_?_x0007__x0001__x0001_ 6 2_10月考核记账审批表" xfId="66"/>
    <cellStyle name="?鹎%U龡&amp;H?_x0008__x001c__x001c_?_x0007__x0001__x0001_ 7" xfId="67"/>
    <cellStyle name="?鹎%U龡&amp;H?_x0008__x001c__x001c_?_x0007__x0001__x0001_ 8" xfId="68"/>
    <cellStyle name="?鹎%U龡&amp;H?_x0008__x001c__x001c_?_x0007__x0001__x0001_ 8 2" xfId="69"/>
    <cellStyle name="?鹎%U龡&amp;H?_x0008__x001c__三年全行2263_LAT_0831_v2.21 1012(lx2004全)1018（全）" xfId="70"/>
    <cellStyle name="?鹎%U龡&amp;H鼼_x0008_V_x0011_._x0012__x0007__x0001__x0001_" xfId="71"/>
    <cellStyle name="@_text" xfId="72"/>
    <cellStyle name="@_text_24GZ_Yield wp template(081231)_Specific Scope" xfId="73"/>
    <cellStyle name="@_text_Sheet3" xfId="74"/>
    <cellStyle name="@ET_Style?Normal" xfId="75"/>
    <cellStyle name="_~7572020" xfId="76"/>
    <cellStyle name="_03_长期资产申报表" xfId="77"/>
    <cellStyle name="_03_长期资产申报表_1" xfId="78"/>
    <cellStyle name="_03_长期资产申报表_1L" xfId="79"/>
    <cellStyle name="_03_长期资产申报表_ABC-pbc表20060610" xfId="80"/>
    <cellStyle name="_03_长期资产申报表_ABC-pbc表20060610_1" xfId="81"/>
    <cellStyle name="_03_长期资产申报表_ABC-pbc表20060610_1L" xfId="82"/>
    <cellStyle name="_03_长期资产申报表_ABC-pbc表20060610_Appendix M Footnotes Form.1106.KL" xfId="83"/>
    <cellStyle name="_03_长期资产申报表_ABC-pbc表20060610_Copy of Footnotes1107" xfId="84"/>
    <cellStyle name="_03_长期资产申报表_ABC-pbc表20060610_Footnotes1107" xfId="85"/>
    <cellStyle name="_03_长期资产申报表_ABC-pbc表20060610_PBC(CG)-MASTER" xfId="86"/>
    <cellStyle name="_03_长期资产申报表_ABC-pbc表20060610_PBC(CG)-MASTER_1" xfId="87"/>
    <cellStyle name="_03_长期资产申报表_ABC-pbc表20060610_PBC(CG)-MASTER_1L" xfId="88"/>
    <cellStyle name="_03_长期资产申报表_ABC-pbc表20060610_PBC(CG)-MASTER_Appendix M Footnotes Form.1106.KL" xfId="89"/>
    <cellStyle name="_03_长期资产申报表_ABC-pbc表20060610_PBC(CG)-MASTER_Copy of Footnotes1107" xfId="90"/>
    <cellStyle name="_03_长期资产申报表_ABC-pbc表20060610_PBC(CG)-MASTER_Footnotes1107" xfId="91"/>
    <cellStyle name="_03_长期资产申报表_ABC-pbc表20060610_PBC(CG)-MASTER_PBC(CG)-MASTER" xfId="92"/>
    <cellStyle name="_03_长期资产申报表_ABC-pbc表20060610－赵静" xfId="93"/>
    <cellStyle name="_03_长期资产申报表_ABC-pbc表20060610－赵静_1" xfId="94"/>
    <cellStyle name="_03_长期资产申报表_ABC-pbc表20060610－赵静_1L" xfId="95"/>
    <cellStyle name="_03_长期资产申报表_ABC-pbc表20060610－赵静_Appendix M Footnotes Form.1106.KL" xfId="96"/>
    <cellStyle name="_03_长期资产申报表_ABC-pbc表20060610－赵静_Copy of Footnotes1107" xfId="97"/>
    <cellStyle name="_03_长期资产申报表_ABC-pbc表20060610－赵静_Footnotes1107" xfId="98"/>
    <cellStyle name="_03_长期资产申报表_Appendix M Footnotes Form.1106.KL" xfId="99"/>
    <cellStyle name="_03_长期资产申报表_Book2222222222222222222222222222222222222222222222222" xfId="100"/>
    <cellStyle name="_03_长期资产申报表_Book2222222222222222222222222222222222222222222222222_1" xfId="101"/>
    <cellStyle name="_03_长期资产申报表_Book2222222222222222222222222222222222222222222222222_1L" xfId="102"/>
    <cellStyle name="_03_长期资产申报表_Book2222222222222222222222222222222222222222222222222_ABC-pbc表20060610" xfId="103"/>
    <cellStyle name="_03_长期资产申报表_Book2222222222222222222222222222222222222222222222222_ABC-pbc表20060610_1" xfId="104"/>
    <cellStyle name="_03_长期资产申报表_Book2222222222222222222222222222222222222222222222222_ABC-pbc表20060610_1L" xfId="105"/>
    <cellStyle name="_03_长期资产申报表_Book2222222222222222222222222222222222222222222222222_ABC-pbc表20060610_Appendix M Footnotes Form.1106.KL" xfId="106"/>
    <cellStyle name="_03_长期资产申报表_Book2222222222222222222222222222222222222222222222222_ABC-pbc表20060610_Copy of Footnotes1107" xfId="107"/>
    <cellStyle name="_03_长期资产申报表_Book2222222222222222222222222222222222222222222222222_ABC-pbc表20060610_Footnotes1107" xfId="108"/>
    <cellStyle name="_03_长期资产申报表_Book2222222222222222222222222222222222222222222222222_ABC-pbc表20060610_PBC(CG)-MASTER" xfId="109"/>
    <cellStyle name="_03_长期资产申报表_Book2222222222222222222222222222222222222222222222222_ABC-pbc表20060610_PBC(CG)-MASTER_1" xfId="110"/>
    <cellStyle name="_03_长期资产申报表_Book2222222222222222222222222222222222222222222222222_ABC-pbc表20060610_PBC(CG)-MASTER_1L" xfId="111"/>
    <cellStyle name="_03_长期资产申报表_Book2222222222222222222222222222222222222222222222222_ABC-pbc表20060610_PBC(CG)-MASTER_Appendix M Footnotes Form.1106.KL" xfId="112"/>
    <cellStyle name="_03_长期资产申报表_Book2222222222222222222222222222222222222222222222222_ABC-pbc表20060610_PBC(CG)-MASTER_Copy of Footnotes1107" xfId="113"/>
    <cellStyle name="_03_长期资产申报表_Book2222222222222222222222222222222222222222222222222_ABC-pbc表20060610_PBC(CG)-MASTER_Footnotes1107" xfId="114"/>
    <cellStyle name="_03_长期资产申报表_Book2222222222222222222222222222222222222222222222222_ABC-pbc表20060610_PBC(CG)-MASTER_PBC(CG)-MASTER" xfId="115"/>
    <cellStyle name="_03_长期资产申报表_Book2222222222222222222222222222222222222222222222222_ABC-pbc表20060610－赵静" xfId="116"/>
    <cellStyle name="_03_长期资产申报表_Book2222222222222222222222222222222222222222222222222_ABC-pbc表20060610－赵静_1" xfId="117"/>
    <cellStyle name="_03_长期资产申报表_Book2222222222222222222222222222222222222222222222222_ABC-pbc表20060610－赵静_1L" xfId="118"/>
    <cellStyle name="_03_长期资产申报表_Book2222222222222222222222222222222222222222222222222_ABC-pbc表20060610－赵静_Appendix M Footnotes Form.1106.KL" xfId="119"/>
    <cellStyle name="_03_长期资产申报表_Book2222222222222222222222222222222222222222222222222_ABC-pbc表20060610－赵静_Copy of Footnotes1107" xfId="120"/>
    <cellStyle name="_03_长期资产申报表_Book2222222222222222222222222222222222222222222222222_ABC-pbc表20060610－赵静_Footnotes1107" xfId="121"/>
    <cellStyle name="_03_长期资产申报表_Book2222222222222222222222222222222222222222222222222_ABC-pbc表20060610－赵静_PBC(CG)-MASTER" xfId="122"/>
    <cellStyle name="_03_长期资产申报表_Book2222222222222222222222222222222222222222222222222_Copy of Footnotes1107" xfId="123"/>
    <cellStyle name="_03_长期资产申报表_Book2222222222222222222222222222222222222222222222222_Footnotes1107" xfId="124"/>
    <cellStyle name="_03_长期资产申报表_Book2222222222222222222222222222222222222222222222222_PBC(CG)-MASTER" xfId="125"/>
    <cellStyle name="_03_长期资产申报表_Book2222222222222222222222222222222222222222222222222_PBC(CG)-MASTER_1" xfId="126"/>
    <cellStyle name="_03_长期资产申报表_Book2222222222222222222222222222222222222222222222222_PBC(CG)-MASTER_1L" xfId="127"/>
    <cellStyle name="_03_长期资产申报表_Book2222222222222222222222222222222222222222222222222_PBC(CG)-MASTER_Copy of Footnotes1107" xfId="128"/>
    <cellStyle name="_03_长期资产申报表_Book2222222222222222222222222222222222222222222222222_PBC(CG)-MASTER_Footnotes1107" xfId="129"/>
    <cellStyle name="_03_长期资产申报表_Book2222222222222222222222222222222222222222222222222_PBC(CG)-MASTER_PBC(CG)-MASTER" xfId="130"/>
    <cellStyle name="_03_长期资产申报表_Book2222222222222222222222222222222222222222222222222_原ABC-pbc表" xfId="131"/>
    <cellStyle name="_03_长期资产申报表_Book2222222222222222222222222222222222222222222222222_原ABC-pbc表_1" xfId="132"/>
    <cellStyle name="_03_长期资产申报表_Book2222222222222222222222222222222222222222222222222_原ABC-pbc表_1L" xfId="133"/>
    <cellStyle name="_03_长期资产申报表_Book2222222222222222222222222222222222222222222222222_原ABC-pbc表_Appendix M Footnotes Form.1106.KL" xfId="134"/>
    <cellStyle name="_03_长期资产申报表_Book2222222222222222222222222222222222222222222222222_原ABC-pbc表_Copy of Footnotes1107" xfId="135"/>
    <cellStyle name="_03_长期资产申报表_Book2222222222222222222222222222222222222222222222222_原ABC-pbc表_Footnotes1107" xfId="136"/>
    <cellStyle name="_03_长期资产申报表_Book2222222222222222222222222222222222222222222222222_原ABC-pbc表_PBC(CG)-MASTER" xfId="137"/>
    <cellStyle name="_03_长期资产申报表_Copy of Footnotes1107" xfId="138"/>
    <cellStyle name="_03_长期资产申报表_Footnotes1107" xfId="139"/>
    <cellStyle name="_03_长期资产申报表_pbc" xfId="140"/>
    <cellStyle name="_03_长期资产申报表_PBC(CG)-MASTER" xfId="141"/>
    <cellStyle name="_03_长期资产申报表_PBC(CG)-MASTER_1" xfId="142"/>
    <cellStyle name="_03_长期资产申报表_PBC(CG)-MASTER_1L" xfId="143"/>
    <cellStyle name="_03_长期资产申报表_PBC(CG)-MASTER_Appendix M Footnotes Form.1106.KL" xfId="144"/>
    <cellStyle name="_03_长期资产申报表_PBC(CG)-MASTER_Copy of Footnotes1107" xfId="145"/>
    <cellStyle name="_03_长期资产申报表_PBC(CG)-MASTER_Footnotes1107" xfId="146"/>
    <cellStyle name="_03_长期资产申报表_PBC(CG)-MASTER_PBC(CG)-MASTER" xfId="147"/>
    <cellStyle name="_03_长期资产申报表_pbc_1" xfId="148"/>
    <cellStyle name="_03_长期资产申报表_pbc_1L" xfId="149"/>
    <cellStyle name="_03_长期资产申报表_pbc_ABC-pbc表20060610" xfId="150"/>
    <cellStyle name="_03_长期资产申报表_pbc_ABC-pbc表20060610_1" xfId="151"/>
    <cellStyle name="_03_长期资产申报表_pbc_ABC-pbc表20060610_1L" xfId="152"/>
    <cellStyle name="_03_长期资产申报表_pbc_ABC-pbc表20060610_Appendix M Footnotes Form.1106.KL" xfId="153"/>
    <cellStyle name="_03_长期资产申报表_pbc_ABC-pbc表20060610_Copy of Footnotes1107" xfId="154"/>
    <cellStyle name="_03_长期资产申报表_pbc_ABC-pbc表20060610_Footnotes1107" xfId="155"/>
    <cellStyle name="_03_长期资产申报表_pbc_ABC-pbc表20060610_PBC(CG)-MASTER" xfId="156"/>
    <cellStyle name="_03_长期资产申报表_pbc_ABC-pbc表20060610_PBC(CG)-MASTER_1" xfId="157"/>
    <cellStyle name="_03_长期资产申报表_pbc_ABC-pbc表20060610_PBC(CG)-MASTER_1L" xfId="158"/>
    <cellStyle name="_03_长期资产申报表_pbc_ABC-pbc表20060610_PBC(CG)-MASTER_Appendix M Footnotes Form.1106.KL" xfId="159"/>
    <cellStyle name="_03_长期资产申报表_pbc_ABC-pbc表20060610_PBC(CG)-MASTER_Copy of Footnotes1107" xfId="160"/>
    <cellStyle name="_03_长期资产申报表_pbc_ABC-pbc表20060610_PBC(CG)-MASTER_Footnotes1107" xfId="161"/>
    <cellStyle name="_03_长期资产申报表_pbc_ABC-pbc表20060610_PBC(CG)-MASTER_PBC(CG)-MASTER" xfId="162"/>
    <cellStyle name="_03_长期资产申报表_pbc_ABC-pbc表20060610－赵静" xfId="163"/>
    <cellStyle name="_03_长期资产申报表_pbc_ABC-pbc表20060610－赵静_1" xfId="164"/>
    <cellStyle name="_03_长期资产申报表_pbc_ABC-pbc表20060610－赵静_1L" xfId="165"/>
    <cellStyle name="_03_长期资产申报表_pbc_ABC-pbc表20060610－赵静_Appendix M Footnotes Form.1106.KL" xfId="166"/>
    <cellStyle name="_03_长期资产申报表_pbc_ABC-pbc表20060610－赵静_Copy of Footnotes1107" xfId="167"/>
    <cellStyle name="_03_长期资产申报表_pbc_ABC-pbc表20060610－赵静_Footnotes1107" xfId="168"/>
    <cellStyle name="_03_长期资产申报表_pbc_ABC-pbc表20060610－赵静_PBC(CG)-MASTER" xfId="169"/>
    <cellStyle name="_03_长期资产申报表_pbc_Appendix M Footnotes Form.1106.KL" xfId="170"/>
    <cellStyle name="_03_长期资产申报表_pbc_Book2" xfId="171"/>
    <cellStyle name="_03_长期资产申报表_pbc_Book2 (2)" xfId="172"/>
    <cellStyle name="_03_长期资产申报表_pbc_Book2 (2)_1" xfId="173"/>
    <cellStyle name="_03_长期资产申报表_pbc_Book2 (2)_1L" xfId="174"/>
    <cellStyle name="_03_长期资产申报表_pbc_Book2 (2)_ABC-pbc表20060610" xfId="175"/>
    <cellStyle name="_03_长期资产申报表_pbc_Book2 (2)_ABC-pbc表20060610_1" xfId="176"/>
    <cellStyle name="_03_长期资产申报表_pbc_Book2 (2)_ABC-pbc表20060610_1L" xfId="177"/>
    <cellStyle name="_03_长期资产申报表_pbc_Book2 (2)_ABC-pbc表20060610_Appendix M Footnotes Form.1106.KL" xfId="178"/>
    <cellStyle name="_03_长期资产申报表_pbc_Book2 (2)_ABC-pbc表20060610_Copy of Footnotes1107" xfId="179"/>
    <cellStyle name="_03_长期资产申报表_pbc_Book2 (2)_ABC-pbc表20060610_Footnotes1107" xfId="180"/>
    <cellStyle name="_03_长期资产申报表_pbc_Book2 (2)_ABC-pbc表20060610_PBC(CG)-MASTER" xfId="181"/>
    <cellStyle name="_03_长期资产申报表_pbc_Book2 (2)_ABC-pbc表20060610_PBC(CG)-MASTER_1" xfId="182"/>
    <cellStyle name="_03_长期资产申报表_pbc_Book2 (2)_ABC-pbc表20060610_PBC(CG)-MASTER_1L" xfId="183"/>
    <cellStyle name="_03_长期资产申报表_pbc_Book2 (2)_ABC-pbc表20060610_PBC(CG)-MASTER_Appendix M Footnotes Form.1106.KL" xfId="184"/>
    <cellStyle name="_03_长期资产申报表_pbc_Book2 (2)_ABC-pbc表20060610_PBC(CG)-MASTER_Copy of Footnotes1107" xfId="185"/>
    <cellStyle name="_03_长期资产申报表_pbc_Book2 (2)_ABC-pbc表20060610_PBC(CG)-MASTER_Footnotes1107" xfId="186"/>
    <cellStyle name="_03_长期资产申报表_pbc_Book2 (2)_ABC-pbc表20060610_PBC(CG)-MASTER_PBC(CG)-MASTER" xfId="187"/>
    <cellStyle name="_03_长期资产申报表_pbc_Book2 (2)_ABC-pbc表20060610－赵静" xfId="188"/>
    <cellStyle name="_03_长期资产申报表_pbc_Book2 (2)_ABC-pbc表20060610－赵静_1" xfId="189"/>
    <cellStyle name="_03_长期资产申报表_pbc_Book2 (2)_ABC-pbc表20060610－赵静_1L" xfId="190"/>
    <cellStyle name="_03_长期资产申报表_pbc_Book2 (2)_ABC-pbc表20060610－赵静_Appendix M Footnotes Form.1106.KL" xfId="191"/>
    <cellStyle name="_03_长期资产申报表_pbc_Book2 (2)_ABC-pbc表20060610－赵静_Copy of Footnotes1107" xfId="192"/>
    <cellStyle name="_03_长期资产申报表_pbc_Book2 (2)_ABC-pbc表20060610－赵静_Footnotes1107" xfId="193"/>
    <cellStyle name="_03_长期资产申报表_pbc_Book2 (2)_ABC-pbc表20060610－赵静_PBC(CG)-MASTER" xfId="194"/>
    <cellStyle name="_03_长期资产申报表_pbc_Book2 (2)_Appendix M Footnotes Form.1106.KL" xfId="195"/>
    <cellStyle name="_03_长期资产申报表_pbc_Book2 (2)_Copy of Footnotes1107" xfId="196"/>
    <cellStyle name="_03_长期资产申报表_pbc_Book2 (2)_Footnotes1107" xfId="197"/>
    <cellStyle name="_03_长期资产申报表_pbc_Book2 (2)_PBC(CG)-MASTER" xfId="198"/>
    <cellStyle name="_03_长期资产申报表_pbc_Book2 (2)_PBC(CG)-MASTER_1" xfId="199"/>
    <cellStyle name="_03_长期资产申报表_pbc_Book2 (2)_PBC(CG)-MASTER_1L" xfId="200"/>
    <cellStyle name="_03_长期资产申报表_pbc_Book2 (2)_PBC(CG)-MASTER_Appendix M Footnotes Form.1106.KL" xfId="201"/>
    <cellStyle name="_03_长期资产申报表_pbc_Book2 (2)_PBC(CG)-MASTER_Copy of Footnotes1107" xfId="202"/>
    <cellStyle name="_03_长期资产申报表_pbc_Book2 (2)_PBC(CG)-MASTER_Footnotes1107" xfId="203"/>
    <cellStyle name="_03_长期资产申报表_pbc_Book2 (2)_PBC(CG)-MASTER_PBC(CG)-MASTER" xfId="204"/>
    <cellStyle name="_03_长期资产申报表_pbc_Book2 (2)_股权等" xfId="205"/>
    <cellStyle name="_03_长期资产申报表_pbc_Book2 (2)_股权等_1" xfId="206"/>
    <cellStyle name="_03_长期资产申报表_pbc_Book2 (2)_股权等_1L" xfId="207"/>
    <cellStyle name="_03_长期资产申报表_pbc_Book2 (2)_股权等_ABC-pbc表20060610" xfId="208"/>
    <cellStyle name="_03_长期资产申报表_pbc_Book2 (2)_股权等_ABC-pbc表20060610_1" xfId="209"/>
    <cellStyle name="_03_长期资产申报表_pbc_Book2 (2)_股权等_ABC-pbc表20060610_1L" xfId="210"/>
    <cellStyle name="_03_长期资产申报表_pbc_Book2 (2)_股权等_ABC-pbc表20060610_Appendix M Footnotes Form.1106.KL" xfId="211"/>
    <cellStyle name="_03_长期资产申报表_pbc_Book2 (2)_股权等_ABC-pbc表20060610_Copy of Footnotes1107" xfId="212"/>
    <cellStyle name="_03_长期资产申报表_pbc_Book2 (2)_股权等_ABC-pbc表20060610_Footnotes1107" xfId="213"/>
    <cellStyle name="_03_长期资产申报表_pbc_Book2 (2)_股权等_ABC-pbc表20060610_PBC(CG)-MASTER" xfId="214"/>
    <cellStyle name="_03_长期资产申报表_pbc_Book2 (2)_股权等_ABC-pbc表20060610_PBC(CG)-MASTER_1" xfId="215"/>
    <cellStyle name="_03_长期资产申报表_pbc_Book2 (2)_股权等_ABC-pbc表20060610_PBC(CG)-MASTER_1L" xfId="216"/>
    <cellStyle name="_03_长期资产申报表_pbc_Book2 (2)_股权等_ABC-pbc表20060610_PBC(CG)-MASTER_Appendix M Footnotes Form.1106.KL" xfId="217"/>
    <cellStyle name="_03_长期资产申报表_pbc_Book2 (2)_股权等_ABC-pbc表20060610_PBC(CG)-MASTER_Copy of Footnotes1107" xfId="218"/>
    <cellStyle name="_03_长期资产申报表_pbc_Book2 (2)_股权等_ABC-pbc表20060610_PBC(CG)-MASTER_Footnotes1107" xfId="219"/>
    <cellStyle name="_03_长期资产申报表_pbc_Book2 (2)_股权等_ABC-pbc表20060610_PBC(CG)-MASTER_PBC(CG)-MASTER" xfId="220"/>
    <cellStyle name="_03_长期资产申报表_pbc_Book2 (2)_股权等_ABC-pbc表20060610－赵静" xfId="221"/>
    <cellStyle name="_03_长期资产申报表_pbc_Book2 (2)_股权等_ABC-pbc表20060610－赵静_1" xfId="222"/>
    <cellStyle name="_03_长期资产申报表_pbc_Book2 (2)_股权等_ABC-pbc表20060610－赵静_1L" xfId="223"/>
    <cellStyle name="_03_长期资产申报表_pbc_Book2 (2)_股权等_ABC-pbc表20060610－赵静_Appendix M Footnotes Form.1106.KL" xfId="224"/>
    <cellStyle name="_03_长期资产申报表_pbc_Book2 (2)_股权等_ABC-pbc表20060610－赵静_Copy of Footnotes1107" xfId="225"/>
    <cellStyle name="_03_长期资产申报表_pbc_Book2 (2)_股权等_ABC-pbc表20060610－赵静_Footnotes1107" xfId="226"/>
    <cellStyle name="_03_长期资产申报表_pbc_Book2 (2)_股权等_ABC-pbc表20060610－赵静_PBC(CG)-MASTER" xfId="227"/>
    <cellStyle name="_03_长期资产申报表_pbc_Book2 (2)_股权等_Appendix M Footnotes Form.1106.KL" xfId="228"/>
    <cellStyle name="_03_长期资产申报表_pbc_Book2 (2)_股权等_Copy of Footnotes1107" xfId="229"/>
    <cellStyle name="_03_长期资产申报表_pbc_Book2 (2)_股权等_Footnotes1107" xfId="230"/>
    <cellStyle name="_03_长期资产申报表_pbc_Book2 (2)_股权等_PBC(CG)-MASTER" xfId="231"/>
    <cellStyle name="_03_长期资产申报表_pbc_Book2 (2)_股权等_PBC(CG)-MASTER_1" xfId="232"/>
    <cellStyle name="_03_长期资产申报表_pbc_Book2 (2)_股权等_PBC(CG)-MASTER_1L" xfId="233"/>
    <cellStyle name="_03_长期资产申报表_pbc_Book2 (2)_股权等_PBC(CG)-MASTER_Appendix M Footnotes Form.1106.KL" xfId="234"/>
    <cellStyle name="_03_长期资产申报表_pbc_Book2 (2)_股权等_PBC(CG)-MASTER_Copy of Footnotes1107" xfId="235"/>
    <cellStyle name="_03_长期资产申报表_pbc_Book2 (2)_股权等_PBC(CG)-MASTER_Footnotes1107" xfId="236"/>
    <cellStyle name="_03_长期资产申报表_pbc_Book2 (2)_股权等_PBC(CG)-MASTER_PBC(CG)-MASTER" xfId="237"/>
    <cellStyle name="_03_长期资产申报表_pbc_Book2 (2)_股权等_原ABC-pbc表" xfId="238"/>
    <cellStyle name="_03_长期资产申报表_pbc_Book2 (2)_股权等_原ABC-pbc表_1" xfId="239"/>
    <cellStyle name="_03_长期资产申报表_pbc_Book2 (2)_股权等_原ABC-pbc表_1L" xfId="240"/>
    <cellStyle name="_03_长期资产申报表_pbc_Book2 (2)_股权等_原ABC-pbc表_Appendix M Footnotes Form.1106.KL" xfId="241"/>
    <cellStyle name="_03_长期资产申报表_pbc_Book2 (2)_股权等_原ABC-pbc表_Copy of Footnotes1107" xfId="242"/>
    <cellStyle name="_03_长期资产申报表_pbc_Book2 (2)_股权等_原ABC-pbc表_Footnotes1107" xfId="243"/>
    <cellStyle name="_03_长期资产申报表_pbc_Book2 (2)_股权等_原ABC-pbc表_PBC(CG)-MASTER" xfId="244"/>
    <cellStyle name="_03_长期资产申报表_pbc_Book2 (2)_原ABC-pbc表" xfId="245"/>
    <cellStyle name="_03_长期资产申报表_pbc_Book2 (2)_原ABC-pbc表_1" xfId="246"/>
    <cellStyle name="_03_长期资产申报表_pbc_Book2 (2)_原ABC-pbc表_1L" xfId="247"/>
    <cellStyle name="_03_长期资产申报表_pbc_Book2 (2)_原ABC-pbc表_Appendix M Footnotes Form.1106.KL" xfId="248"/>
    <cellStyle name="_03_长期资产申报表_pbc_Book2 (2)_原ABC-pbc表_Copy of Footnotes1107" xfId="249"/>
    <cellStyle name="_03_长期资产申报表_pbc_Book2 (2)_原ABC-pbc表_Footnotes1107" xfId="250"/>
    <cellStyle name="_03_长期资产申报表_pbc_Book2 (2)_原ABC-pbc表_PBC(CG)-MASTER" xfId="251"/>
    <cellStyle name="_03_长期资产申报表_pbc_Book2(1)" xfId="252"/>
    <cellStyle name="_03_长期资产申报表_pbc_Book2(1)_1" xfId="253"/>
    <cellStyle name="_03_长期资产申报表_pbc_Book2(1)_1L" xfId="254"/>
    <cellStyle name="_03_长期资产申报表_pbc_Book2(1)_ABC-pbc表20060610" xfId="255"/>
    <cellStyle name="_03_长期资产申报表_pbc_Book2(1)_ABC-pbc表20060610_1" xfId="256"/>
    <cellStyle name="_03_长期资产申报表_pbc_Book2(1)_ABC-pbc表20060610_1L" xfId="257"/>
    <cellStyle name="_03_长期资产申报表_pbc_Book2(1)_ABC-pbc表20060610_Appendix M Footnotes Form.1106.KL" xfId="258"/>
    <cellStyle name="_03_长期资产申报表_pbc_Book2(1)_ABC-pbc表20060610_Copy of Footnotes1107" xfId="259"/>
    <cellStyle name="_03_长期资产申报表_pbc_Book2(1)_ABC-pbc表20060610_Footnotes1107" xfId="260"/>
    <cellStyle name="_03_长期资产申报表_pbc_Book2(1)_ABC-pbc表20060610_PBC(CG)-MASTER" xfId="261"/>
    <cellStyle name="_03_长期资产申报表_pbc_Book2(1)_ABC-pbc表20060610_PBC(CG)-MASTER_1" xfId="262"/>
    <cellStyle name="_03_长期资产申报表_pbc_Book2(1)_ABC-pbc表20060610_PBC(CG)-MASTER_1L" xfId="263"/>
    <cellStyle name="_03_长期资产申报表_pbc_Book2(1)_ABC-pbc表20060610_PBC(CG)-MASTER_Appendix M Footnotes Form.1106.KL" xfId="264"/>
    <cellStyle name="_03_长期资产申报表_pbc_Book2(1)_ABC-pbc表20060610_PBC(CG)-MASTER_Copy of Footnotes1107" xfId="265"/>
    <cellStyle name="_03_长期资产申报表_pbc_Book2(1)_ABC-pbc表20060610_PBC(CG)-MASTER_Footnotes1107" xfId="266"/>
    <cellStyle name="_03_长期资产申报表_pbc_Book2(1)_ABC-pbc表20060610_PBC(CG)-MASTER_PBC(CG)-MASTER" xfId="267"/>
    <cellStyle name="_03_长期资产申报表_pbc_Book2(1)_ABC-pbc表20060610－赵静" xfId="268"/>
    <cellStyle name="_03_长期资产申报表_pbc_Book2(1)_ABC-pbc表20060610－赵静_1" xfId="269"/>
    <cellStyle name="_03_长期资产申报表_pbc_Book2(1)_ABC-pbc表20060610－赵静_1L" xfId="270"/>
    <cellStyle name="_03_长期资产申报表_pbc_Book2(1)_ABC-pbc表20060610－赵静_Appendix M Footnotes Form.1106.KL" xfId="271"/>
    <cellStyle name="_03_长期资产申报表_pbc_Book2(1)_ABC-pbc表20060610－赵静_Copy of Footnotes1107" xfId="272"/>
    <cellStyle name="_03_长期资产申报表_pbc_Book2(1)_ABC-pbc表20060610－赵静_Footnotes1107" xfId="273"/>
    <cellStyle name="_03_长期资产申报表_pbc_Book2(1)_ABC-pbc表20060610－赵静_PBC(CG)-MASTER" xfId="274"/>
    <cellStyle name="_03_长期资产申报表_pbc_Book2(1)_Appendix M Footnotes Form.1106.KL" xfId="275"/>
    <cellStyle name="_03_长期资产申报表_pbc_Book2(1)_Copy of Footnotes1107" xfId="276"/>
    <cellStyle name="_03_长期资产申报表_pbc_Book2(1)_Footnotes1107" xfId="277"/>
    <cellStyle name="_03_长期资产申报表_pbc_Book2(1)_PBC(CG)-MASTER" xfId="278"/>
    <cellStyle name="_03_长期资产申报表_pbc_Book2(1)_PBC(CG)-MASTER_1" xfId="279"/>
    <cellStyle name="_03_长期资产申报表_pbc_Book2(1)_PBC(CG)-MASTER_1L" xfId="280"/>
    <cellStyle name="_03_长期资产申报表_pbc_Book2(1)_PBC(CG)-MASTER_Appendix M Footnotes Form.1106.KL" xfId="281"/>
    <cellStyle name="_03_长期资产申报表_pbc_Book2(1)_PBC(CG)-MASTER_Copy of Footnotes1107" xfId="282"/>
    <cellStyle name="_03_长期资产申报表_pbc_Book2(1)_PBC(CG)-MASTER_Footnotes1107" xfId="283"/>
    <cellStyle name="_03_长期资产申报表_pbc_Book2(1)_PBC(CG)-MASTER_PBC(CG)-MASTER" xfId="284"/>
    <cellStyle name="_03_长期资产申报表_pbc_Book2(1)_股权等" xfId="285"/>
    <cellStyle name="_03_长期资产申报表_pbc_Book2(1)_股权等_1" xfId="286"/>
    <cellStyle name="_03_长期资产申报表_pbc_Book2(1)_股权等_1L" xfId="287"/>
    <cellStyle name="_03_长期资产申报表_pbc_Book2(1)_股权等_ABC-pbc表20060610" xfId="288"/>
    <cellStyle name="_03_长期资产申报表_pbc_Book2(1)_股权等_ABC-pbc表20060610_1" xfId="289"/>
    <cellStyle name="_03_长期资产申报表_pbc_Book2(1)_股权等_ABC-pbc表20060610_1L" xfId="290"/>
    <cellStyle name="_03_长期资产申报表_pbc_Book2(1)_股权等_ABC-pbc表20060610_Appendix M Footnotes Form.1106.KL" xfId="291"/>
    <cellStyle name="_03_长期资产申报表_pbc_Book2(1)_股权等_ABC-pbc表20060610_Copy of Footnotes1107" xfId="292"/>
    <cellStyle name="_03_长期资产申报表_pbc_Book2(1)_股权等_ABC-pbc表20060610_Footnotes1107" xfId="293"/>
    <cellStyle name="_03_长期资产申报表_pbc_Book2(1)_股权等_ABC-pbc表20060610_PBC(CG)-MASTER" xfId="294"/>
    <cellStyle name="_03_长期资产申报表_pbc_Book2(1)_股权等_ABC-pbc表20060610_PBC(CG)-MASTER_1" xfId="295"/>
    <cellStyle name="_03_长期资产申报表_pbc_Book2(1)_股权等_ABC-pbc表20060610_PBC(CG)-MASTER_1L" xfId="296"/>
    <cellStyle name="_03_长期资产申报表_pbc_Book2(1)_股权等_ABC-pbc表20060610_PBC(CG)-MASTER_Appendix M Footnotes Form.1106.KL" xfId="297"/>
    <cellStyle name="_03_长期资产申报表_pbc_Book2(1)_股权等_ABC-pbc表20060610_PBC(CG)-MASTER_Copy of Footnotes1107" xfId="298"/>
    <cellStyle name="_03_长期资产申报表_pbc_Book2(1)_股权等_ABC-pbc表20060610_PBC(CG)-MASTER_Footnotes1107" xfId="299"/>
    <cellStyle name="_03_长期资产申报表_pbc_Book2(1)_股权等_ABC-pbc表20060610_PBC(CG)-MASTER_PBC(CG)-MASTER" xfId="300"/>
    <cellStyle name="_03_长期资产申报表_pbc_Book2(1)_股权等_ABC-pbc表20060610－赵静" xfId="301"/>
    <cellStyle name="_03_长期资产申报表_pbc_Book2(1)_股权等_ABC-pbc表20060610－赵静_1" xfId="302"/>
    <cellStyle name="_03_长期资产申报表_pbc_Book2(1)_股权等_ABC-pbc表20060610－赵静_1L" xfId="303"/>
    <cellStyle name="_03_长期资产申报表_pbc_Book2(1)_股权等_ABC-pbc表20060610－赵静_Appendix M Footnotes Form.1106.KL" xfId="304"/>
    <cellStyle name="_03_长期资产申报表_pbc_Book2(1)_股权等_ABC-pbc表20060610－赵静_Copy of Footnotes1107" xfId="305"/>
    <cellStyle name="_03_长期资产申报表_pbc_Book2(1)_股权等_ABC-pbc表20060610－赵静_Footnotes1107" xfId="306"/>
    <cellStyle name="_03_长期资产申报表_pbc_Book2(1)_股权等_ABC-pbc表20060610－赵静_PBC(CG)-MASTER" xfId="307"/>
    <cellStyle name="_03_长期资产申报表_pbc_Book2(1)_股权等_Appendix M Footnotes Form.1106.KL" xfId="308"/>
    <cellStyle name="_03_长期资产申报表_pbc_Book2(1)_股权等_Copy of Footnotes1107" xfId="309"/>
    <cellStyle name="_03_长期资产申报表_pbc_Book2(1)_股权等_Footnotes1107" xfId="310"/>
    <cellStyle name="_03_长期资产申报表_pbc_Book2(1)_股权等_PBC(CG)-MASTER" xfId="311"/>
    <cellStyle name="_03_长期资产申报表_pbc_Book2(1)_股权等_PBC(CG)-MASTER_1" xfId="312"/>
    <cellStyle name="_03_长期资产申报表_pbc_Book2(1)_股权等_PBC(CG)-MASTER_1L" xfId="313"/>
    <cellStyle name="_03_长期资产申报表_pbc_Book2(1)_股权等_PBC(CG)-MASTER_Appendix M Footnotes Form.1106.KL" xfId="314"/>
    <cellStyle name="_03_长期资产申报表_pbc_Book2(1)_股权等_PBC(CG)-MASTER_Copy of Footnotes1107" xfId="315"/>
    <cellStyle name="_03_长期资产申报表_pbc_Book2(1)_股权等_PBC(CG)-MASTER_Footnotes1107" xfId="316"/>
    <cellStyle name="_03_长期资产申报表_pbc_Book2(1)_股权等_PBC(CG)-MASTER_PBC(CG)-MASTER" xfId="317"/>
    <cellStyle name="_03_长期资产申报表_pbc_Book2(1)_股权等_原ABC-pbc表" xfId="318"/>
    <cellStyle name="_03_长期资产申报表_pbc_Book2(1)_股权等_原ABC-pbc表_1" xfId="319"/>
    <cellStyle name="_03_长期资产申报表_pbc_Book2(1)_股权等_原ABC-pbc表_1L" xfId="320"/>
    <cellStyle name="_03_长期资产申报表_pbc_Book2(1)_股权等_原ABC-pbc表_Appendix M Footnotes Form.1106.KL" xfId="321"/>
    <cellStyle name="_03_长期资产申报表_pbc_Book2(1)_股权等_原ABC-pbc表_Copy of Footnotes1107" xfId="322"/>
    <cellStyle name="_03_长期资产申报表_pbc_Book2(1)_股权等_原ABC-pbc表_Footnotes1107" xfId="323"/>
    <cellStyle name="_03_长期资产申报表_pbc_Book2(1)_股权等_原ABC-pbc表_PBC(CG)-MASTER" xfId="324"/>
    <cellStyle name="_03_长期资产申报表_pbc_Book2(1)_原ABC-pbc表" xfId="325"/>
    <cellStyle name="_03_长期资产申报表_pbc_Book2(1)_原ABC-pbc表_1" xfId="326"/>
    <cellStyle name="_03_长期资产申报表_pbc_Book2(1)_原ABC-pbc表_1L" xfId="327"/>
    <cellStyle name="_03_长期资产申报表_pbc_Book2(1)_原ABC-pbc表_Appendix M Footnotes Form.1106.KL" xfId="328"/>
    <cellStyle name="_03_长期资产申报表_pbc_Book2(1)_原ABC-pbc表_Copy of Footnotes1107" xfId="329"/>
    <cellStyle name="_03_长期资产申报表_pbc_Book2(1)_原ABC-pbc表_Footnotes1107" xfId="330"/>
    <cellStyle name="_03_长期资产申报表_pbc_Book2(1)_原ABC-pbc表_PBC(CG)-MASTER" xfId="331"/>
    <cellStyle name="_03_长期资产申报表_pbc_Book2_1" xfId="332"/>
    <cellStyle name="_03_长期资产申报表_pbc_Book2_1L" xfId="333"/>
    <cellStyle name="_03_长期资产申报表_pbc_Book2_ABC-pbc表20060610" xfId="334"/>
    <cellStyle name="_03_长期资产申报表_pbc_Book2_ABC-pbc表20060610_1" xfId="335"/>
    <cellStyle name="_03_长期资产申报表_pbc_Book2_ABC-pbc表20060610_1L" xfId="336"/>
    <cellStyle name="_03_长期资产申报表_pbc_Book2_ABC-pbc表20060610_Appendix M Footnotes Form.1106.KL" xfId="337"/>
    <cellStyle name="_03_长期资产申报表_pbc_Book2_ABC-pbc表20060610_Copy of Footnotes1107" xfId="338"/>
    <cellStyle name="_03_长期资产申报表_pbc_Book2_ABC-pbc表20060610_Footnotes1107" xfId="339"/>
    <cellStyle name="_03_长期资产申报表_pbc_Book2_ABC-pbc表20060610_PBC(CG)-MASTER" xfId="340"/>
    <cellStyle name="_03_长期资产申报表_pbc_Book2_ABC-pbc表20060610_PBC(CG)-MASTER_1" xfId="341"/>
    <cellStyle name="_03_长期资产申报表_pbc_Book2_ABC-pbc表20060610_PBC(CG)-MASTER_1L" xfId="342"/>
    <cellStyle name="_03_长期资产申报表_pbc_Book2_ABC-pbc表20060610_PBC(CG)-MASTER_Appendix M Footnotes Form.1106.KL" xfId="343"/>
    <cellStyle name="_03_长期资产申报表_pbc_Book2_ABC-pbc表20060610_PBC(CG)-MASTER_Copy of Footnotes1107" xfId="344"/>
    <cellStyle name="_03_长期资产申报表_pbc_Book2_ABC-pbc表20060610_PBC(CG)-MASTER_Footnotes1107" xfId="345"/>
    <cellStyle name="_03_长期资产申报表_pbc_Book2_ABC-pbc表20060610_PBC(CG)-MASTER_PBC(CG)-MASTER" xfId="346"/>
    <cellStyle name="_03_长期资产申报表_pbc_Book2_ABC-pbc表20060610－赵静" xfId="347"/>
    <cellStyle name="_03_长期资产申报表_pbc_Book2_ABC-pbc表20060610－赵静_1" xfId="348"/>
    <cellStyle name="_03_长期资产申报表_pbc_Book2_ABC-pbc表20060610－赵静_1L" xfId="349"/>
    <cellStyle name="_03_长期资产申报表_pbc_Book2_ABC-pbc表20060610－赵静_Appendix M Footnotes Form.1106.KL" xfId="350"/>
    <cellStyle name="_03_长期资产申报表_pbc_Book2_ABC-pbc表20060610－赵静_Copy of Footnotes1107" xfId="351"/>
    <cellStyle name="_03_长期资产申报表_pbc_Book2_ABC-pbc表20060610－赵静_Footnotes1107" xfId="352"/>
    <cellStyle name="_03_长期资产申报表_pbc_Book2_ABC-pbc表20060610－赵静_PBC(CG)-MASTER" xfId="353"/>
    <cellStyle name="_03_长期资产申报表_pbc_Book2_Appendix M Footnotes Form.1106.KL" xfId="354"/>
    <cellStyle name="_03_长期资产申报表_pbc_Book2_Copy of Footnotes1107" xfId="355"/>
    <cellStyle name="_03_长期资产申报表_pbc_Book2_Footnotes1107" xfId="356"/>
    <cellStyle name="_03_长期资产申报表_pbc_Book2_PBC(CG)-MASTER" xfId="357"/>
    <cellStyle name="_03_长期资产申报表_pbc_Book2_PBC(CG)-MASTER_1" xfId="358"/>
    <cellStyle name="_03_长期资产申报表_pbc_Book2_PBC(CG)-MASTER_1L" xfId="359"/>
    <cellStyle name="_03_长期资产申报表_pbc_Book2_PBC(CG)-MASTER_Appendix M Footnotes Form.1106.KL" xfId="360"/>
    <cellStyle name="_03_长期资产申报表_pbc_Book2_PBC(CG)-MASTER_Copy of Footnotes1107" xfId="361"/>
    <cellStyle name="_03_长期资产申报表_pbc_Book2_PBC(CG)-MASTER_Footnotes1107" xfId="362"/>
    <cellStyle name="_03_长期资产申报表_pbc_Book2_PBC(CG)-MASTER_PBC(CG)-MASTER" xfId="363"/>
    <cellStyle name="_03_长期资产申报表_pbc_Book2_股权等" xfId="364"/>
    <cellStyle name="_03_长期资产申报表_pbc_Book2_股权等_1" xfId="365"/>
    <cellStyle name="_03_长期资产申报表_pbc_Book2_股权等_1L" xfId="366"/>
    <cellStyle name="_03_长期资产申报表_pbc_Book2_股权等_ABC-pbc表20060610" xfId="367"/>
    <cellStyle name="_03_长期资产申报表_pbc_Book2_股权等_ABC-pbc表20060610_1" xfId="368"/>
    <cellStyle name="_03_长期资产申报表_pbc_Book2_股权等_ABC-pbc表20060610_1L" xfId="369"/>
    <cellStyle name="_03_长期资产申报表_pbc_Book2_股权等_ABC-pbc表20060610_Appendix M Footnotes Form.1106.KL" xfId="370"/>
    <cellStyle name="_03_长期资产申报表_pbc_Book2_股权等_ABC-pbc表20060610_Copy of Footnotes1107" xfId="371"/>
    <cellStyle name="_03_长期资产申报表_pbc_Book2_股权等_ABC-pbc表20060610_Footnotes1107" xfId="372"/>
    <cellStyle name="_03_长期资产申报表_pbc_Book2_股权等_ABC-pbc表20060610_PBC(CG)-MASTER" xfId="373"/>
    <cellStyle name="_03_长期资产申报表_pbc_Book2_股权等_ABC-pbc表20060610_PBC(CG)-MASTER_1" xfId="374"/>
    <cellStyle name="_03_长期资产申报表_pbc_Book2_股权等_ABC-pbc表20060610_PBC(CG)-MASTER_1L" xfId="375"/>
    <cellStyle name="_03_长期资产申报表_pbc_Book2_股权等_ABC-pbc表20060610_PBC(CG)-MASTER_Appendix M Footnotes Form.1106.KL" xfId="376"/>
    <cellStyle name="_03_长期资产申报表_pbc_Book2_股权等_ABC-pbc表20060610_PBC(CG)-MASTER_Copy of Footnotes1107" xfId="377"/>
    <cellStyle name="_03_长期资产申报表_pbc_Book2_股权等_ABC-pbc表20060610_PBC(CG)-MASTER_Footnotes1107" xfId="378"/>
    <cellStyle name="_03_长期资产申报表_pbc_Book2_股权等_ABC-pbc表20060610_PBC(CG)-MASTER_PBC(CG)-MASTER" xfId="379"/>
    <cellStyle name="_03_长期资产申报表_pbc_Book2_股权等_ABC-pbc表20060610－赵静" xfId="380"/>
    <cellStyle name="_03_长期资产申报表_pbc_Book2_股权等_ABC-pbc表20060610－赵静_1" xfId="381"/>
    <cellStyle name="_03_长期资产申报表_pbc_Book2_股权等_ABC-pbc表20060610－赵静_1L" xfId="382"/>
    <cellStyle name="_03_长期资产申报表_pbc_Book2_股权等_ABC-pbc表20060610－赵静_Appendix M Footnotes Form.1106.KL" xfId="383"/>
    <cellStyle name="_03_长期资产申报表_pbc_Book2_股权等_ABC-pbc表20060610－赵静_Copy of Footnotes1107" xfId="384"/>
    <cellStyle name="_03_长期资产申报表_pbc_Book2_股权等_ABC-pbc表20060610－赵静_Footnotes1107" xfId="385"/>
    <cellStyle name="_03_长期资产申报表_pbc_Book2_股权等_ABC-pbc表20060610－赵静_PBC(CG)-MASTER" xfId="386"/>
    <cellStyle name="_03_长期资产申报表_pbc_Book2_股权等_Appendix M Footnotes Form.1106.KL" xfId="387"/>
    <cellStyle name="_03_长期资产申报表_pbc_Book2_股权等_Copy of Footnotes1107" xfId="388"/>
    <cellStyle name="_03_长期资产申报表_pbc_Book2_股权等_Footnotes1107" xfId="389"/>
    <cellStyle name="_03_长期资产申报表_pbc_Book2_股权等_PBC(CG)-MASTER" xfId="390"/>
    <cellStyle name="_03_长期资产申报表_pbc_Book2_股权等_PBC(CG)-MASTER_1" xfId="391"/>
    <cellStyle name="_03_长期资产申报表_pbc_Book2_股权等_PBC(CG)-MASTER_1L" xfId="392"/>
    <cellStyle name="_03_长期资产申报表_pbc_Book2_股权等_PBC(CG)-MASTER_Appendix M Footnotes Form.1106.KL" xfId="393"/>
    <cellStyle name="_03_长期资产申报表_pbc_Book2_股权等_PBC(CG)-MASTER_Copy of Footnotes1107" xfId="394"/>
    <cellStyle name="_03_长期资产申报表_pbc_Book2_股权等_PBC(CG)-MASTER_Footnotes1107" xfId="395"/>
    <cellStyle name="_03_长期资产申报表_pbc_Book2_股权等_PBC(CG)-MASTER_PBC(CG)-MASTER" xfId="396"/>
    <cellStyle name="_03_长期资产申报表_pbc_Book2_股权等_原ABC-pbc表" xfId="397"/>
    <cellStyle name="_03_长期资产申报表_pbc_Book2_股权等_原ABC-pbc表_1" xfId="398"/>
    <cellStyle name="_03_长期资产申报表_pbc_Book2_股权等_原ABC-pbc表_1L" xfId="399"/>
    <cellStyle name="_03_长期资产申报表_pbc_Book2_股权等_原ABC-pbc表_Appendix M Footnotes Form.1106.KL" xfId="400"/>
    <cellStyle name="_03_长期资产申报表_pbc_Book2_股权等_原ABC-pbc表_Copy of Footnotes1107" xfId="401"/>
    <cellStyle name="_03_长期资产申报表_pbc_Book2_股权等_原ABC-pbc表_Footnotes1107" xfId="402"/>
    <cellStyle name="_03_长期资产申报表_pbc_Book2_股权等_原ABC-pbc表_PBC(CG)-MASTER" xfId="403"/>
    <cellStyle name="_03_长期资产申报表_pbc_Book2_原ABC-pbc表" xfId="404"/>
    <cellStyle name="_03_长期资产申报表_pbc_Book2_原ABC-pbc表_1" xfId="405"/>
    <cellStyle name="_03_长期资产申报表_pbc_Book2_原ABC-pbc表_1L" xfId="406"/>
    <cellStyle name="_03_长期资产申报表_pbc_Book2_原ABC-pbc表_Appendix M Footnotes Form.1106.KL" xfId="407"/>
    <cellStyle name="_03_长期资产申报表_pbc_Book2_原ABC-pbc表_Copy of Footnotes1107" xfId="408"/>
    <cellStyle name="_03_长期资产申报表_pbc_Book2_原ABC-pbc表_Footnotes1107" xfId="409"/>
    <cellStyle name="_03_长期资产申报表_pbc_Book2_原ABC-pbc表_PBC(CG)-MASTER" xfId="410"/>
    <cellStyle name="_03_长期资产申报表_pbc_Book2222222222222222222222222222222222222222222222222" xfId="411"/>
    <cellStyle name="_03_长期资产申报表_pbc_Book2222222222222222222222222222222222222222222222222_1" xfId="412"/>
    <cellStyle name="_03_长期资产申报表_pbc_Book2222222222222222222222222222222222222222222222222_1L" xfId="413"/>
    <cellStyle name="_03_长期资产申报表_pbc_Book2222222222222222222222222222222222222222222222222_ABC-pbc表20060610" xfId="414"/>
    <cellStyle name="_03_长期资产申报表_pbc_Book2222222222222222222222222222222222222222222222222_ABC-pbc表20060610_1" xfId="415"/>
    <cellStyle name="_03_长期资产申报表_pbc_Book2222222222222222222222222222222222222222222222222_ABC-pbc表20060610_1L" xfId="416"/>
    <cellStyle name="_03_长期资产申报表_pbc_Book2222222222222222222222222222222222222222222222222_ABC-pbc表20060610_Appendix M Footnotes Form.1106.KL" xfId="417"/>
    <cellStyle name="_03_长期资产申报表_pbc_Book2222222222222222222222222222222222222222222222222_ABC-pbc表20060610_Copy of Footnotes1107" xfId="418"/>
    <cellStyle name="_03_长期资产申报表_pbc_Book2222222222222222222222222222222222222222222222222_ABC-pbc表20060610_Footnotes1107" xfId="419"/>
    <cellStyle name="_03_长期资产申报表_pbc_Book2222222222222222222222222222222222222222222222222_ABC-pbc表20060610_PBC(CG)-MASTER" xfId="420"/>
    <cellStyle name="_03_长期资产申报表_pbc_Book2222222222222222222222222222222222222222222222222_ABC-pbc表20060610_PBC(CG)-MASTER_1" xfId="421"/>
    <cellStyle name="_03_长期资产申报表_pbc_Book2222222222222222222222222222222222222222222222222_ABC-pbc表20060610_PBC(CG)-MASTER_1L" xfId="422"/>
    <cellStyle name="_03_长期资产申报表_pbc_Book2222222222222222222222222222222222222222222222222_ABC-pbc表20060610_PBC(CG)-MASTER_Appendix M Footnotes Form.1106.KL" xfId="423"/>
    <cellStyle name="_03_长期资产申报表_pbc_Book2222222222222222222222222222222222222222222222222_ABC-pbc表20060610_PBC(CG)-MASTER_Copy of Footnotes1107" xfId="424"/>
    <cellStyle name="_03_长期资产申报表_pbc_Book2222222222222222222222222222222222222222222222222_ABC-pbc表20060610_PBC(CG)-MASTER_Footnotes1107" xfId="425"/>
    <cellStyle name="_03_长期资产申报表_pbc_Book2222222222222222222222222222222222222222222222222_ABC-pbc表20060610_PBC(CG)-MASTER_PBC(CG)-MASTER" xfId="426"/>
    <cellStyle name="_03_长期资产申报表_pbc_Book2222222222222222222222222222222222222222222222222_ABC-pbc表20060610－赵静" xfId="427"/>
    <cellStyle name="_03_长期资产申报表_pbc_Book2222222222222222222222222222222222222222222222222_ABC-pbc表20060610－赵静_1" xfId="428"/>
    <cellStyle name="_03_长期资产申报表_pbc_Book2222222222222222222222222222222222222222222222222_ABC-pbc表20060610－赵静_1L" xfId="429"/>
    <cellStyle name="_03_长期资产申报表_pbc_Book2222222222222222222222222222222222222222222222222_ABC-pbc表20060610－赵静_Appendix M Footnotes Form.1106.KL" xfId="430"/>
    <cellStyle name="_03_长期资产申报表_pbc_Book2222222222222222222222222222222222222222222222222_ABC-pbc表20060610－赵静_Copy of Footnotes1107" xfId="431"/>
    <cellStyle name="_03_长期资产申报表_pbc_Book2222222222222222222222222222222222222222222222222_ABC-pbc表20060610－赵静_Footnotes1107" xfId="432"/>
    <cellStyle name="_03_长期资产申报表_pbc_Book2222222222222222222222222222222222222222222222222_ABC-pbc表20060610－赵静_PBC(CG)-MASTER" xfId="433"/>
    <cellStyle name="_03_长期资产申报表_pbc_Book2222222222222222222222222222222222222222222222222_Appendix M Footnotes Form.1106.KL" xfId="434"/>
    <cellStyle name="_03_长期资产申报表_pbc_Book2222222222222222222222222222222222222222222222222_Copy of Footnotes1107" xfId="435"/>
    <cellStyle name="_03_长期资产申报表_pbc_Book2222222222222222222222222222222222222222222222222_Footnotes1107" xfId="436"/>
    <cellStyle name="_03_长期资产申报表_pbc_Book2222222222222222222222222222222222222222222222222_PBC(CG)-MASTER" xfId="437"/>
    <cellStyle name="_03_长期资产申报表_pbc_Book2222222222222222222222222222222222222222222222222_PBC(CG)-MASTER_1" xfId="438"/>
    <cellStyle name="_03_长期资产申报表_pbc_Book2222222222222222222222222222222222222222222222222_PBC(CG)-MASTER_1L" xfId="439"/>
    <cellStyle name="_03_长期资产申报表_pbc_Book2222222222222222222222222222222222222222222222222_PBC(CG)-MASTER_Appendix M Footnotes Form.1106.KL" xfId="440"/>
    <cellStyle name="_03_长期资产申报表_pbc_Book2222222222222222222222222222222222222222222222222_PBC(CG)-MASTER_Copy of Footnotes1107" xfId="441"/>
    <cellStyle name="_03_长期资产申报表_pbc_Book2222222222222222222222222222222222222222222222222_PBC(CG)-MASTER_Footnotes1107" xfId="442"/>
    <cellStyle name="_03_长期资产申报表_pbc_Book2222222222222222222222222222222222222222222222222_PBC(CG)-MASTER_PBC(CG)-MASTER" xfId="443"/>
    <cellStyle name="_03_长期资产申报表_pbc_Book2222222222222222222222222222222222222222222222222_股权等" xfId="444"/>
    <cellStyle name="_03_长期资产申报表_pbc_Book2222222222222222222222222222222222222222222222222_股权等_1" xfId="445"/>
    <cellStyle name="_03_长期资产申报表_pbc_Book2222222222222222222222222222222222222222222222222_股权等_1L" xfId="446"/>
    <cellStyle name="_03_长期资产申报表_pbc_Book2222222222222222222222222222222222222222222222222_股权等_ABC-pbc表20060610" xfId="447"/>
    <cellStyle name="_03_长期资产申报表_pbc_Book2222222222222222222222222222222222222222222222222_股权等_ABC-pbc表20060610_1" xfId="448"/>
    <cellStyle name="_03_长期资产申报表_pbc_Book2222222222222222222222222222222222222222222222222_股权等_ABC-pbc表20060610_1L" xfId="449"/>
    <cellStyle name="_03_长期资产申报表_pbc_Book2222222222222222222222222222222222222222222222222_股权等_ABC-pbc表20060610_Appendix M Footnotes Form.1106.KL" xfId="450"/>
    <cellStyle name="_03_长期资产申报表_pbc_Book2222222222222222222222222222222222222222222222222_股权等_ABC-pbc表20060610_Copy of Footnotes1107" xfId="451"/>
    <cellStyle name="_03_长期资产申报表_pbc_Book2222222222222222222222222222222222222222222222222_股权等_ABC-pbc表20060610_Footnotes1107" xfId="452"/>
    <cellStyle name="_03_长期资产申报表_pbc_Book2222222222222222222222222222222222222222222222222_股权等_ABC-pbc表20060610_PBC(CG)-MASTER" xfId="453"/>
    <cellStyle name="_03_长期资产申报表_pbc_Book2222222222222222222222222222222222222222222222222_股权等_ABC-pbc表20060610_PBC(CG)-MASTER_1" xfId="454"/>
    <cellStyle name="_03_长期资产申报表_pbc_Book2222222222222222222222222222222222222222222222222_股权等_ABC-pbc表20060610_PBC(CG)-MASTER_1L" xfId="455"/>
    <cellStyle name="_03_长期资产申报表_pbc_Book2222222222222222222222222222222222222222222222222_股权等_ABC-pbc表20060610_PBC(CG)-MASTER_Appendix M Footnotes Form.1106.KL" xfId="456"/>
    <cellStyle name="_03_长期资产申报表_pbc_Book2222222222222222222222222222222222222222222222222_股权等_ABC-pbc表20060610_PBC(CG)-MASTER_Copy of Footnotes1107" xfId="457"/>
    <cellStyle name="_03_长期资产申报表_pbc_Book2222222222222222222222222222222222222222222222222_股权等_ABC-pbc表20060610_PBC(CG)-MASTER_Footnotes1107" xfId="458"/>
    <cellStyle name="_03_长期资产申报表_pbc_Book2222222222222222222222222222222222222222222222222_股权等_ABC-pbc表20060610_PBC(CG)-MASTER_PBC(CG)-MASTER" xfId="459"/>
    <cellStyle name="_03_长期资产申报表_pbc_Book2222222222222222222222222222222222222222222222222_股权等_ABC-pbc表20060610－赵静" xfId="460"/>
    <cellStyle name="_03_长期资产申报表_pbc_Book2222222222222222222222222222222222222222222222222_股权等_ABC-pbc表20060610－赵静_1" xfId="461"/>
    <cellStyle name="_03_长期资产申报表_pbc_Book2222222222222222222222222222222222222222222222222_股权等_ABC-pbc表20060610－赵静_1L" xfId="462"/>
    <cellStyle name="_03_长期资产申报表_pbc_Book2222222222222222222222222222222222222222222222222_股权等_ABC-pbc表20060610－赵静_Appendix M Footnotes Form.1106.KL" xfId="463"/>
    <cellStyle name="_03_长期资产申报表_pbc_Book2222222222222222222222222222222222222222222222222_股权等_ABC-pbc表20060610－赵静_Copy of Footnotes1107" xfId="464"/>
    <cellStyle name="_03_长期资产申报表_pbc_Book2222222222222222222222222222222222222222222222222_股权等_ABC-pbc表20060610－赵静_Footnotes1107" xfId="465"/>
    <cellStyle name="_03_长期资产申报表_pbc_Book2222222222222222222222222222222222222222222222222_股权等_ABC-pbc表20060610－赵静_PBC(CG)-MASTER" xfId="466"/>
    <cellStyle name="_03_长期资产申报表_pbc_Book2222222222222222222222222222222222222222222222222_股权等_Appendix M Footnotes Form.1106.KL" xfId="467"/>
    <cellStyle name="_03_长期资产申报表_pbc_Book2222222222222222222222222222222222222222222222222_股权等_Copy of Footnotes1107" xfId="468"/>
    <cellStyle name="_03_长期资产申报表_pbc_Book2222222222222222222222222222222222222222222222222_股权等_Footnotes1107" xfId="469"/>
    <cellStyle name="_03_长期资产申报表_pbc_Book2222222222222222222222222222222222222222222222222_股权等_PBC(CG)-MASTER" xfId="470"/>
    <cellStyle name="_03_长期资产申报表_pbc_Book2222222222222222222222222222222222222222222222222_股权等_PBC(CG)-MASTER_1" xfId="471"/>
    <cellStyle name="_03_长期资产申报表_pbc_Book2222222222222222222222222222222222222222222222222_股权等_PBC(CG)-MASTER_1L" xfId="472"/>
    <cellStyle name="_03_长期资产申报表_pbc_Book2222222222222222222222222222222222222222222222222_股权等_PBC(CG)-MASTER_Appendix M Footnotes Form.1106.KL" xfId="473"/>
    <cellStyle name="_03_长期资产申报表_pbc_Book2222222222222222222222222222222222222222222222222_股权等_PBC(CG)-MASTER_Copy of Footnotes1107" xfId="474"/>
    <cellStyle name="_03_长期资产申报表_pbc_Book2222222222222222222222222222222222222222222222222_股权等_PBC(CG)-MASTER_Footnotes1107" xfId="475"/>
    <cellStyle name="_03_长期资产申报表_pbc_Book2222222222222222222222222222222222222222222222222_股权等_PBC(CG)-MASTER_PBC(CG)-MASTER" xfId="476"/>
    <cellStyle name="_03_长期资产申报表_pbc_Book2222222222222222222222222222222222222222222222222_股权等_原ABC-pbc表" xfId="477"/>
    <cellStyle name="_03_长期资产申报表_pbc_Book2222222222222222222222222222222222222222222222222_股权等_原ABC-pbc表_1" xfId="478"/>
    <cellStyle name="_03_长期资产申报表_pbc_Book2222222222222222222222222222222222222222222222222_股权等_原ABC-pbc表_1L" xfId="479"/>
    <cellStyle name="_03_长期资产申报表_pbc_Book2222222222222222222222222222222222222222222222222_股权等_原ABC-pbc表_Appendix M Footnotes Form.1106.KL" xfId="480"/>
    <cellStyle name="_03_长期资产申报表_pbc_Book2222222222222222222222222222222222222222222222222_股权等_原ABC-pbc表_Copy of Footnotes1107" xfId="481"/>
    <cellStyle name="_03_长期资产申报表_pbc_Book2222222222222222222222222222222222222222222222222_股权等_原ABC-pbc表_Footnotes1107" xfId="482"/>
    <cellStyle name="_03_长期资产申报表_pbc_Book2222222222222222222222222222222222222222222222222_股权等_原ABC-pbc表_PBC(CG)-MASTER" xfId="483"/>
    <cellStyle name="_03_长期资产申报表_pbc_Book2222222222222222222222222222222222222222222222222_原ABC-pbc表" xfId="484"/>
    <cellStyle name="_03_长期资产申报表_pbc_Book2222222222222222222222222222222222222222222222222_原ABC-pbc表_1" xfId="485"/>
    <cellStyle name="_03_长期资产申报表_pbc_Book2222222222222222222222222222222222222222222222222_原ABC-pbc表_1L" xfId="486"/>
    <cellStyle name="_03_长期资产申报表_pbc_Book2222222222222222222222222222222222222222222222222_原ABC-pbc表_Appendix M Footnotes Form.1106.KL" xfId="487"/>
    <cellStyle name="_03_长期资产申报表_pbc_Book2222222222222222222222222222222222222222222222222_原ABC-pbc表_Copy of Footnotes1107" xfId="488"/>
    <cellStyle name="_03_长期资产申报表_pbc_Book2222222222222222222222222222222222222222222222222_原ABC-pbc表_Footnotes1107" xfId="489"/>
    <cellStyle name="_03_长期资产申报表_pbc_Book2222222222222222222222222222222222222222222222222_原ABC-pbc表_PBC(CG)-MASTER" xfId="490"/>
    <cellStyle name="_03_长期资产申报表_pbc_Book2wu" xfId="491"/>
    <cellStyle name="_03_长期资产申报表_pbc_Book2wu_1" xfId="492"/>
    <cellStyle name="_03_长期资产申报表_pbc_Book2wu_1L" xfId="493"/>
    <cellStyle name="_03_长期资产申报表_pbc_Book2wu_ABC-pbc表20060610" xfId="494"/>
    <cellStyle name="_03_长期资产申报表_pbc_Book2wu_ABC-pbc表20060610_1" xfId="495"/>
    <cellStyle name="_03_长期资产申报表_pbc_Book2wu_ABC-pbc表20060610_1L" xfId="496"/>
    <cellStyle name="_03_长期资产申报表_pbc_Book2wu_ABC-pbc表20060610_Appendix M Footnotes Form.1106.KL" xfId="497"/>
    <cellStyle name="_03_长期资产申报表_pbc_Book2wu_ABC-pbc表20060610_Copy of Footnotes1107" xfId="498"/>
    <cellStyle name="_03_长期资产申报表_pbc_Book2wu_ABC-pbc表20060610_Footnotes1107" xfId="499"/>
    <cellStyle name="_03_长期资产申报表_pbc_Book2wu_ABC-pbc表20060610_PBC(CG)-MASTER" xfId="500"/>
    <cellStyle name="_03_长期资产申报表_pbc_Book2wu_ABC-pbc表20060610_PBC(CG)-MASTER_1" xfId="501"/>
    <cellStyle name="_03_长期资产申报表_pbc_Book2wu_ABC-pbc表20060610_PBC(CG)-MASTER_1L" xfId="502"/>
    <cellStyle name="_03_长期资产申报表_pbc_Book2wu_ABC-pbc表20060610_PBC(CG)-MASTER_Appendix M Footnotes Form.1106.KL" xfId="503"/>
    <cellStyle name="_03_长期资产申报表_pbc_Book2wu_ABC-pbc表20060610_PBC(CG)-MASTER_Copy of Footnotes1107" xfId="504"/>
    <cellStyle name="_03_长期资产申报表_pbc_Book2wu_ABC-pbc表20060610_PBC(CG)-MASTER_Footnotes1107" xfId="505"/>
    <cellStyle name="_03_长期资产申报表_pbc_Book2wu_ABC-pbc表20060610_PBC(CG)-MASTER_PBC(CG)-MASTER" xfId="506"/>
    <cellStyle name="_03_长期资产申报表_pbc_Book2wu_ABC-pbc表20060610－赵静" xfId="507"/>
    <cellStyle name="_03_长期资产申报表_pbc_Book2wu_ABC-pbc表20060610－赵静_1" xfId="508"/>
    <cellStyle name="_03_长期资产申报表_pbc_Book2wu_ABC-pbc表20060610－赵静_1L" xfId="509"/>
    <cellStyle name="_03_长期资产申报表_pbc_Book2wu_ABC-pbc表20060610－赵静_Appendix M Footnotes Form.1106.KL" xfId="510"/>
    <cellStyle name="_03_长期资产申报表_pbc_Book2wu_ABC-pbc表20060610－赵静_Copy of Footnotes1107" xfId="511"/>
    <cellStyle name="_03_长期资产申报表_pbc_Book2wu_ABC-pbc表20060610－赵静_Footnotes1107" xfId="512"/>
    <cellStyle name="_03_长期资产申报表_pbc_Book2wu_ABC-pbc表20060610－赵静_PBC(CG)-MASTER" xfId="513"/>
    <cellStyle name="_03_长期资产申报表_pbc_Book2wu_Appendix M Footnotes Form.1106.KL" xfId="514"/>
    <cellStyle name="_03_长期资产申报表_pbc_Book2wu_Copy of Footnotes1107" xfId="515"/>
    <cellStyle name="_03_长期资产申报表_pbc_Book2wu_Footnotes1107" xfId="516"/>
    <cellStyle name="_03_长期资产申报表_pbc_Book2wu_PBC(CG)-MASTER" xfId="517"/>
    <cellStyle name="_03_长期资产申报表_pbc_Book2wu_PBC(CG)-MASTER_1" xfId="518"/>
    <cellStyle name="_03_长期资产申报表_pbc_Book2wu_PBC(CG)-MASTER_1L" xfId="519"/>
    <cellStyle name="_03_长期资产申报表_pbc_Book2wu_PBC(CG)-MASTER_Appendix M Footnotes Form.1106.KL" xfId="520"/>
    <cellStyle name="_03_长期资产申报表_pbc_Book2wu_PBC(CG)-MASTER_Copy of Footnotes1107" xfId="521"/>
    <cellStyle name="_03_长期资产申报表_pbc_Book2wu_PBC(CG)-MASTER_Footnotes1107" xfId="522"/>
    <cellStyle name="_03_长期资产申报表_pbc_Book2wu_PBC(CG)-MASTER_PBC(CG)-MASTER" xfId="523"/>
    <cellStyle name="_03_长期资产申报表_pbc_Book2wu_股权等" xfId="524"/>
    <cellStyle name="_03_长期资产申报表_pbc_Book2wu_股权等_1" xfId="525"/>
    <cellStyle name="_03_长期资产申报表_pbc_Book2wu_股权等_1L" xfId="526"/>
    <cellStyle name="_03_长期资产申报表_pbc_Book2wu_股权等_ABC-pbc表20060610" xfId="527"/>
    <cellStyle name="_03_长期资产申报表_pbc_Book2wu_股权等_ABC-pbc表20060610_1" xfId="528"/>
    <cellStyle name="_03_长期资产申报表_pbc_Book2wu_股权等_ABC-pbc表20060610_1L" xfId="529"/>
    <cellStyle name="_03_长期资产申报表_pbc_Book2wu_股权等_ABC-pbc表20060610_Appendix M Footnotes Form.1106.KL" xfId="530"/>
    <cellStyle name="_03_长期资产申报表_pbc_Book2wu_股权等_ABC-pbc表20060610_Copy of Footnotes1107" xfId="531"/>
    <cellStyle name="_03_长期资产申报表_pbc_Book2wu_股权等_ABC-pbc表20060610_Footnotes1107" xfId="532"/>
    <cellStyle name="_03_长期资产申报表_pbc_Book2wu_股权等_ABC-pbc表20060610_PBC(CG)-MASTER" xfId="533"/>
    <cellStyle name="_03_长期资产申报表_pbc_Book2wu_股权等_ABC-pbc表20060610_PBC(CG)-MASTER_1" xfId="534"/>
    <cellStyle name="_03_长期资产申报表_pbc_Book2wu_股权等_ABC-pbc表20060610_PBC(CG)-MASTER_1L" xfId="535"/>
    <cellStyle name="_03_长期资产申报表_pbc_Book2wu_股权等_ABC-pbc表20060610_PBC(CG)-MASTER_Appendix M Footnotes Form.1106.KL" xfId="536"/>
    <cellStyle name="_03_长期资产申报表_pbc_Book2wu_股权等_ABC-pbc表20060610_PBC(CG)-MASTER_Copy of Footnotes1107" xfId="537"/>
    <cellStyle name="_03_长期资产申报表_pbc_Book2wu_股权等_ABC-pbc表20060610_PBC(CG)-MASTER_Footnotes1107" xfId="538"/>
    <cellStyle name="_03_长期资产申报表_pbc_Book2wu_股权等_ABC-pbc表20060610_PBC(CG)-MASTER_PBC(CG)-MASTER" xfId="539"/>
    <cellStyle name="_03_长期资产申报表_pbc_Book2wu_股权等_ABC-pbc表20060610－赵静" xfId="540"/>
    <cellStyle name="_03_长期资产申报表_pbc_Book2wu_股权等_ABC-pbc表20060610－赵静_1" xfId="541"/>
    <cellStyle name="_03_长期资产申报表_pbc_Book2wu_股权等_ABC-pbc表20060610－赵静_1L" xfId="542"/>
    <cellStyle name="_03_长期资产申报表_pbc_Book2wu_股权等_ABC-pbc表20060610－赵静_Appendix M Footnotes Form.1106.KL" xfId="543"/>
    <cellStyle name="_03_长期资产申报表_pbc_Book2wu_股权等_ABC-pbc表20060610－赵静_Copy of Footnotes1107" xfId="544"/>
    <cellStyle name="_03_长期资产申报表_pbc_Book2wu_股权等_ABC-pbc表20060610－赵静_Footnotes1107" xfId="545"/>
    <cellStyle name="_03_长期资产申报表_pbc_Book2wu_股权等_ABC-pbc表20060610－赵静_PBC(CG)-MASTER" xfId="546"/>
    <cellStyle name="_03_长期资产申报表_pbc_Book2wu_股权等_Appendix M Footnotes Form.1106.KL" xfId="547"/>
    <cellStyle name="_03_长期资产申报表_pbc_Book2wu_股权等_Copy of Footnotes1107" xfId="548"/>
    <cellStyle name="_03_长期资产申报表_pbc_Book2wu_股权等_Footnotes1107" xfId="549"/>
    <cellStyle name="_03_长期资产申报表_pbc_Book2wu_股权等_PBC(CG)-MASTER" xfId="550"/>
    <cellStyle name="_03_长期资产申报表_pbc_Book2wu_股权等_PBC(CG)-MASTER_1" xfId="551"/>
    <cellStyle name="_03_长期资产申报表_pbc_Book2wu_股权等_PBC(CG)-MASTER_1L" xfId="552"/>
    <cellStyle name="_03_长期资产申报表_pbc_Book2wu_股权等_PBC(CG)-MASTER_Appendix M Footnotes Form.1106.KL" xfId="553"/>
    <cellStyle name="_03_长期资产申报表_pbc_Book2wu_股权等_PBC(CG)-MASTER_Copy of Footnotes1107" xfId="554"/>
    <cellStyle name="_03_长期资产申报表_pbc_Book2wu_股权等_PBC(CG)-MASTER_Footnotes1107" xfId="555"/>
    <cellStyle name="_03_长期资产申报表_pbc_Book2wu_股权等_PBC(CG)-MASTER_PBC(CG)-MASTER" xfId="556"/>
    <cellStyle name="_03_长期资产申报表_pbc_Book2wu_股权等_原ABC-pbc表" xfId="557"/>
    <cellStyle name="_03_长期资产申报表_pbc_Book2wu_股权等_原ABC-pbc表_1" xfId="558"/>
    <cellStyle name="_03_长期资产申报表_pbc_Book2wu_股权等_原ABC-pbc表_1L" xfId="559"/>
    <cellStyle name="_03_长期资产申报表_pbc_Book2wu_股权等_原ABC-pbc表_Appendix M Footnotes Form.1106.KL" xfId="560"/>
    <cellStyle name="_03_长期资产申报表_pbc_Book2wu_股权等_原ABC-pbc表_Copy of Footnotes1107" xfId="561"/>
    <cellStyle name="_03_长期资产申报表_pbc_Book2wu_股权等_原ABC-pbc表_Footnotes1107" xfId="562"/>
    <cellStyle name="_03_长期资产申报表_pbc_Book2wu_股权等_原ABC-pbc表_PBC(CG)-MASTER" xfId="563"/>
    <cellStyle name="_03_长期资产申报表_pbc_Book2wu_原ABC-pbc表" xfId="564"/>
    <cellStyle name="_03_长期资产申报表_pbc_Book2wu_原ABC-pbc表_1" xfId="565"/>
    <cellStyle name="_03_长期资产申报表_pbc_Book2wu_原ABC-pbc表_1L" xfId="566"/>
    <cellStyle name="_03_长期资产申报表_pbc_Book2wu_原ABC-pbc表_Appendix M Footnotes Form.1106.KL" xfId="567"/>
    <cellStyle name="_03_长期资产申报表_pbc_Book2wu_原ABC-pbc表_Copy of Footnotes1107" xfId="568"/>
    <cellStyle name="_03_长期资产申报表_pbc_Book2wu_原ABC-pbc表_Footnotes1107" xfId="569"/>
    <cellStyle name="_03_长期资产申报表_pbc_Book2wu_原ABC-pbc表_PBC(CG)-MASTER" xfId="570"/>
    <cellStyle name="_03_长期资产申报表_pbc_Copy of Footnotes1107" xfId="571"/>
    <cellStyle name="_03_长期资产申报表_pbc_Footnotes1107" xfId="572"/>
    <cellStyle name="_03_长期资产申报表_pbc_PBC(CG)-MASTER" xfId="573"/>
    <cellStyle name="_03_长期资产申报表_pbc_PBC(CG)-MASTER_1" xfId="574"/>
    <cellStyle name="_03_长期资产申报表_pbc_PBC(CG)-MASTER_1L" xfId="575"/>
    <cellStyle name="_03_长期资产申报表_pbc_PBC(CG)-MASTER_Appendix M Footnotes Form.1106.KL" xfId="576"/>
    <cellStyle name="_03_长期资产申报表_pbc_PBC(CG)-MASTER_Copy of Footnotes1107" xfId="577"/>
    <cellStyle name="_03_长期资产申报表_pbc_PBC(CG)-MASTER_Footnotes1107" xfId="578"/>
    <cellStyle name="_03_长期资产申报表_pbc_PBC(CG)-MASTER_PBC(CG)-MASTER" xfId="579"/>
    <cellStyle name="_03_长期资产申报表_pbc_pbc-2版（附表）maqiang" xfId="580"/>
    <cellStyle name="_03_长期资产申报表_pbc_pbc-2版（附表）maqiang_1" xfId="581"/>
    <cellStyle name="_03_长期资产申报表_pbc_pbc-2版（附表）maqiang_1L" xfId="582"/>
    <cellStyle name="_03_长期资产申报表_pbc_pbc-2版（附表）maqiang_ABC-pbc表20060610" xfId="583"/>
    <cellStyle name="_03_长期资产申报表_pbc_pbc-2版（附表）maqiang_ABC-pbc表20060610_1" xfId="584"/>
    <cellStyle name="_03_长期资产申报表_pbc_pbc-2版（附表）maqiang_ABC-pbc表20060610_1L" xfId="585"/>
    <cellStyle name="_03_长期资产申报表_pbc_pbc-2版（附表）maqiang_ABC-pbc表20060610_Appendix M Footnotes Form.1106.KL" xfId="586"/>
    <cellStyle name="_03_长期资产申报表_pbc_pbc-2版（附表）maqiang_ABC-pbc表20060610_Copy of Footnotes1107" xfId="587"/>
    <cellStyle name="_03_长期资产申报表_pbc_pbc-2版（附表）maqiang_ABC-pbc表20060610_Footnotes1107" xfId="588"/>
    <cellStyle name="_03_长期资产申报表_pbc_pbc-2版（附表）maqiang_ABC-pbc表20060610_PBC(CG)-MASTER" xfId="589"/>
    <cellStyle name="_03_长期资产申报表_pbc_pbc-2版（附表）maqiang_ABC-pbc表20060610_PBC(CG)-MASTER_1" xfId="590"/>
    <cellStyle name="_03_长期资产申报表_pbc_pbc-2版（附表）maqiang_ABC-pbc表20060610_PBC(CG)-MASTER_1L" xfId="591"/>
    <cellStyle name="_03_长期资产申报表_pbc_pbc-2版（附表）maqiang_ABC-pbc表20060610_PBC(CG)-MASTER_Appendix M Footnotes Form.1106.KL" xfId="592"/>
    <cellStyle name="_03_长期资产申报表_pbc_pbc-2版（附表）maqiang_ABC-pbc表20060610_PBC(CG)-MASTER_Copy of Footnotes1107" xfId="593"/>
    <cellStyle name="_03_长期资产申报表_pbc_pbc-2版（附表）maqiang_ABC-pbc表20060610_PBC(CG)-MASTER_Footnotes1107" xfId="594"/>
    <cellStyle name="_03_长期资产申报表_pbc_pbc-2版（附表）maqiang_ABC-pbc表20060610_PBC(CG)-MASTER_PBC(CG)-MASTER" xfId="595"/>
    <cellStyle name="_03_长期资产申报表_pbc_pbc-2版（附表）maqiang_ABC-pbc表20060610－赵静" xfId="596"/>
    <cellStyle name="_03_长期资产申报表_pbc_pbc-2版（附表）maqiang_ABC-pbc表20060610－赵静_1" xfId="597"/>
    <cellStyle name="_03_长期资产申报表_pbc_pbc-2版（附表）maqiang_ABC-pbc表20060610－赵静_1L" xfId="598"/>
    <cellStyle name="_03_长期资产申报表_pbc_pbc-2版（附表）maqiang_ABC-pbc表20060610－赵静_Appendix M Footnotes Form.1106.KL" xfId="599"/>
    <cellStyle name="_03_长期资产申报表_pbc_pbc-2版（附表）maqiang_ABC-pbc表20060610－赵静_Copy of Footnotes1107" xfId="600"/>
    <cellStyle name="_03_长期资产申报表_pbc_pbc-2版（附表）maqiang_ABC-pbc表20060610－赵静_Footnotes1107" xfId="601"/>
    <cellStyle name="_03_长期资产申报表_pbc_pbc-2版（附表）maqiang_ABC-pbc表20060610－赵静_PBC(CG)-MASTER" xfId="602"/>
    <cellStyle name="_03_长期资产申报表_pbc_pbc-2版（附表）maqiang_Appendix M Footnotes Form.1106.KL" xfId="603"/>
    <cellStyle name="_03_长期资产申报表_pbc_pbc-2版（附表）maqiang_Copy of Footnotes1107" xfId="604"/>
    <cellStyle name="_03_长期资产申报表_pbc_pbc-2版（附表）maqiang_Footnotes1107" xfId="605"/>
    <cellStyle name="_03_长期资产申报表_pbc_pbc-2版（附表）maqiang_PBC(CG)-MASTER" xfId="606"/>
    <cellStyle name="_03_长期资产申报表_pbc_pbc-2版（附表）maqiang_PBC(CG)-MASTER_1" xfId="607"/>
    <cellStyle name="_03_长期资产申报表_pbc_pbc-2版（附表）maqiang_PBC(CG)-MASTER_1L" xfId="608"/>
    <cellStyle name="_03_长期资产申报表_pbc_pbc-2版（附表）maqiang_PBC(CG)-MASTER_Appendix M Footnotes Form.1106.KL" xfId="609"/>
    <cellStyle name="_03_长期资产申报表_pbc_pbc-2版（附表）maqiang_PBC(CG)-MASTER_Copy of Footnotes1107" xfId="610"/>
    <cellStyle name="_03_长期资产申报表_pbc_pbc-2版（附表）maqiang_PBC(CG)-MASTER_Footnotes1107" xfId="611"/>
    <cellStyle name="_03_长期资产申报表_pbc_pbc-2版（附表）maqiang_PBC(CG)-MASTER_PBC(CG)-MASTER" xfId="612"/>
    <cellStyle name="_03_长期资产申报表_pbc_pbc-2版（附表）maqiang_股权等" xfId="613"/>
    <cellStyle name="_03_长期资产申报表_pbc_pbc-2版（附表）maqiang_股权等_1" xfId="614"/>
    <cellStyle name="_03_长期资产申报表_pbc_pbc-2版（附表）maqiang_股权等_1L" xfId="615"/>
    <cellStyle name="_03_长期资产申报表_pbc_pbc-2版（附表）maqiang_股权等_ABC-pbc表20060610" xfId="616"/>
    <cellStyle name="_03_长期资产申报表_pbc_pbc-2版（附表）maqiang_股权等_ABC-pbc表20060610_1" xfId="617"/>
    <cellStyle name="_03_长期资产申报表_pbc_pbc-2版（附表）maqiang_股权等_ABC-pbc表20060610_1L" xfId="618"/>
    <cellStyle name="_03_长期资产申报表_pbc_pbc-2版（附表）maqiang_股权等_ABC-pbc表20060610_Appendix M Footnotes Form.1106.KL" xfId="619"/>
    <cellStyle name="_03_长期资产申报表_pbc_pbc-2版（附表）maqiang_股权等_ABC-pbc表20060610_Copy of Footnotes1107" xfId="620"/>
    <cellStyle name="_03_长期资产申报表_pbc_pbc-2版（附表）maqiang_股权等_ABC-pbc表20060610_Footnotes1107" xfId="621"/>
    <cellStyle name="_03_长期资产申报表_pbc_pbc-2版（附表）maqiang_股权等_ABC-pbc表20060610_PBC(CG)-MASTER" xfId="622"/>
    <cellStyle name="_03_长期资产申报表_pbc_pbc-2版（附表）maqiang_股权等_ABC-pbc表20060610_PBC(CG)-MASTER_1" xfId="623"/>
    <cellStyle name="_03_长期资产申报表_pbc_pbc-2版（附表）maqiang_股权等_ABC-pbc表20060610_PBC(CG)-MASTER_1L" xfId="624"/>
    <cellStyle name="_03_长期资产申报表_pbc_pbc-2版（附表）maqiang_股权等_ABC-pbc表20060610_PBC(CG)-MASTER_Appendix M Footnotes Form.1106.KL" xfId="625"/>
    <cellStyle name="_03_长期资产申报表_pbc_pbc-2版（附表）maqiang_股权等_ABC-pbc表20060610_PBC(CG)-MASTER_Copy of Footnotes1107" xfId="626"/>
    <cellStyle name="_03_长期资产申报表_pbc_pbc-2版（附表）maqiang_股权等_ABC-pbc表20060610_PBC(CG)-MASTER_Footnotes1107" xfId="627"/>
    <cellStyle name="_03_长期资产申报表_pbc_pbc-2版（附表）maqiang_股权等_ABC-pbc表20060610_PBC(CG)-MASTER_PBC(CG)-MASTER" xfId="628"/>
    <cellStyle name="_03_长期资产申报表_pbc_pbc-2版（附表）maqiang_股权等_ABC-pbc表20060610－赵静" xfId="629"/>
    <cellStyle name="_03_长期资产申报表_pbc_pbc-2版（附表）maqiang_股权等_ABC-pbc表20060610－赵静_1" xfId="630"/>
    <cellStyle name="_03_长期资产申报表_pbc_pbc-2版（附表）maqiang_股权等_ABC-pbc表20060610－赵静_1L" xfId="631"/>
    <cellStyle name="_03_长期资产申报表_pbc_pbc-2版（附表）maqiang_股权等_ABC-pbc表20060610－赵静_Appendix M Footnotes Form.1106.KL" xfId="632"/>
    <cellStyle name="_03_长期资产申报表_pbc_pbc-2版（附表）maqiang_股权等_ABC-pbc表20060610－赵静_Copy of Footnotes1107" xfId="633"/>
    <cellStyle name="_03_长期资产申报表_pbc_pbc-2版（附表）maqiang_股权等_ABC-pbc表20060610－赵静_Footnotes1107" xfId="634"/>
    <cellStyle name="_03_长期资产申报表_pbc_pbc-2版（附表）maqiang_股权等_ABC-pbc表20060610－赵静_PBC(CG)-MASTER" xfId="635"/>
    <cellStyle name="_03_长期资产申报表_pbc_pbc-2版（附表）maqiang_股权等_Appendix M Footnotes Form.1106.KL" xfId="636"/>
    <cellStyle name="_03_长期资产申报表_pbc_pbc-2版（附表）maqiang_股权等_Copy of Footnotes1107" xfId="637"/>
    <cellStyle name="_03_长期资产申报表_pbc_pbc-2版（附表）maqiang_股权等_Footnotes1107" xfId="638"/>
    <cellStyle name="_03_长期资产申报表_pbc_pbc-2版（附表）maqiang_股权等_PBC(CG)-MASTER" xfId="639"/>
    <cellStyle name="_03_长期资产申报表_pbc_pbc-2版（附表）maqiang_股权等_PBC(CG)-MASTER_1" xfId="640"/>
    <cellStyle name="_03_长期资产申报表_pbc_pbc-2版（附表）maqiang_股权等_PBC(CG)-MASTER_1L" xfId="641"/>
    <cellStyle name="_03_长期资产申报表_pbc_pbc-2版（附表）maqiang_股权等_PBC(CG)-MASTER_Appendix M Footnotes Form.1106.KL" xfId="642"/>
    <cellStyle name="_03_长期资产申报表_pbc_pbc-2版（附表）maqiang_股权等_PBC(CG)-MASTER_Copy of Footnotes1107" xfId="643"/>
    <cellStyle name="_03_长期资产申报表_pbc_pbc-2版（附表）maqiang_股权等_PBC(CG)-MASTER_Footnotes1107" xfId="644"/>
    <cellStyle name="_03_长期资产申报表_pbc_pbc-2版（附表）maqiang_股权等_PBC(CG)-MASTER_PBC(CG)-MASTER" xfId="645"/>
    <cellStyle name="_03_长期资产申报表_pbc_pbc-2版（附表）maqiang_股权等_原ABC-pbc表" xfId="646"/>
    <cellStyle name="_03_长期资产申报表_pbc_pbc-2版（附表）maqiang_股权等_原ABC-pbc表_1" xfId="647"/>
    <cellStyle name="_03_长期资产申报表_pbc_pbc-2版（附表）maqiang_股权等_原ABC-pbc表_1L" xfId="648"/>
    <cellStyle name="_03_长期资产申报表_pbc_pbc-2版（附表）maqiang_股权等_原ABC-pbc表_Appendix M Footnotes Form.1106.KL" xfId="649"/>
    <cellStyle name="_03_长期资产申报表_pbc_pbc-2版（附表）maqiang_股权等_原ABC-pbc表_Copy of Footnotes1107" xfId="650"/>
    <cellStyle name="_03_长期资产申报表_pbc_pbc-2版（附表）maqiang_股权等_原ABC-pbc表_Footnotes1107" xfId="651"/>
    <cellStyle name="_03_长期资产申报表_pbc_pbc-2版（附表）maqiang_股权等_原ABC-pbc表_PBC(CG)-MASTER" xfId="652"/>
    <cellStyle name="_03_长期资产申报表_pbc_pbc-2版（附表）maqiang_原ABC-pbc表" xfId="653"/>
    <cellStyle name="_03_长期资产申报表_pbc_pbc-2版（附表）maqiang_原ABC-pbc表_1" xfId="654"/>
    <cellStyle name="_03_长期资产申报表_pbc_pbc-2版（附表）maqiang_原ABC-pbc表_1L" xfId="655"/>
    <cellStyle name="_03_长期资产申报表_pbc_pbc-2版（附表）maqiang_原ABC-pbc表_Appendix M Footnotes Form.1106.KL" xfId="656"/>
    <cellStyle name="_03_长期资产申报表_pbc_pbc-2版（附表）maqiang_原ABC-pbc表_Copy of Footnotes1107" xfId="657"/>
    <cellStyle name="_03_长期资产申报表_pbc_pbc-2版（附表）maqiang_原ABC-pbc表_Footnotes1107" xfId="658"/>
    <cellStyle name="_03_长期资产申报表_pbc_pbc-2版（附表）maqiang_原ABC-pbc表_PBC(CG)-MASTER" xfId="659"/>
    <cellStyle name="_03_长期资产申报表_pbc_pbc-汇总LAST" xfId="660"/>
    <cellStyle name="_03_长期资产申报表_pbc_pbc-汇总LAST_1" xfId="661"/>
    <cellStyle name="_03_长期资产申报表_pbc_pbc-汇总LAST_1L" xfId="662"/>
    <cellStyle name="_03_长期资产申报表_pbc_pbc-汇总LAST_ABC-pbc表20060610" xfId="663"/>
    <cellStyle name="_03_长期资产申报表_pbc_pbc-汇总LAST_ABC-pbc表20060610_1" xfId="664"/>
    <cellStyle name="_03_长期资产申报表_pbc_pbc-汇总LAST_ABC-pbc表20060610_1L" xfId="665"/>
    <cellStyle name="_03_长期资产申报表_pbc_pbc-汇总LAST_ABC-pbc表20060610_Appendix M Footnotes Form.1106.KL" xfId="666"/>
    <cellStyle name="_03_长期资产申报表_pbc_pbc-汇总LAST_ABC-pbc表20060610_Copy of Footnotes1107" xfId="667"/>
    <cellStyle name="_03_长期资产申报表_pbc_pbc-汇总LAST_ABC-pbc表20060610_Footnotes1107" xfId="668"/>
    <cellStyle name="_03_长期资产申报表_pbc_pbc-汇总LAST_ABC-pbc表20060610_PBC(CG)-MASTER" xfId="669"/>
    <cellStyle name="_03_长期资产申报表_pbc_pbc-汇总LAST_ABC-pbc表20060610_PBC(CG)-MASTER_1" xfId="670"/>
    <cellStyle name="_03_长期资产申报表_pbc_pbc-汇总LAST_ABC-pbc表20060610_PBC(CG)-MASTER_1L" xfId="671"/>
    <cellStyle name="_03_长期资产申报表_pbc_pbc-汇总LAST_ABC-pbc表20060610_PBC(CG)-MASTER_Appendix M Footnotes Form.1106.KL" xfId="672"/>
    <cellStyle name="_03_长期资产申报表_pbc_pbc-汇总LAST_ABC-pbc表20060610_PBC(CG)-MASTER_Copy of Footnotes1107" xfId="673"/>
    <cellStyle name="_03_长期资产申报表_pbc_pbc-汇总LAST_ABC-pbc表20060610_PBC(CG)-MASTER_Footnotes1107" xfId="674"/>
    <cellStyle name="_03_长期资产申报表_pbc_pbc-汇总LAST_ABC-pbc表20060610_PBC(CG)-MASTER_PBC(CG)-MASTER" xfId="675"/>
    <cellStyle name="_03_长期资产申报表_pbc_pbc-汇总LAST_ABC-pbc表20060610－赵静" xfId="676"/>
    <cellStyle name="_03_长期资产申报表_pbc_pbc-汇总LAST_ABC-pbc表20060610－赵静_1" xfId="677"/>
    <cellStyle name="_03_长期资产申报表_pbc_pbc-汇总LAST_ABC-pbc表20060610－赵静_1L" xfId="678"/>
    <cellStyle name="_03_长期资产申报表_pbc_pbc-汇总LAST_ABC-pbc表20060610－赵静_Appendix M Footnotes Form.1106.KL" xfId="679"/>
    <cellStyle name="_03_长期资产申报表_pbc_pbc-汇总LAST_ABC-pbc表20060610－赵静_Copy of Footnotes1107" xfId="680"/>
    <cellStyle name="_03_长期资产申报表_pbc_pbc-汇总LAST_ABC-pbc表20060610－赵静_Footnotes1107" xfId="681"/>
    <cellStyle name="_03_长期资产申报表_pbc_pbc-汇总LAST_ABC-pbc表20060610－赵静_PBC(CG)-MASTER" xfId="682"/>
    <cellStyle name="_03_长期资产申报表_pbc_pbc-汇总LAST_Appendix M Footnotes Form.1106.KL" xfId="683"/>
    <cellStyle name="_03_长期资产申报表_pbc_pbc-汇总LAST_Copy of Footnotes1107" xfId="684"/>
    <cellStyle name="_03_长期资产申报表_pbc_pbc-汇总LAST_Footnotes1107" xfId="685"/>
    <cellStyle name="_03_长期资产申报表_pbc_pbc-汇总LAST_PBC(CG)-MASTER" xfId="686"/>
    <cellStyle name="_03_长期资产申报表_pbc_pbc-汇总LAST_PBC(CG)-MASTER_1" xfId="687"/>
    <cellStyle name="_03_长期资产申报表_pbc_pbc-汇总LAST_PBC(CG)-MASTER_1L" xfId="688"/>
    <cellStyle name="_03_长期资产申报表_pbc_pbc-汇总LAST_PBC(CG)-MASTER_Appendix M Footnotes Form.1106.KL" xfId="689"/>
    <cellStyle name="_03_长期资产申报表_pbc_pbc-汇总LAST_PBC(CG)-MASTER_Copy of Footnotes1107" xfId="690"/>
    <cellStyle name="_03_长期资产申报表_pbc_pbc-汇总LAST_PBC(CG)-MASTER_Footnotes1107" xfId="691"/>
    <cellStyle name="_03_长期资产申报表_pbc_pbc-汇总LAST_PBC(CG)-MASTER_PBC(CG)-MASTER" xfId="692"/>
    <cellStyle name="_03_长期资产申报表_pbc_pbc-汇总LAST_股权等" xfId="693"/>
    <cellStyle name="_03_长期资产申报表_pbc_pbc-汇总LAST_股权等_1" xfId="694"/>
    <cellStyle name="_03_长期资产申报表_pbc_pbc-汇总LAST_股权等_1L" xfId="695"/>
    <cellStyle name="_03_长期资产申报表_pbc_pbc-汇总LAST_股权等_ABC-pbc表20060610" xfId="696"/>
    <cellStyle name="_03_长期资产申报表_pbc_pbc-汇总LAST_股权等_ABC-pbc表20060610_1" xfId="697"/>
    <cellStyle name="_03_长期资产申报表_pbc_pbc-汇总LAST_股权等_ABC-pbc表20060610_1L" xfId="698"/>
    <cellStyle name="_03_长期资产申报表_pbc_pbc-汇总LAST_股权等_ABC-pbc表20060610_Appendix M Footnotes Form.1106.KL" xfId="699"/>
    <cellStyle name="_03_长期资产申报表_pbc_pbc-汇总LAST_股权等_ABC-pbc表20060610_Copy of Footnotes1107" xfId="700"/>
    <cellStyle name="_03_长期资产申报表_pbc_pbc-汇总LAST_股权等_ABC-pbc表20060610_Footnotes1107" xfId="701"/>
    <cellStyle name="_03_长期资产申报表_pbc_pbc-汇总LAST_股权等_ABC-pbc表20060610_PBC(CG)-MASTER" xfId="702"/>
    <cellStyle name="_03_长期资产申报表_pbc_pbc-汇总LAST_股权等_ABC-pbc表20060610_PBC(CG)-MASTER_1" xfId="703"/>
    <cellStyle name="_03_长期资产申报表_pbc_pbc-汇总LAST_股权等_ABC-pbc表20060610_PBC(CG)-MASTER_1L" xfId="704"/>
    <cellStyle name="_03_长期资产申报表_pbc_pbc-汇总LAST_股权等_ABC-pbc表20060610_PBC(CG)-MASTER_Appendix M Footnotes Form.1106.KL" xfId="705"/>
    <cellStyle name="_03_长期资产申报表_pbc_pbc-汇总LAST_股权等_ABC-pbc表20060610_PBC(CG)-MASTER_Copy of Footnotes1107" xfId="706"/>
    <cellStyle name="_03_长期资产申报表_pbc_pbc-汇总LAST_股权等_ABC-pbc表20060610_PBC(CG)-MASTER_Footnotes1107" xfId="707"/>
    <cellStyle name="_03_长期资产申报表_pbc_pbc-汇总LAST_股权等_ABC-pbc表20060610_PBC(CG)-MASTER_PBC(CG)-MASTER" xfId="708"/>
    <cellStyle name="_03_长期资产申报表_pbc_pbc-汇总LAST_股权等_ABC-pbc表20060610－赵静" xfId="709"/>
    <cellStyle name="_03_长期资产申报表_pbc_pbc-汇总LAST_股权等_ABC-pbc表20060610－赵静_1" xfId="710"/>
    <cellStyle name="_03_长期资产申报表_pbc_pbc-汇总LAST_股权等_ABC-pbc表20060610－赵静_1L" xfId="711"/>
    <cellStyle name="_03_长期资产申报表_pbc_pbc-汇总LAST_股权等_ABC-pbc表20060610－赵静_Appendix M Footnotes Form.1106.KL" xfId="712"/>
    <cellStyle name="_03_长期资产申报表_pbc_pbc-汇总LAST_股权等_ABC-pbc表20060610－赵静_Copy of Footnotes1107" xfId="713"/>
    <cellStyle name="_03_长期资产申报表_pbc_pbc-汇总LAST_股权等_ABC-pbc表20060610－赵静_Footnotes1107" xfId="714"/>
    <cellStyle name="_03_长期资产申报表_pbc_pbc-汇总LAST_股权等_ABC-pbc表20060610－赵静_PBC(CG)-MASTER" xfId="715"/>
    <cellStyle name="_03_长期资产申报表_pbc_pbc-汇总LAST_股权等_Appendix M Footnotes Form.1106.KL" xfId="716"/>
    <cellStyle name="_03_长期资产申报表_pbc_pbc-汇总LAST_股权等_Copy of Footnotes1107" xfId="717"/>
    <cellStyle name="_03_长期资产申报表_pbc_pbc-汇总LAST_股权等_Footnotes1107" xfId="718"/>
    <cellStyle name="_03_长期资产申报表_pbc_pbc-汇总LAST_股权等_PBC(CG)-MASTER" xfId="719"/>
    <cellStyle name="_03_长期资产申报表_pbc_pbc-汇总LAST_股权等_PBC(CG)-MASTER_1" xfId="720"/>
    <cellStyle name="_03_长期资产申报表_pbc_pbc-汇总LAST_股权等_PBC(CG)-MASTER_1L" xfId="721"/>
    <cellStyle name="_03_长期资产申报表_pbc_pbc-汇总LAST_股权等_PBC(CG)-MASTER_Appendix M Footnotes Form.1106.KL" xfId="722"/>
    <cellStyle name="_03_长期资产申报表_pbc_pbc-汇总LAST_股权等_PBC(CG)-MASTER_Copy of Footnotes1107" xfId="723"/>
    <cellStyle name="_03_长期资产申报表_pbc_pbc-汇总LAST_股权等_PBC(CG)-MASTER_Footnotes1107" xfId="724"/>
    <cellStyle name="_03_长期资产申报表_pbc_pbc-汇总LAST_股权等_PBC(CG)-MASTER_PBC(CG)-MASTER" xfId="725"/>
    <cellStyle name="_03_长期资产申报表_pbc_pbc-汇总LAST_股权等_原ABC-pbc表" xfId="726"/>
    <cellStyle name="_03_长期资产申报表_pbc_pbc-汇总LAST_股权等_原ABC-pbc表_1" xfId="727"/>
    <cellStyle name="_03_长期资产申报表_pbc_pbc-汇总LAST_股权等_原ABC-pbc表_1L" xfId="728"/>
    <cellStyle name="_03_长期资产申报表_pbc_pbc-汇总LAST_股权等_原ABC-pbc表_Appendix M Footnotes Form.1106.KL" xfId="729"/>
    <cellStyle name="_03_长期资产申报表_pbc_pbc-汇总LAST_股权等_原ABC-pbc表_Copy of Footnotes1107" xfId="730"/>
    <cellStyle name="_03_长期资产申报表_pbc_pbc-汇总LAST_股权等_原ABC-pbc表_Footnotes1107" xfId="731"/>
    <cellStyle name="_03_长期资产申报表_pbc_pbc-汇总LAST_股权等_原ABC-pbc表_PBC(CG)-MASTER" xfId="732"/>
    <cellStyle name="_03_长期资产申报表_pbc_pbc-汇总LAST_原ABC-pbc表" xfId="733"/>
    <cellStyle name="_03_长期资产申报表_pbc_pbc-汇总LAST_原ABC-pbc表_1" xfId="734"/>
    <cellStyle name="_03_长期资产申报表_pbc_pbc-汇总LAST_原ABC-pbc表_1L" xfId="735"/>
    <cellStyle name="_03_长期资产申报表_pbc_pbc-汇总LAST_原ABC-pbc表_Appendix M Footnotes Form.1106.KL" xfId="736"/>
    <cellStyle name="_03_长期资产申报表_pbc_pbc-汇总LAST_原ABC-pbc表_Copy of Footnotes1107" xfId="737"/>
    <cellStyle name="_03_长期资产申报表_pbc_pbc-汇总LAST_原ABC-pbc表_Footnotes1107" xfId="738"/>
    <cellStyle name="_03_长期资产申报表_pbc_pbc-汇总LAST_原ABC-pbc表_PBC(CG)-MASTER" xfId="739"/>
    <cellStyle name="_03_长期资产申报表_pbc_pbc-汇总LAST1" xfId="740"/>
    <cellStyle name="_03_长期资产申报表_pbc_pbc-汇总LAST1_1" xfId="741"/>
    <cellStyle name="_03_长期资产申报表_pbc_pbc-汇总LAST1_1L" xfId="742"/>
    <cellStyle name="_03_长期资产申报表_pbc_pbc-汇总LAST1_ABC-pbc表20060610" xfId="743"/>
    <cellStyle name="_03_长期资产申报表_pbc_pbc-汇总LAST1_ABC-pbc表20060610_1" xfId="744"/>
    <cellStyle name="_03_长期资产申报表_pbc_pbc-汇总LAST1_ABC-pbc表20060610_1L" xfId="745"/>
    <cellStyle name="_03_长期资产申报表_pbc_pbc-汇总LAST1_ABC-pbc表20060610_Appendix M Footnotes Form.1106.KL" xfId="746"/>
    <cellStyle name="_03_长期资产申报表_pbc_pbc-汇总LAST1_ABC-pbc表20060610_Copy of Footnotes1107" xfId="747"/>
    <cellStyle name="_03_长期资产申报表_pbc_pbc-汇总LAST1_ABC-pbc表20060610_Footnotes1107" xfId="748"/>
    <cellStyle name="_03_长期资产申报表_pbc_pbc-汇总LAST1_ABC-pbc表20060610_PBC(CG)-MASTER" xfId="749"/>
    <cellStyle name="_03_长期资产申报表_pbc_pbc-汇总LAST1_ABC-pbc表20060610_PBC(CG)-MASTER_1" xfId="750"/>
    <cellStyle name="_03_长期资产申报表_pbc_pbc-汇总LAST1_ABC-pbc表20060610_PBC(CG)-MASTER_1L" xfId="751"/>
    <cellStyle name="_03_长期资产申报表_pbc_pbc-汇总LAST1_ABC-pbc表20060610_PBC(CG)-MASTER_Appendix M Footnotes Form.1106.KL" xfId="752"/>
    <cellStyle name="_03_长期资产申报表_pbc_pbc-汇总LAST1_ABC-pbc表20060610_PBC(CG)-MASTER_Copy of Footnotes1107" xfId="753"/>
    <cellStyle name="_03_长期资产申报表_pbc_pbc-汇总LAST1_ABC-pbc表20060610_PBC(CG)-MASTER_Footnotes1107" xfId="754"/>
    <cellStyle name="_03_长期资产申报表_pbc_pbc-汇总LAST1_ABC-pbc表20060610_PBC(CG)-MASTER_PBC(CG)-MASTER" xfId="755"/>
    <cellStyle name="_03_长期资产申报表_pbc_pbc-汇总LAST1_ABC-pbc表20060610－赵静" xfId="756"/>
    <cellStyle name="_03_长期资产申报表_pbc_pbc-汇总LAST1_ABC-pbc表20060610－赵静_1" xfId="757"/>
    <cellStyle name="_03_长期资产申报表_pbc_pbc-汇总LAST1_ABC-pbc表20060610－赵静_1L" xfId="758"/>
    <cellStyle name="_03_长期资产申报表_pbc_pbc-汇总LAST1_ABC-pbc表20060610－赵静_Appendix M Footnotes Form.1106.KL" xfId="759"/>
    <cellStyle name="_03_长期资产申报表_pbc_pbc-汇总LAST1_ABC-pbc表20060610－赵静_Copy of Footnotes1107" xfId="760"/>
    <cellStyle name="_03_长期资产申报表_pbc_pbc-汇总LAST1_ABC-pbc表20060610－赵静_Footnotes1107" xfId="761"/>
    <cellStyle name="_03_长期资产申报表_pbc_pbc-汇总LAST1_ABC-pbc表20060610－赵静_PBC(CG)-MASTER" xfId="762"/>
    <cellStyle name="_03_长期资产申报表_pbc_pbc-汇总LAST1_Appendix M Footnotes Form.1106.KL" xfId="763"/>
    <cellStyle name="_03_长期资产申报表_pbc_pbc-汇总LAST1_Copy of Footnotes1107" xfId="764"/>
    <cellStyle name="_03_长期资产申报表_pbc_pbc-汇总LAST1_Footnotes1107" xfId="765"/>
    <cellStyle name="_03_长期资产申报表_pbc_pbc-汇总LAST1_PBC(CG)-MASTER" xfId="766"/>
    <cellStyle name="_03_长期资产申报表_pbc_pbc-汇总LAST1_PBC(CG)-MASTER_1" xfId="767"/>
    <cellStyle name="_03_长期资产申报表_pbc_pbc-汇总LAST1_PBC(CG)-MASTER_1L" xfId="768"/>
    <cellStyle name="_03_长期资产申报表_pbc_pbc-汇总LAST1_PBC(CG)-MASTER_Appendix M Footnotes Form.1106.KL" xfId="769"/>
    <cellStyle name="_03_长期资产申报表_pbc_pbc-汇总LAST1_PBC(CG)-MASTER_Copy of Footnotes1107" xfId="770"/>
    <cellStyle name="_03_长期资产申报表_pbc_pbc-汇总LAST1_PBC(CG)-MASTER_Footnotes1107" xfId="771"/>
    <cellStyle name="_03_长期资产申报表_pbc_pbc-汇总LAST1_PBC(CG)-MASTER_PBC(CG)-MASTER" xfId="772"/>
    <cellStyle name="_03_长期资产申报表_pbc_pbc-汇总LAST1_股权等" xfId="773"/>
    <cellStyle name="_03_长期资产申报表_pbc_pbc-汇总LAST1_股权等_1" xfId="774"/>
    <cellStyle name="_03_长期资产申报表_pbc_pbc-汇总LAST1_股权等_1L" xfId="775"/>
    <cellStyle name="_03_长期资产申报表_pbc_pbc-汇总LAST1_股权等_ABC-pbc表20060610" xfId="776"/>
    <cellStyle name="_03_长期资产申报表_pbc_pbc-汇总LAST1_股权等_ABC-pbc表20060610_1" xfId="777"/>
    <cellStyle name="_03_长期资产申报表_pbc_pbc-汇总LAST1_股权等_ABC-pbc表20060610_1L" xfId="778"/>
    <cellStyle name="_03_长期资产申报表_pbc_pbc-汇总LAST1_股权等_ABC-pbc表20060610_Appendix M Footnotes Form.1106.KL" xfId="779"/>
    <cellStyle name="_03_长期资产申报表_pbc_pbc-汇总LAST1_股权等_ABC-pbc表20060610_Copy of Footnotes1107" xfId="780"/>
    <cellStyle name="_03_长期资产申报表_pbc_pbc-汇总LAST1_股权等_ABC-pbc表20060610_Footnotes1107" xfId="781"/>
    <cellStyle name="_03_长期资产申报表_pbc_pbc-汇总LAST1_股权等_ABC-pbc表20060610_PBC(CG)-MASTER" xfId="782"/>
    <cellStyle name="_03_长期资产申报表_pbc_pbc-汇总LAST1_股权等_ABC-pbc表20060610_PBC(CG)-MASTER_1" xfId="783"/>
    <cellStyle name="_03_长期资产申报表_pbc_pbc-汇总LAST1_股权等_ABC-pbc表20060610_PBC(CG)-MASTER_1L" xfId="784"/>
    <cellStyle name="_03_长期资产申报表_pbc_pbc-汇总LAST1_股权等_ABC-pbc表20060610_PBC(CG)-MASTER_Appendix M Footnotes Form.1106.KL" xfId="785"/>
    <cellStyle name="_03_长期资产申报表_pbc_pbc-汇总LAST1_股权等_ABC-pbc表20060610_PBC(CG)-MASTER_Copy of Footnotes1107" xfId="786"/>
    <cellStyle name="_03_长期资产申报表_pbc_pbc-汇总LAST1_股权等_ABC-pbc表20060610_PBC(CG)-MASTER_Footnotes1107" xfId="787"/>
    <cellStyle name="_03_长期资产申报表_pbc_pbc-汇总LAST1_股权等_ABC-pbc表20060610_PBC(CG)-MASTER_PBC(CG)-MASTER" xfId="788"/>
    <cellStyle name="_03_长期资产申报表_pbc_pbc-汇总LAST1_股权等_ABC-pbc表20060610－赵静" xfId="789"/>
    <cellStyle name="_03_长期资产申报表_pbc_pbc-汇总LAST1_股权等_ABC-pbc表20060610－赵静_1" xfId="790"/>
    <cellStyle name="_03_长期资产申报表_pbc_pbc-汇总LAST1_股权等_ABC-pbc表20060610－赵静_1L" xfId="791"/>
    <cellStyle name="_03_长期资产申报表_pbc_pbc-汇总LAST1_股权等_ABC-pbc表20060610－赵静_Appendix M Footnotes Form.1106.KL" xfId="792"/>
    <cellStyle name="_03_长期资产申报表_pbc_pbc-汇总LAST1_股权等_ABC-pbc表20060610－赵静_Copy of Footnotes1107" xfId="793"/>
    <cellStyle name="_03_长期资产申报表_pbc_pbc-汇总LAST1_股权等_ABC-pbc表20060610－赵静_Footnotes1107" xfId="794"/>
    <cellStyle name="_03_长期资产申报表_pbc_pbc-汇总LAST1_股权等_ABC-pbc表20060610－赵静_PBC(CG)-MASTER" xfId="795"/>
    <cellStyle name="_03_长期资产申报表_pbc_pbc-汇总LAST1_股权等_Appendix M Footnotes Form.1106.KL" xfId="796"/>
    <cellStyle name="_03_长期资产申报表_pbc_pbc-汇总LAST1_股权等_Copy of Footnotes1107" xfId="797"/>
    <cellStyle name="_03_长期资产申报表_pbc_pbc-汇总LAST1_股权等_Footnotes1107" xfId="798"/>
    <cellStyle name="_03_长期资产申报表_pbc_pbc-汇总LAST1_股权等_PBC(CG)-MASTER" xfId="799"/>
    <cellStyle name="_03_长期资产申报表_pbc_pbc-汇总LAST1_股权等_PBC(CG)-MASTER_1" xfId="800"/>
    <cellStyle name="_03_长期资产申报表_pbc_pbc-汇总LAST1_股权等_PBC(CG)-MASTER_Appendix M Footnotes Form.1106.KL" xfId="801"/>
    <cellStyle name="_03_长期资产申报表_pbc_pbc-汇总LAST1_股权等_PBC(CG)-MASTER_Copy of Footnotes1107" xfId="802"/>
    <cellStyle name="_03_长期资产申报表_pbc_pbc-汇总LAST1_股权等_PBC(CG)-MASTER_Footnotes1107" xfId="803"/>
    <cellStyle name="_03_长期资产申报表_pbc_pbc-汇总LAST1_股权等_PBC(CG)-MASTER_PBC(CG)-MASTER" xfId="804"/>
    <cellStyle name="_03_长期资产申报表_pbc_pbc-汇总LAST1_股权等_原ABC-pbc表" xfId="805"/>
    <cellStyle name="_03_长期资产申报表_pbc_pbc-汇总LAST1_股权等_原ABC-pbc表_1" xfId="806"/>
    <cellStyle name="_03_长期资产申报表_pbc_pbc-汇总LAST1_股权等_原ABC-pbc表_1L" xfId="807"/>
    <cellStyle name="_03_长期资产申报表_pbc_pbc-汇总LAST1_股权等_原ABC-pbc表_Appendix M Footnotes Form.1106.KL" xfId="808"/>
    <cellStyle name="_03_长期资产申报表_pbc_pbc-汇总LAST1_股权等_原ABC-pbc表_Copy of Footnotes1107" xfId="809"/>
    <cellStyle name="_03_长期资产申报表_pbc_pbc-汇总LAST1_股权等_原ABC-pbc表_Footnotes1107" xfId="810"/>
    <cellStyle name="_03_长期资产申报表_pbc_pbc-汇总LAST1_股权等_原ABC-pbc表_PBC(CG)-MASTER" xfId="811"/>
    <cellStyle name="_03_长期资产申报表_pbc_pbc-汇总LAST1_原ABC-pbc表" xfId="812"/>
    <cellStyle name="_03_长期资产申报表_pbc_pbc-汇总LAST1_原ABC-pbc表_1L" xfId="813"/>
    <cellStyle name="_03_长期资产申报表_pbc_pbc-汇总LAST1_原ABC-pbc表_Appendix M Footnotes Form.1106.KL" xfId="814"/>
    <cellStyle name="_03_长期资产申报表_pbc_pbc-汇总LAST1_原ABC-pbc表_Copy of Footnotes1107" xfId="815"/>
    <cellStyle name="_03_长期资产申报表_pbc_pbc-汇总LAST1_原ABC-pbc表_Footnotes1107" xfId="816"/>
    <cellStyle name="_03_长期资产申报表_pbc_pbc-汇总LAST1_原ABC-pbc表_PBC(CG)-MASTER" xfId="817"/>
    <cellStyle name="_03_长期资产申报表_pbc_pbc-汇总LAST2" xfId="818"/>
    <cellStyle name="_03_长期资产申报表_pbc_pbc-汇总LAST2_1L" xfId="819"/>
    <cellStyle name="_03_长期资产申报表_pbc_pbc-汇总LAST2_ABC-pbc表20060610" xfId="820"/>
    <cellStyle name="_03_长期资产申报表_pbc_pbc-汇总LAST2_ABC-pbc表20060610_1" xfId="821"/>
    <cellStyle name="_03_长期资产申报表_pbc_pbc-汇总LAST2_ABC-pbc表20060610_1L" xfId="822"/>
    <cellStyle name="_03_长期资产申报表_pbc_pbc-汇总LAST2_ABC-pbc表20060610_Appendix M Footnotes Form.1106.KL" xfId="823"/>
    <cellStyle name="_03_长期资产申报表_pbc_pbc-汇总LAST2_ABC-pbc表20060610_Copy of Footnotes1107" xfId="824"/>
    <cellStyle name="_03_长期资产申报表_pbc_pbc-汇总LAST2_ABC-pbc表20060610_Footnotes1107" xfId="825"/>
    <cellStyle name="_03_长期资产申报表_pbc_pbc-汇总LAST2_ABC-pbc表20060610_PBC(CG)-MASTER" xfId="826"/>
    <cellStyle name="_03_长期资产申报表_pbc_pbc-汇总LAST2_ABC-pbc表20060610_PBC(CG)-MASTER_1" xfId="827"/>
    <cellStyle name="_03_长期资产申报表_pbc_pbc-汇总LAST2_ABC-pbc表20060610_PBC(CG)-MASTER_1L" xfId="828"/>
    <cellStyle name="_03_长期资产申报表_pbc_pbc-汇总LAST2_ABC-pbc表20060610_PBC(CG)-MASTER_Appendix M Footnotes Form.1106.KL" xfId="829"/>
    <cellStyle name="_03_长期资产申报表_pbc_pbc-汇总LAST2_ABC-pbc表20060610_PBC(CG)-MASTER_Copy of Footnotes1107" xfId="830"/>
    <cellStyle name="_03_长期资产申报表_pbc_pbc-汇总LAST2_ABC-pbc表20060610_PBC(CG)-MASTER_Footnotes1107" xfId="831"/>
    <cellStyle name="_03_长期资产申报表_pbc_pbc-汇总LAST2_ABC-pbc表20060610_PBC(CG)-MASTER_PBC(CG)-MASTER" xfId="832"/>
    <cellStyle name="_03_长期资产申报表_pbc_pbc-汇总LAST2_ABC-pbc表20060610_PBC(CG)-MASTER_分行衍生PBC表0630 2" xfId="833"/>
    <cellStyle name="_03_长期资产申报表_pbc_pbc-汇总LAST2_ABC-pbc表20060610－赵静" xfId="834"/>
    <cellStyle name="_03_长期资产申报表_pbc_pbc-汇总LAST2_ABC-pbc表20060610－赵静_1" xfId="835"/>
    <cellStyle name="_03_长期资产申报表_pbc_pbc-汇总LAST2_ABC-pbc表20060610－赵静_1L" xfId="836"/>
    <cellStyle name="_03_长期资产申报表_pbc_pbc-汇总LAST2_ABC-pbc表20060610－赵静_Appendix M Footnotes Form.1106.KL" xfId="837"/>
    <cellStyle name="_03_长期资产申报表_pbc_pbc-汇总LAST2_ABC-pbc表20060610－赵静_Copy of Footnotes1107" xfId="838"/>
    <cellStyle name="_03_长期资产申报表_pbc_pbc-汇总LAST2_ABC-pbc表20060610－赵静_Footnotes1107" xfId="839"/>
    <cellStyle name="_03_长期资产申报表_pbc_pbc-汇总LAST2_ABC-pbc表20060610－赵静_PBC(CG)-MASTER" xfId="840"/>
    <cellStyle name="_03_长期资产申报表_pbc_pbc-汇总LAST2_Appendix M Footnotes Form.1106.KL" xfId="841"/>
    <cellStyle name="_03_长期资产申报表_pbc_pbc-汇总LAST2_Copy of Footnotes1107" xfId="842"/>
    <cellStyle name="_03_长期资产申报表_pbc_pbc-汇总LAST2_Footnotes1107" xfId="843"/>
    <cellStyle name="_03_长期资产申报表_pbc_pbc-汇总LAST2_PBC(CG)-MASTER" xfId="844"/>
    <cellStyle name="_03_长期资产申报表_pbc_pbc-汇总LAST2_PBC(CG)-MASTER_1" xfId="845"/>
    <cellStyle name="_03_长期资产申报表_pbc_pbc-汇总LAST2_PBC(CG)-MASTER_1L" xfId="846"/>
    <cellStyle name="_03_长期资产申报表_pbc_pbc-汇总LAST2_PBC(CG)-MASTER_Appendix M Footnotes Form.1106.KL" xfId="847"/>
    <cellStyle name="_03_长期资产申报表_pbc_pbc-汇总LAST2_PBC(CG)-MASTER_Copy of Footnotes1107" xfId="848"/>
    <cellStyle name="_03_长期资产申报表_pbc_pbc-汇总LAST2_PBC(CG)-MASTER_Footnotes1107" xfId="849"/>
    <cellStyle name="_03_长期资产申报表_pbc_pbc-汇总LAST2_PBC(CG)-MASTER_PBC(CG)-MASTER" xfId="850"/>
    <cellStyle name="_03_长期资产申报表_pbc_pbc-汇总LAST2_股权等" xfId="851"/>
    <cellStyle name="_03_长期资产申报表_pbc_pbc-汇总LAST2_股权等_1" xfId="852"/>
    <cellStyle name="_03_长期资产申报表_pbc_pbc-汇总LAST2_股权等_1L" xfId="853"/>
    <cellStyle name="_03_长期资产申报表_pbc_pbc-汇总LAST2_股权等_ABC-pbc表20060610" xfId="854"/>
    <cellStyle name="_03_长期资产申报表_pbc_pbc-汇总LAST2_股权等_ABC-pbc表20060610_1" xfId="855"/>
    <cellStyle name="_03_长期资产申报表_pbc_pbc-汇总LAST2_股权等_ABC-pbc表20060610_1L" xfId="856"/>
    <cellStyle name="_03_长期资产申报表_pbc_pbc-汇总LAST2_股权等_ABC-pbc表20060610_Appendix M Footnotes Form.1106.KL" xfId="857"/>
    <cellStyle name="_03_长期资产申报表_pbc_pbc-汇总LAST2_股权等_ABC-pbc表20060610_Copy of Footnotes1107" xfId="858"/>
    <cellStyle name="_03_长期资产申报表_pbc_pbc-汇总LAST2_股权等_ABC-pbc表20060610_Footnotes1107" xfId="859"/>
    <cellStyle name="_03_长期资产申报表_pbc_pbc-汇总LAST2_股权等_ABC-pbc表20060610_PBC(CG)-MASTER" xfId="860"/>
    <cellStyle name="_03_长期资产申报表_pbc_pbc-汇总LAST2_股权等_ABC-pbc表20060610_PBC(CG)-MASTER_1" xfId="861"/>
    <cellStyle name="_03_长期资产申报表_pbc_pbc-汇总LAST2_股权等_ABC-pbc表20060610_PBC(CG)-MASTER_1L" xfId="862"/>
    <cellStyle name="_03_长期资产申报表_pbc_pbc-汇总LAST2_股权等_ABC-pbc表20060610_PBC(CG)-MASTER_Appendix M Footnotes Form.1106.KL" xfId="863"/>
    <cellStyle name="_03_长期资产申报表_pbc_pbc-汇总LAST2_股权等_ABC-pbc表20060610_PBC(CG)-MASTER_Copy of Footnotes1107" xfId="864"/>
    <cellStyle name="_03_长期资产申报表_pbc_pbc-汇总LAST2_股权等_ABC-pbc表20060610_PBC(CG)-MASTER_Footnotes1107" xfId="865"/>
    <cellStyle name="_03_长期资产申报表_pbc_pbc-汇总LAST2_股权等_ABC-pbc表20060610_PBC(CG)-MASTER_PBC(CG)-MASTER" xfId="866"/>
    <cellStyle name="_03_长期资产申报表_pbc_pbc-汇总LAST2_股权等_ABC-pbc表20060610－赵静" xfId="867"/>
    <cellStyle name="_03_长期资产申报表_pbc_pbc-汇总LAST2_股权等_ABC-pbc表20060610－赵静_1" xfId="868"/>
    <cellStyle name="_03_长期资产申报表_pbc_pbc-汇总LAST2_股权等_ABC-pbc表20060610－赵静_1L" xfId="869"/>
    <cellStyle name="_03_长期资产申报表_pbc_pbc-汇总LAST2_股权等_ABC-pbc表20060610－赵静_Appendix M Footnotes Form.1106.KL" xfId="870"/>
    <cellStyle name="_03_长期资产申报表_pbc_pbc-汇总LAST2_股权等_ABC-pbc表20060610－赵静_Copy of Footnotes1107" xfId="871"/>
    <cellStyle name="_03_长期资产申报表_pbc_pbc-汇总LAST2_股权等_ABC-pbc表20060610－赵静_Footnotes1107" xfId="872"/>
    <cellStyle name="_03_长期资产申报表_pbc_pbc-汇总LAST2_股权等_ABC-pbc表20060610－赵静_PBC(CG)-MASTER" xfId="873"/>
    <cellStyle name="_03_长期资产申报表_pbc_pbc-汇总LAST2_股权等_Appendix M Footnotes Form.1106.KL" xfId="874"/>
    <cellStyle name="_03_长期资产申报表_pbc_pbc-汇总LAST2_股权等_Copy of Footnotes1107" xfId="875"/>
    <cellStyle name="_03_长期资产申报表_pbc_pbc-汇总LAST2_股权等_Footnotes1107" xfId="876"/>
    <cellStyle name="_03_长期资产申报表_pbc_pbc-汇总LAST2_股权等_PBC(CG)-MASTER" xfId="877"/>
    <cellStyle name="_03_长期资产申报表_pbc_pbc-汇总LAST2_股权等_PBC(CG)-MASTER_1" xfId="878"/>
    <cellStyle name="_03_长期资产申报表_pbc_pbc-汇总LAST2_股权等_PBC(CG)-MASTER_1L" xfId="879"/>
    <cellStyle name="_03_长期资产申报表_pbc_pbc-汇总LAST2_股权等_PBC(CG)-MASTER_Appendix M Footnotes Form.1106.KL" xfId="880"/>
    <cellStyle name="_03_长期资产申报表_pbc_pbc-汇总LAST2_股权等_PBC(CG)-MASTER_Copy of Footnotes1107" xfId="881"/>
    <cellStyle name="_03_长期资产申报表_pbc_pbc-汇总LAST2_股权等_PBC(CG)-MASTER_Footnotes1107" xfId="882"/>
    <cellStyle name="_03_长期资产申报表_pbc_pbc-汇总LAST2_股权等_PBC(CG)-MASTER_PBC(CG)-MASTER" xfId="883"/>
    <cellStyle name="_03_长期资产申报表_pbc_pbc-汇总LAST2_股权等_原ABC-pbc表" xfId="884"/>
    <cellStyle name="_03_长期资产申报表_pbc_pbc-汇总LAST2_股权等_原ABC-pbc表_1" xfId="885"/>
    <cellStyle name="_03_长期资产申报表_pbc_pbc-汇总LAST2_股权等_原ABC-pbc表_1L" xfId="886"/>
    <cellStyle name="_03_长期资产申报表_pbc_pbc-汇总LAST2_股权等_原ABC-pbc表_Appendix M Footnotes Form.1106.KL" xfId="887"/>
    <cellStyle name="_03_长期资产申报表_pbc_pbc-汇总LAST2_股权等_原ABC-pbc表_Copy of Footnotes1107" xfId="888"/>
    <cellStyle name="_03_长期资产申报表_pbc_pbc-汇总LAST2_股权等_原ABC-pbc表_Footnotes1107" xfId="889"/>
    <cellStyle name="_03_长期资产申报表_pbc_pbc-汇总LAST2_股权等_原ABC-pbc表_PBC(CG)-MASTER" xfId="890"/>
    <cellStyle name="_03_长期资产申报表_pbc_pbc-汇总LAST2_原ABC-pbc表" xfId="891"/>
    <cellStyle name="_03_长期资产申报表_pbc_pbc-汇总LAST2_原ABC-pbc表_1" xfId="892"/>
    <cellStyle name="_03_长期资产申报表_pbc_pbc-汇总LAST2_原ABC-pbc表_1L" xfId="893"/>
    <cellStyle name="_03_长期资产申报表_pbc_pbc-汇总LAST2_原ABC-pbc表_Appendix M Footnotes Form.1106.KL" xfId="894"/>
    <cellStyle name="_03_长期资产申报表_pbc_pbc-汇总LAST2_原ABC-pbc表_Copy of Footnotes1107" xfId="895"/>
    <cellStyle name="_03_长期资产申报表_pbc_pbc-汇总LAST2_原ABC-pbc表_Footnotes1107" xfId="896"/>
    <cellStyle name="_03_长期资产申报表_pbc_pbc-汇总LAST2_原ABC-pbc表_PBC(CG)-MASTER" xfId="897"/>
    <cellStyle name="_03_长期资产申报表_pbc_pbc-汇总LAST3" xfId="898"/>
    <cellStyle name="_03_长期资产申报表_pbc_pbc-汇总LAST3_1" xfId="899"/>
    <cellStyle name="_03_长期资产申报表_pbc_pbc-汇总LAST3_1L" xfId="900"/>
    <cellStyle name="_03_长期资产申报表_pbc_pbc-汇总LAST3_ABC-pbc表20060610" xfId="901"/>
    <cellStyle name="_03_长期资产申报表_pbc_pbc-汇总LAST3_ABC-pbc表20060610_1" xfId="902"/>
    <cellStyle name="_03_长期资产申报表_pbc_pbc-汇总LAST3_ABC-pbc表20060610_1L" xfId="903"/>
    <cellStyle name="_03_长期资产申报表_pbc_pbc-汇总LAST3_ABC-pbc表20060610_Appendix M Footnotes Form.1106.KL" xfId="904"/>
    <cellStyle name="_03_长期资产申报表_pbc_pbc-汇总LAST3_ABC-pbc表20060610_Copy of Footnotes1107" xfId="905"/>
    <cellStyle name="_03_长期资产申报表_pbc_pbc-汇总LAST3_ABC-pbc表20060610_Footnotes1107" xfId="906"/>
    <cellStyle name="_03_长期资产申报表_pbc_pbc-汇总LAST3_ABC-pbc表20060610_PBC(CG)-MASTER" xfId="907"/>
    <cellStyle name="_03_长期资产申报表_pbc_pbc-汇总LAST3_ABC-pbc表20060610_PBC(CG)-MASTER_1" xfId="908"/>
    <cellStyle name="_03_长期资产申报表_pbc_pbc-汇总LAST3_ABC-pbc表20060610_PBC(CG)-MASTER_1L" xfId="909"/>
    <cellStyle name="_03_长期资产申报表_pbc_pbc-汇总LAST3_ABC-pbc表20060610_PBC(CG)-MASTER_Appendix M Footnotes Form.1106.KL" xfId="910"/>
    <cellStyle name="_03_长期资产申报表_pbc_pbc-汇总LAST3_ABC-pbc表20060610_PBC(CG)-MASTER_Copy of Footnotes1107" xfId="911"/>
    <cellStyle name="_03_长期资产申报表_pbc_pbc-汇总LAST3_ABC-pbc表20060610_PBC(CG)-MASTER_Footnotes1107" xfId="912"/>
    <cellStyle name="_03_长期资产申报表_pbc_pbc-汇总LAST3_ABC-pbc表20060610_PBC(CG)-MASTER_PBC(CG)-MASTER" xfId="913"/>
    <cellStyle name="_03_长期资产申报表_pbc_pbc-汇总LAST3_ABC-pbc表20060610－赵静" xfId="914"/>
    <cellStyle name="_03_长期资产申报表_pbc_pbc-汇总LAST3_ABC-pbc表20060610－赵静_1" xfId="915"/>
    <cellStyle name="_03_长期资产申报表_pbc_pbc-汇总LAST3_ABC-pbc表20060610－赵静_1L" xfId="916"/>
    <cellStyle name="_03_长期资产申报表_pbc_pbc-汇总LAST3_ABC-pbc表20060610－赵静_Appendix M Footnotes Form.1106.KL" xfId="917"/>
    <cellStyle name="_03_长期资产申报表_pbc_pbc-汇总LAST3_ABC-pbc表20060610－赵静_Copy of Footnotes1107" xfId="918"/>
    <cellStyle name="_03_长期资产申报表_pbc_pbc-汇总LAST3_ABC-pbc表20060610－赵静_Footnotes1107" xfId="919"/>
    <cellStyle name="_03_长期资产申报表_pbc_pbc-汇总LAST3_ABC-pbc表20060610－赵静_PBC(CG)-MASTER" xfId="920"/>
    <cellStyle name="_03_长期资产申报表_pbc_pbc-汇总LAST3_Appendix M Footnotes Form.1106.KL" xfId="921"/>
    <cellStyle name="_03_长期资产申报表_pbc_pbc-汇总LAST3_Copy of Footnotes1107" xfId="922"/>
    <cellStyle name="_03_长期资产申报表_pbc_pbc-汇总LAST3_PBC(CG)-MASTER" xfId="923"/>
    <cellStyle name="_03_长期资产申报表_pbc_pbc-汇总LAST3_PBC(CG)-MASTER_1" xfId="924"/>
    <cellStyle name="_03_长期资产申报表_pbc_pbc-汇总LAST3_PBC(CG)-MASTER_Appendix M Footnotes Form.1106.KL" xfId="925"/>
    <cellStyle name="_03_长期资产申报表_pbc_pbc-汇总LAST3_PBC(CG)-MASTER_Copy of Footnotes1107" xfId="926"/>
    <cellStyle name="_03_长期资产申报表_pbc_pbc-汇总LAST3_PBC(CG)-MASTER_Footnotes1107" xfId="927"/>
    <cellStyle name="_03_长期资产申报表_pbc_pbc-汇总LAST3_PBC(CG)-MASTER_PBC(CG)-MASTER" xfId="928"/>
    <cellStyle name="_03_长期资产申报表_pbc_pbc-汇总LAST3_股权等" xfId="929"/>
    <cellStyle name="_03_长期资产申报表_pbc_pbc-汇总LAST3_股权等_1" xfId="930"/>
    <cellStyle name="_03_长期资产申报表_pbc_pbc-汇总LAST3_股权等_1L" xfId="931"/>
    <cellStyle name="_03_长期资产申报表_pbc_pbc-汇总LAST3_股权等_ABC-pbc表20060610" xfId="932"/>
    <cellStyle name="_03_长期资产申报表_pbc_pbc-汇总LAST3_股权等_ABC-pbc表20060610_1" xfId="933"/>
    <cellStyle name="_03_长期资产申报表_pbc_pbc-汇总LAST3_股权等_ABC-pbc表20060610_1L" xfId="934"/>
    <cellStyle name="_03_长期资产申报表_pbc_pbc-汇总LAST3_股权等_ABC-pbc表20060610_Appendix M Footnotes Form.1106.KL" xfId="935"/>
    <cellStyle name="_03_长期资产申报表_pbc_pbc-汇总LAST3_股权等_ABC-pbc表20060610_Copy of Footnotes1107" xfId="936"/>
    <cellStyle name="_03_长期资产申报表_pbc_pbc-汇总LAST3_股权等_ABC-pbc表20060610_Footnotes1107" xfId="937"/>
    <cellStyle name="_03_长期资产申报表_pbc_pbc-汇总LAST3_股权等_ABC-pbc表20060610_PBC(CG)-MASTER" xfId="938"/>
    <cellStyle name="_03_长期资产申报表_pbc_pbc-汇总LAST3_股权等_ABC-pbc表20060610_PBC(CG)-MASTER_1" xfId="939"/>
    <cellStyle name="_03_长期资产申报表_pbc_pbc-汇总LAST3_股权等_ABC-pbc表20060610_PBC(CG)-MASTER_1L" xfId="940"/>
    <cellStyle name="_03_长期资产申报表_pbc_pbc-汇总LAST3_股权等_ABC-pbc表20060610_PBC(CG)-MASTER_Appendix M Footnotes Form.1106.KL" xfId="941"/>
    <cellStyle name="_03_长期资产申报表_pbc_pbc-汇总LAST3_股权等_ABC-pbc表20060610_PBC(CG)-MASTER_Copy of Footnotes1107" xfId="942"/>
    <cellStyle name="_03_长期资产申报表_pbc_pbc-汇总LAST3_股权等_ABC-pbc表20060610_PBC(CG)-MASTER_Footnotes1107" xfId="943"/>
    <cellStyle name="_03_长期资产申报表_pbc_pbc-汇总LAST3_股权等_ABC-pbc表20060610_PBC(CG)-MASTER_PBC(CG)-MASTER" xfId="944"/>
    <cellStyle name="_03_长期资产申报表_pbc_pbc-汇总LAST3_股权等_ABC-pbc表20060610－赵静" xfId="945"/>
    <cellStyle name="_03_长期资产申报表_pbc_pbc-汇总LAST3_股权等_ABC-pbc表20060610－赵静_1" xfId="946"/>
    <cellStyle name="_03_长期资产申报表_pbc_pbc-汇总LAST3_股权等_ABC-pbc表20060610－赵静_1L" xfId="947"/>
    <cellStyle name="_03_长期资产申报表_pbc_pbc-汇总LAST3_股权等_ABC-pbc表20060610－赵静_Appendix M Footnotes Form.1106.KL" xfId="948"/>
    <cellStyle name="_03_长期资产申报表_pbc_pbc-汇总LAST3_股权等_ABC-pbc表20060610－赵静_Copy of Footnotes1107" xfId="949"/>
    <cellStyle name="_03_长期资产申报表_pbc_pbc-汇总LAST3_股权等_ABC-pbc表20060610－赵静_Footnotes1107" xfId="950"/>
    <cellStyle name="_03_长期资产申报表_pbc_pbc-汇总LAST3_股权等_ABC-pbc表20060610－赵静_PBC(CG)-MASTER" xfId="951"/>
    <cellStyle name="_03_长期资产申报表_pbc_pbc-汇总LAST3_股权等_Appendix M Footnotes Form.1106.KL" xfId="952"/>
    <cellStyle name="_03_长期资产申报表_pbc_pbc-汇总LAST3_股权等_Copy of Footnotes1107" xfId="953"/>
    <cellStyle name="_03_长期资产申报表_pbc_pbc-汇总LAST3_股权等_Footnotes1107" xfId="954"/>
    <cellStyle name="_03_长期资产申报表_pbc_pbc-汇总LAST3_股权等_PBC(CG)-MASTER" xfId="955"/>
    <cellStyle name="_03_长期资产申报表_pbc_pbc-汇总LAST3_股权等_PBC(CG)-MASTER_1" xfId="956"/>
    <cellStyle name="_03_长期资产申报表_pbc_pbc-汇总LAST3_股权等_PBC(CG)-MASTER_1L" xfId="957"/>
    <cellStyle name="_03_长期资产申报表_pbc_pbc-汇总LAST3_股权等_PBC(CG)-MASTER_Appendix M Footnotes Form.1106.KL" xfId="958"/>
    <cellStyle name="_03_长期资产申报表_pbc_pbc-汇总LAST3_股权等_PBC(CG)-MASTER_Copy of Footnotes1107" xfId="959"/>
    <cellStyle name="_03_长期资产申报表_pbc_pbc-汇总LAST3_股权等_PBC(CG)-MASTER_Footnotes1107" xfId="960"/>
    <cellStyle name="_03_长期资产申报表_pbc_pbc-汇总LAST3_股权等_PBC(CG)-MASTER_PBC(CG)-MASTER" xfId="961"/>
    <cellStyle name="_03_长期资产申报表_pbc_pbc-汇总LAST3_股权等_原ABC-pbc表" xfId="962"/>
    <cellStyle name="_03_长期资产申报表_pbc_pbc-汇总LAST3_股权等_原ABC-pbc表_1" xfId="963"/>
    <cellStyle name="_03_长期资产申报表_pbc_pbc-汇总LAST3_股权等_原ABC-pbc表_1L" xfId="964"/>
    <cellStyle name="_03_长期资产申报表_pbc_pbc-汇总LAST3_股权等_原ABC-pbc表_Appendix M Footnotes Form.1106.KL" xfId="965"/>
    <cellStyle name="_03_长期资产申报表_pbc_pbc-汇总LAST3_股权等_原ABC-pbc表_Copy of Footnotes1107" xfId="966"/>
    <cellStyle name="_03_长期资产申报表_pbc_pbc-汇总LAST3_股权等_原ABC-pbc表_Footnotes1107" xfId="967"/>
    <cellStyle name="_03_长期资产申报表_pbc_pbc-汇总LAST3_股权等_原ABC-pbc表_PBC(CG)-MASTER" xfId="968"/>
    <cellStyle name="_03_长期资产申报表_pbc_pbc-汇总LAST3_原ABC-pbc表" xfId="969"/>
    <cellStyle name="_03_长期资产申报表_pbc_pbc-汇总LAST3_原ABC-pbc表_1" xfId="970"/>
    <cellStyle name="_03_长期资产申报表_pbc_pbc-汇总LAST3_原ABC-pbc表_1L" xfId="971"/>
    <cellStyle name="_03_长期资产申报表_pbc_pbc-汇总LAST3_原ABC-pbc表_Appendix M Footnotes Form.1106.KL" xfId="972"/>
    <cellStyle name="_03_长期资产申报表_pbc_pbc-汇总LAST3_原ABC-pbc表_Copy of Footnotes1107" xfId="973"/>
    <cellStyle name="_03_长期资产申报表_pbc_pbc-汇总LAST3_原ABC-pbc表_Footnotes1107" xfId="974"/>
    <cellStyle name="_03_长期资产申报表_pbc_pbc-汇总LAST3_原ABC-pbc表_PBC(CG)-MASTER" xfId="975"/>
    <cellStyle name="_03_长期资产申报表_pbc_pbc-汇总LAST3_原ABC-pbc表_PBC(CG)-MASTER_Copy of Book5 (2)" xfId="976"/>
    <cellStyle name="_03_长期资产申报表_pbc_pbc-汇总LAST3_原ABC-pbc表_PBC(CG)-MASTER_Worksheet in 5640M-3A 全行账外固定资产_20070911" xfId="977"/>
    <cellStyle name="_03_长期资产申报表_pbc_pbc-汇总LAST3_原ABC-pbc表_PBC(CG)-MASTER_处置及低值易品汇总" xfId="978"/>
    <cellStyle name="_03_长期资产申报表_pbc_pbc-汇总LAST3_原ABC-pbc表_PBC(CG)-MASTER_处置及低值易品汇总_账外固定资产汇总调整20071009" xfId="979"/>
    <cellStyle name="_03_长期资产申报表_pbc_pbc-汇总LAST3_原ABC-pbc表_PBC(CG)-MASTER_处置及低值易品汇总_账外固定资产汇总调整20071009_Copy of Book5 (2)" xfId="980"/>
    <cellStyle name="_03_长期资产申报表_pbc_pbc-汇总LAST3_原ABC-pbc表_PBC(CG)-MASTER_账外固定资产0904" xfId="981"/>
    <cellStyle name="_03_长期资产申报表_pbc_pbc-汇总LAST3_原ABC-pbc表_PBC(CG)-MASTER_账外固定资产0904_账外固定资产汇总调整20071009" xfId="982"/>
    <cellStyle name="_03_长期资产申报表_pbc_pbc-汇总LAST3_原ABC-pbc表_PBC(CG)-MASTER_账外固定资产0904_账外固定资产汇总调整20071009_Copy of Book5 (2)" xfId="983"/>
    <cellStyle name="_03_长期资产申报表_pbc_Worksheet in   pbc-汇总LAST" xfId="984"/>
    <cellStyle name="_03_长期资产申报表_pbc_Worksheet in   pbc-汇总LAST_1" xfId="985"/>
    <cellStyle name="_03_长期资产申报表_pbc_Worksheet in   pbc-汇总LAST_1L" xfId="986"/>
    <cellStyle name="_03_长期资产申报表_pbc_Worksheet in   pbc-汇总LAST_ABC-pbc表20060610" xfId="987"/>
    <cellStyle name="_03_长期资产申报表_pbc_Worksheet in   pbc-汇总LAST_ABC-pbc表20060610_1" xfId="988"/>
    <cellStyle name="_03_长期资产申报表_pbc_Worksheet in   pbc-汇总LAST_ABC-pbc表20060610_1L" xfId="989"/>
    <cellStyle name="_03_长期资产申报表_pbc_Worksheet in   pbc-汇总LAST_ABC-pbc表20060610_Appendix M Footnotes Form.1106.KL" xfId="990"/>
    <cellStyle name="_03_长期资产申报表_pbc_Worksheet in   pbc-汇总LAST_ABC-pbc表20060610_Copy of Book5 (2)" xfId="991"/>
    <cellStyle name="_03_长期资产申报表_pbc_Worksheet in   pbc-汇总LAST_ABC-pbc表20060610_Copy of Footnotes1107" xfId="992"/>
    <cellStyle name="_03_长期资产申报表_pbc_Worksheet in   pbc-汇总LAST_ABC-pbc表20060610_Footnotes1107" xfId="993"/>
    <cellStyle name="_03_长期资产申报表_pbc_Worksheet in   pbc-汇总LAST_ABC-pbc表20060610_PBC(CG)-MASTER" xfId="994"/>
    <cellStyle name="_03_长期资产申报表_pbc_Worksheet in   pbc-汇总LAST_ABC-pbc表20060610_PBC(CG)-MASTER_1" xfId="995"/>
    <cellStyle name="_03_长期资产申报表_pbc_Worksheet in   pbc-汇总LAST_ABC-pbc表20060610_PBC(CG)-MASTER_1L" xfId="996"/>
    <cellStyle name="_03_长期资产申报表_pbc_Worksheet in   pbc-汇总LAST_ABC-pbc表20060610_PBC(CG)-MASTER_Appendix M Footnotes Form.1106.KL" xfId="997"/>
    <cellStyle name="_03_长期资产申报表_pbc_Worksheet in   pbc-汇总LAST_ABC-pbc表20060610_PBC(CG)-MASTER_Copy of Footnotes1107" xfId="998"/>
    <cellStyle name="_03_长期资产申报表_pbc_Worksheet in   pbc-汇总LAST_ABC-pbc表20060610_PBC(CG)-MASTER_Footnotes1107" xfId="999"/>
    <cellStyle name="_03_长期资产申报表_pbc_Worksheet in   pbc-汇总LAST_ABC-pbc表20060610_PBC(CG)-MASTER_PBC(CG)-MASTER" xfId="1000"/>
    <cellStyle name="_03_长期资产申报表_pbc_Worksheet in   pbc-汇总LAST_ABC-pbc表20060610_Worksheet in 5640M-3A 全行账外固定资产_20070911" xfId="1001"/>
    <cellStyle name="_03_长期资产申报表_pbc_Worksheet in   pbc-汇总LAST_ABC-pbc表20060610_处置及低值易品汇总" xfId="1002"/>
    <cellStyle name="_03_长期资产申报表_pbc_Worksheet in   pbc-汇总LAST_ABC-pbc表20060610_处置及低值易品汇总_账外固定资产汇总调整20071009" xfId="1003"/>
    <cellStyle name="_03_长期资产申报表_pbc_Worksheet in   pbc-汇总LAST_ABC-pbc表20060610_处置及低值易品汇总_账外固定资产汇总调整20071009_Copy of Book5 (2)" xfId="1004"/>
    <cellStyle name="_03_长期资产申报表_pbc_Worksheet in   pbc-汇总LAST_ABC-pbc表20060610_账外固定资产0904" xfId="1005"/>
    <cellStyle name="_03_长期资产申报表_pbc_Worksheet in   pbc-汇总LAST_ABC-pbc表20060610_账外固定资产0904_账外固定资产汇总调整20071009" xfId="1006"/>
    <cellStyle name="_03_长期资产申报表_pbc_Worksheet in   pbc-汇总LAST_ABC-pbc表20060610_账外固定资产0904_账外固定资产汇总调整20071009_Copy of Book5 (2)" xfId="1007"/>
    <cellStyle name="_03_长期资产申报表_pbc_Worksheet in   pbc-汇总LAST_ABC-pbc表20060610－赵静" xfId="1008"/>
    <cellStyle name="_03_长期资产申报表_pbc_Worksheet in   pbc-汇总LAST_ABC-pbc表20060610－赵静_1" xfId="1009"/>
    <cellStyle name="_03_长期资产申报表_pbc_Worksheet in   pbc-汇总LAST_ABC-pbc表20060610－赵静_1L" xfId="1010"/>
    <cellStyle name="_03_长期资产申报表_pbc_Worksheet in   pbc-汇总LAST_ABC-pbc表20060610－赵静_Appendix M Footnotes Form.1106.KL" xfId="1011"/>
    <cellStyle name="_03_长期资产申报表_pbc_Worksheet in   pbc-汇总LAST_ABC-pbc表20060610－赵静_Copy of Footnotes1107" xfId="1012"/>
    <cellStyle name="_03_长期资产申报表_pbc_Worksheet in   pbc-汇总LAST_ABC-pbc表20060610－赵静_Footnotes1107" xfId="1013"/>
    <cellStyle name="_03_长期资产申报表_pbc_Worksheet in   pbc-汇总LAST_ABC-pbc表20060610－赵静_PBC(CG)-MASTER" xfId="1014"/>
    <cellStyle name="_03_长期资产申报表_pbc_Worksheet in   pbc-汇总LAST_Appendix M Footnotes Form.1106.KL" xfId="1015"/>
    <cellStyle name="_03_长期资产申报表_pbc_Worksheet in   pbc-汇总LAST_Copy of Footnotes1107" xfId="1016"/>
    <cellStyle name="_03_长期资产申报表_pbc_Worksheet in   pbc-汇总LAST_Footnotes1107" xfId="1017"/>
    <cellStyle name="_03_长期资产申报表_pbc_Worksheet in   pbc-汇总LAST_PBC(CG)-MASTER" xfId="1018"/>
    <cellStyle name="_03_长期资产申报表_pbc_Worksheet in   pbc-汇总LAST_PBC(CG)-MASTER_1" xfId="1019"/>
    <cellStyle name="_03_长期资产申报表_pbc_Worksheet in   pbc-汇总LAST_PBC(CG)-MASTER_1L" xfId="1020"/>
    <cellStyle name="_03_长期资产申报表_pbc_Worksheet in   pbc-汇总LAST_PBC(CG)-MASTER_Appendix M Footnotes Form.1106.KL" xfId="1021"/>
    <cellStyle name="_03_长期资产申报表_pbc_Worksheet in   pbc-汇总LAST_PBC(CG)-MASTER_Copy of Footnotes1107" xfId="1022"/>
    <cellStyle name="_03_长期资产申报表_pbc_Worksheet in   pbc-汇总LAST_PBC(CG)-MASTER_Footnotes1107" xfId="1023"/>
    <cellStyle name="_03_长期资产申报表_pbc_Worksheet in   pbc-汇总LAST_PBC(CG)-MASTER_PBC(CG)-MASTER" xfId="1024"/>
    <cellStyle name="_03_长期资产申报表_pbc_Worksheet in   pbc-汇总LAST_股权等" xfId="1025"/>
    <cellStyle name="_03_长期资产申报表_pbc_Worksheet in   pbc-汇总LAST_股权等_1" xfId="1026"/>
    <cellStyle name="_03_长期资产申报表_pbc_Worksheet in   pbc-汇总LAST_股权等_1L" xfId="1027"/>
    <cellStyle name="_03_长期资产申报表_pbc_Worksheet in   pbc-汇总LAST_股权等_ABC-pbc表20060610" xfId="1028"/>
    <cellStyle name="_03_长期资产申报表_pbc_Worksheet in   pbc-汇总LAST_股权等_ABC-pbc表20060610_1" xfId="1029"/>
    <cellStyle name="_03_长期资产申报表_pbc_Worksheet in   pbc-汇总LAST_股权等_ABC-pbc表20060610_1L" xfId="1030"/>
    <cellStyle name="_03_长期资产申报表_pbc_Worksheet in   pbc-汇总LAST_股权等_ABC-pbc表20060610_Appendix M Footnotes Form.1106.KL" xfId="1031"/>
    <cellStyle name="_03_长期资产申报表_pbc_Worksheet in   pbc-汇总LAST_股权等_ABC-pbc表20060610_Copy of Footnotes1107" xfId="1032"/>
    <cellStyle name="_03_长期资产申报表_pbc_Worksheet in   pbc-汇总LAST_股权等_ABC-pbc表20060610_Footnotes1107" xfId="1033"/>
    <cellStyle name="_03_长期资产申报表_pbc_Worksheet in   pbc-汇总LAST_股权等_ABC-pbc表20060610_PBC(CG)-MASTER" xfId="1034"/>
    <cellStyle name="_03_长期资产申报表_pbc_Worksheet in   pbc-汇总LAST_股权等_ABC-pbc表20060610_PBC(CG)-MASTER_1" xfId="1035"/>
    <cellStyle name="_03_长期资产申报表_pbc_Worksheet in   pbc-汇总LAST_股权等_ABC-pbc表20060610_PBC(CG)-MASTER_1L" xfId="1036"/>
    <cellStyle name="_03_长期资产申报表_pbc_Worksheet in   pbc-汇总LAST_股权等_ABC-pbc表20060610_PBC(CG)-MASTER_Appendix M Footnotes Form.1106.KL" xfId="1037"/>
    <cellStyle name="_03_长期资产申报表_pbc_Worksheet in   pbc-汇总LAST_股权等_ABC-pbc表20060610_PBC(CG)-MASTER_PBC(CG)-MASTER" xfId="1038"/>
    <cellStyle name="_03_长期资产申报表_pbc_Worksheet in   pbc-汇总LAST_股权等_ABC-pbc表20060610－赵静" xfId="1039"/>
    <cellStyle name="_03_长期资产申报表_pbc_Worksheet in   pbc-汇总LAST_股权等_ABC-pbc表20060610－赵静_1" xfId="1040"/>
    <cellStyle name="_03_长期资产申报表_pbc_Worksheet in   pbc-汇总LAST_股权等_ABC-pbc表20060610－赵静_1L" xfId="1041"/>
    <cellStyle name="_03_长期资产申报表_pbc_Worksheet in   pbc-汇总LAST_股权等_ABC-pbc表20060610－赵静_Appendix M Footnotes Form.1106.KL" xfId="1042"/>
    <cellStyle name="_03_长期资产申报表_pbc_Worksheet in   pbc-汇总LAST_股权等_ABC-pbc表20060610－赵静_Copy of Footnotes1107" xfId="1043"/>
    <cellStyle name="_03_长期资产申报表_pbc_Worksheet in   pbc-汇总LAST_股权等_ABC-pbc表20060610－赵静_Footnotes1107" xfId="1044"/>
    <cellStyle name="_03_长期资产申报表_pbc_Worksheet in   pbc-汇总LAST_股权等_ABC-pbc表20060610－赵静_PBC(CG)-MASTER" xfId="1045"/>
    <cellStyle name="_03_长期资产申报表_pbc_Worksheet in   pbc-汇总LAST_股权等_Appendix M Footnotes Form.1106.KL" xfId="1046"/>
    <cellStyle name="_03_长期资产申报表_pbc_Worksheet in   pbc-汇总LAST_股权等_Copy of Footnotes1107" xfId="1047"/>
    <cellStyle name="_03_长期资产申报表_pbc_Worksheet in   pbc-汇总LAST_股权等_Footnotes1107" xfId="1048"/>
    <cellStyle name="_03_长期资产申报表_pbc_Worksheet in   pbc-汇总LAST_股权等_PBC(CG)-MASTER" xfId="1049"/>
    <cellStyle name="_03_长期资产申报表_pbc_Worksheet in   pbc-汇总LAST_股权等_PBC(CG)-MASTER_1" xfId="1050"/>
    <cellStyle name="_03_长期资产申报表_pbc_Worksheet in   pbc-汇总LAST_股权等_PBC(CG)-MASTER_1L" xfId="1051"/>
    <cellStyle name="_03_长期资产申报表_pbc_Worksheet in   pbc-汇总LAST_股权等_PBC(CG)-MASTER_Appendix M Footnotes Form.1106.KL" xfId="1052"/>
    <cellStyle name="_03_长期资产申报表_pbc_Worksheet in   pbc-汇总LAST_股权等_PBC(CG)-MASTER_Copy of Footnotes1107" xfId="1053"/>
    <cellStyle name="_03_长期资产申报表_pbc_Worksheet in   pbc-汇总LAST_股权等_PBC(CG)-MASTER_Footnotes1107" xfId="1054"/>
    <cellStyle name="_03_长期资产申报表_pbc_Worksheet in   pbc-汇总LAST_股权等_PBC(CG)-MASTER_PBC(CG)-MASTER" xfId="1055"/>
    <cellStyle name="_03_长期资产申报表_pbc_Worksheet in   pbc-汇总LAST_股权等_原ABC-pbc表" xfId="1056"/>
    <cellStyle name="_03_长期资产申报表_pbc_Worksheet in   pbc-汇总LAST_股权等_原ABC-pbc表_1" xfId="1057"/>
    <cellStyle name="_03_长期资产申报表_pbc_Worksheet in   pbc-汇总LAST_股权等_原ABC-pbc表_1L" xfId="1058"/>
    <cellStyle name="_03_长期资产申报表_pbc_Worksheet in   pbc-汇总LAST_股权等_原ABC-pbc表_Appendix M Footnotes Form.1106.KL" xfId="1059"/>
    <cellStyle name="_03_长期资产申报表_pbc_Worksheet in   pbc-汇总LAST_股权等_原ABC-pbc表_Copy of Footnotes1107" xfId="1060"/>
    <cellStyle name="_03_长期资产申报表_pbc_Worksheet in   pbc-汇总LAST_股权等_原ABC-pbc表_Footnotes1107" xfId="1061"/>
    <cellStyle name="_03_长期资产申报表_pbc_Worksheet in   pbc-汇总LAST_股权等_原ABC-pbc表_PBC(CG)-MASTER" xfId="1062"/>
    <cellStyle name="_03_长期资产申报表_pbc_Worksheet in   pbc-汇总LAST_原ABC-pbc表" xfId="1063"/>
    <cellStyle name="_03_长期资产申报表_pbc_Worksheet in   pbc-汇总LAST_原ABC-pbc表_1" xfId="1064"/>
    <cellStyle name="_03_长期资产申报表_pbc_Worksheet in   pbc-汇总LAST_原ABC-pbc表_1L" xfId="1065"/>
    <cellStyle name="_03_长期资产申报表_pbc_Worksheet in   pbc-汇总LAST_原ABC-pbc表_Appendix M Footnotes Form.1106.KL" xfId="1066"/>
    <cellStyle name="_03_长期资产申报表_pbc_Worksheet in   pbc-汇总LAST_原ABC-pbc表_Copy of Footnotes1107" xfId="1067"/>
    <cellStyle name="_03_长期资产申报表_pbc_Worksheet in   pbc-汇总LAST_原ABC-pbc表_Footnotes1107" xfId="1068"/>
    <cellStyle name="_03_长期资产申报表_pbc_Worksheet in   pbc-汇总LAST_原ABC-pbc表_PBC(CG)-MASTER" xfId="1069"/>
    <cellStyle name="_03_长期资产申报表_pbc_替换第二版" xfId="1070"/>
    <cellStyle name="_03_长期资产申报表_pbc_替换第二版_1" xfId="1071"/>
    <cellStyle name="_03_长期资产申报表_pbc_替换第二版_1L" xfId="1072"/>
    <cellStyle name="_03_长期资产申报表_pbc_替换第二版_ABC-pbc表20060610" xfId="1073"/>
    <cellStyle name="_03_长期资产申报表_pbc_替换第二版_ABC-pbc表20060610_1" xfId="1074"/>
    <cellStyle name="_03_长期资产申报表_pbc_替换第二版_ABC-pbc表20060610_1L" xfId="1075"/>
    <cellStyle name="_03_长期资产申报表_pbc_替换第二版_ABC-pbc表20060610_Appendix M Footnotes Form.1106.KL" xfId="1076"/>
    <cellStyle name="_03_长期资产申报表_pbc_替换第二版_ABC-pbc表20060610_Copy of Footnotes1107" xfId="1077"/>
    <cellStyle name="_03_长期资产申报表_pbc_替换第二版_ABC-pbc表20060610_Footnotes1107" xfId="1078"/>
    <cellStyle name="_03_长期资产申报表_pbc_替换第二版_ABC-pbc表20060610_PBC(CG)-MASTER" xfId="1079"/>
    <cellStyle name="_03_长期资产申报表_pbc_替换第二版_ABC-pbc表20060610_PBC(CG)-MASTER_1" xfId="1080"/>
    <cellStyle name="_03_长期资产申报表_pbc_替换第二版_ABC-pbc表20060610_PBC(CG)-MASTER_1L" xfId="1081"/>
    <cellStyle name="_03_长期资产申报表_pbc_替换第二版_ABC-pbc表20060610_PBC(CG)-MASTER_Appendix M Footnotes Form.1106.KL" xfId="1082"/>
    <cellStyle name="_03_长期资产申报表_pbc_替换第二版_ABC-pbc表20060610_PBC(CG)-MASTER_Copy of Footnotes1107" xfId="1083"/>
    <cellStyle name="_03_长期资产申报表_pbc_替换第二版_ABC-pbc表20060610_PBC(CG)-MASTER_Footnotes1107" xfId="1084"/>
    <cellStyle name="_03_长期资产申报表_pbc_替换第二版_ABC-pbc表20060610_PBC(CG)-MASTER_PBC(CG)-MASTER" xfId="1085"/>
    <cellStyle name="_03_长期资产申报表_pbc_替换第二版_ABC-pbc表20060610－赵静" xfId="1086"/>
    <cellStyle name="_03_长期资产申报表_pbc_替换第二版_ABC-pbc表20060610－赵静_1" xfId="1087"/>
    <cellStyle name="_03_长期资产申报表_pbc_替换第二版_ABC-pbc表20060610－赵静_1L" xfId="1088"/>
    <cellStyle name="_03_长期资产申报表_pbc_替换第二版_ABC-pbc表20060610－赵静_Appendix M Footnotes Form.1106.KL" xfId="1089"/>
    <cellStyle name="_03_长期资产申报表_pbc_替换第二版_ABC-pbc表20060610－赵静_Copy of Footnotes1107" xfId="1090"/>
    <cellStyle name="_03_长期资产申报表_pbc_替换第二版_ABC-pbc表20060610－赵静_Footnotes1107" xfId="1091"/>
    <cellStyle name="_03_长期资产申报表_pbc_替换第二版_ABC-pbc表20060610－赵静_PBC(CG)-MASTER" xfId="1092"/>
    <cellStyle name="_03_长期资产申报表_pbc_替换第二版_Appendix M Footnotes Form.1106.KL" xfId="1093"/>
    <cellStyle name="_03_长期资产申报表_pbc_替换第二版_Copy of Footnotes1107" xfId="1094"/>
    <cellStyle name="_03_长期资产申报表_pbc_替换第二版_Footnotes1107" xfId="1095"/>
    <cellStyle name="_03_长期资产申报表_pbc_替换第二版_PBC(CG)-MASTER" xfId="1096"/>
    <cellStyle name="_03_长期资产申报表_pbc_替换第二版_PBC(CG)-MASTER_1" xfId="1097"/>
    <cellStyle name="_03_长期资产申报表_pbc_替换第二版_PBC(CG)-MASTER_1L" xfId="1098"/>
    <cellStyle name="_03_长期资产申报表_pbc_替换第二版_PBC(CG)-MASTER_Appendix M Footnotes Form.1106.KL" xfId="1099"/>
    <cellStyle name="_03_长期资产申报表_pbc_替换第二版_PBC(CG)-MASTER_Copy of Footnotes1107" xfId="1100"/>
    <cellStyle name="_03_长期资产申报表_pbc_替换第二版_PBC(CG)-MASTER_Footnotes1107" xfId="1101"/>
    <cellStyle name="_03_长期资产申报表_pbc_替换第二版_PBC(CG)-MASTER_PBC(CG)-MASTER" xfId="1102"/>
    <cellStyle name="_03_长期资产申报表_pbc_替换第二版_股权等" xfId="1103"/>
    <cellStyle name="_03_长期资产申报表_pbc_替换第二版_股权等_1" xfId="1104"/>
    <cellStyle name="_03_长期资产申报表_pbc_替换第二版_股权等_1L" xfId="1105"/>
    <cellStyle name="_03_长期资产申报表_pbc_替换第二版_股权等_ABC-pbc表20060610" xfId="1106"/>
    <cellStyle name="_03_长期资产申报表_pbc_替换第二版_股权等_ABC-pbc表20060610_1" xfId="1107"/>
    <cellStyle name="_03_长期资产申报表_pbc_替换第二版_股权等_ABC-pbc表20060610_1L" xfId="1108"/>
    <cellStyle name="_03_长期资产申报表_pbc_替换第二版_股权等_ABC-pbc表20060610_Appendix M Footnotes Form.1106.KL" xfId="1109"/>
    <cellStyle name="_03_长期资产申报表_pbc_替换第二版_股权等_ABC-pbc表20060610_Copy of Footnotes1107" xfId="1110"/>
    <cellStyle name="_03_长期资产申报表_pbc_替换第二版_股权等_ABC-pbc表20060610_Footnotes1107" xfId="1111"/>
    <cellStyle name="_03_长期资产申报表_pbc_替换第二版_股权等_ABC-pbc表20060610_PBC(CG)-MASTER" xfId="1112"/>
    <cellStyle name="_03_长期资产申报表_pbc_替换第二版_股权等_ABC-pbc表20060610_PBC(CG)-MASTER_1" xfId="1113"/>
    <cellStyle name="_03_长期资产申报表_pbc_替换第二版_股权等_ABC-pbc表20060610_PBC(CG)-MASTER_1L" xfId="1114"/>
    <cellStyle name="_03_长期资产申报表_pbc_替换第二版_股权等_ABC-pbc表20060610_PBC(CG)-MASTER_Appendix M Footnotes Form.1106.KL" xfId="1115"/>
    <cellStyle name="_03_长期资产申报表_pbc_替换第二版_股权等_ABC-pbc表20060610_PBC(CG)-MASTER_Copy of Footnotes1107" xfId="1116"/>
    <cellStyle name="_03_长期资产申报表_pbc_替换第二版_股权等_ABC-pbc表20060610_PBC(CG)-MASTER_Footnotes1107" xfId="1117"/>
    <cellStyle name="_03_长期资产申报表_pbc_替换第二版_股权等_ABC-pbc表20060610_PBC(CG)-MASTER_PBC(CG)-MASTER" xfId="1118"/>
    <cellStyle name="_03_长期资产申报表_pbc_替换第二版_股权等_ABC-pbc表20060610－赵静" xfId="1119"/>
    <cellStyle name="_03_长期资产申报表_pbc_替换第二版_股权等_ABC-pbc表20060610－赵静_1" xfId="1120"/>
    <cellStyle name="_03_长期资产申报表_pbc_替换第二版_股权等_ABC-pbc表20060610－赵静_1L" xfId="1121"/>
    <cellStyle name="_03_长期资产申报表_pbc_替换第二版_股权等_ABC-pbc表20060610－赵静_Appendix M Footnotes Form.1106.KL" xfId="1122"/>
    <cellStyle name="_03_长期资产申报表_pbc_替换第二版_股权等_ABC-pbc表20060610－赵静_Copy of Footnotes1107" xfId="1123"/>
    <cellStyle name="_03_长期资产申报表_pbc_替换第二版_股权等_ABC-pbc表20060610－赵静_Footnotes1107" xfId="1124"/>
    <cellStyle name="_03_长期资产申报表_pbc_替换第二版_股权等_ABC-pbc表20060610－赵静_PBC(CG)-MASTER" xfId="1125"/>
    <cellStyle name="_03_长期资产申报表_pbc_替换第二版_股权等_Appendix M Footnotes Form.1106.KL" xfId="1126"/>
    <cellStyle name="_03_长期资产申报表_pbc_替换第二版_股权等_Copy of Footnotes1107" xfId="1127"/>
    <cellStyle name="_03_长期资产申报表_pbc_替换第二版_股权等_Footnotes1107" xfId="1128"/>
    <cellStyle name="_03_长期资产申报表_pbc_替换第二版_股权等_PBC(CG)-MASTER" xfId="1129"/>
    <cellStyle name="_03_长期资产申报表_pbc_替换第二版_股权等_PBC(CG)-MASTER_1" xfId="1130"/>
    <cellStyle name="_03_长期资产申报表_pbc_替换第二版_股权等_PBC(CG)-MASTER_1L" xfId="1131"/>
    <cellStyle name="_03_长期资产申报表_pbc_替换第二版_股权等_PBC(CG)-MASTER_Appendix M Footnotes Form.1106.KL" xfId="1132"/>
    <cellStyle name="_03_长期资产申报表_pbc_替换第二版_股权等_PBC(CG)-MASTER_Copy of Footnotes1107" xfId="1133"/>
    <cellStyle name="_03_长期资产申报表_pbc_替换第二版_股权等_PBC(CG)-MASTER_Footnotes1107" xfId="1134"/>
    <cellStyle name="_03_长期资产申报表_pbc_替换第二版_股权等_PBC(CG)-MASTER_PBC(CG)-MASTER" xfId="1135"/>
    <cellStyle name="_03_长期资产申报表_pbc_替换第二版_股权等_原ABC-pbc表" xfId="1136"/>
    <cellStyle name="_03_长期资产申报表_pbc_替换第二版_股权等_原ABC-pbc表_1" xfId="1137"/>
    <cellStyle name="_03_长期资产申报表_pbc_替换第二版_股权等_原ABC-pbc表_1L" xfId="1138"/>
    <cellStyle name="_03_长期资产申报表_pbc_替换第二版_股权等_原ABC-pbc表_Appendix M Footnotes Form.1106.KL" xfId="1139"/>
    <cellStyle name="_03_长期资产申报表_pbc_替换第二版_股权等_原ABC-pbc表_Copy of Footnotes1107" xfId="1140"/>
    <cellStyle name="_03_长期资产申报表_pbc_替换第二版_股权等_原ABC-pbc表_Footnotes1107" xfId="1141"/>
    <cellStyle name="_03_长期资产申报表_pbc_替换第二版_股权等_原ABC-pbc表_PBC(CG)-MASTER" xfId="1142"/>
    <cellStyle name="_03_长期资产申报表_pbc_替换第二版_原ABC-pbc表" xfId="1143"/>
    <cellStyle name="_03_长期资产申报表_pbc_替换第二版_原ABC-pbc表_1" xfId="1144"/>
    <cellStyle name="_03_长期资产申报表_pbc_替换第二版_原ABC-pbc表_1L" xfId="1145"/>
    <cellStyle name="_03_长期资产申报表_pbc_替换第二版_原ABC-pbc表_Appendix M Footnotes Form.1106.KL" xfId="1146"/>
    <cellStyle name="_03_长期资产申报表_pbc_替换第二版_原ABC-pbc表_Copy of Footnotes1107" xfId="1147"/>
    <cellStyle name="_03_长期资产申报表_pbc_替换第二版_原ABC-pbc表_Footnotes1107" xfId="1148"/>
    <cellStyle name="_03_长期资产申报表_pbc_替换第二版_原ABC-pbc表_PBC(CG)-MASTER" xfId="1149"/>
    <cellStyle name="_03_长期资产申报表_pbc_原ABC-pbc表" xfId="1150"/>
    <cellStyle name="_03_长期资产申报表_pbc_原ABC-pbc表_1" xfId="1151"/>
    <cellStyle name="_03_长期资产申报表_pbc_原ABC-pbc表_1L" xfId="1152"/>
    <cellStyle name="_03_长期资产申报表_pbc_原ABC-pbc表_Appendix M Footnotes Form.1106.KL" xfId="1153"/>
    <cellStyle name="_03_长期资产申报表_pbc_原ABC-pbc表_Copy of Footnotes1107" xfId="1154"/>
    <cellStyle name="_03_长期资产申报表_pbc_原ABC-pbc表_Footnotes1107" xfId="1155"/>
    <cellStyle name="_03_长期资产申报表_pbc_原ABC-pbc表_PBC(CG)-MASTER" xfId="1156"/>
    <cellStyle name="_03_长期资产申报表_pbc-汇总" xfId="1157"/>
    <cellStyle name="_03_长期资产申报表_pbc-汇总_1" xfId="1158"/>
    <cellStyle name="_03_长期资产申报表_pbc-汇总_1L" xfId="1159"/>
    <cellStyle name="_03_长期资产申报表_pbc-汇总_ABC-pbc表20060610" xfId="1160"/>
    <cellStyle name="_03_长期资产申报表_pbc-汇总_ABC-pbc表20060610_1" xfId="1161"/>
    <cellStyle name="_03_长期资产申报表_pbc-汇总_ABC-pbc表20060610_1L" xfId="1162"/>
    <cellStyle name="_03_长期资产申报表_pbc-汇总_ABC-pbc表20060610_Appendix M Footnotes Form.1106.KL" xfId="1163"/>
    <cellStyle name="_03_长期资产申报表_pbc-汇总_ABC-pbc表20060610_Copy of Footnotes1107" xfId="1164"/>
    <cellStyle name="_03_长期资产申报表_pbc-汇总_ABC-pbc表20060610_Footnotes1107" xfId="1165"/>
    <cellStyle name="_03_长期资产申报表_pbc-汇总_ABC-pbc表20060610_PBC(CG)-MASTER" xfId="1166"/>
    <cellStyle name="_03_长期资产申报表_pbc-汇总_ABC-pbc表20060610_PBC(CG)-MASTER_1" xfId="1167"/>
    <cellStyle name="_03_长期资产申报表_pbc-汇总_ABC-pbc表20060610_PBC(CG)-MASTER_1L" xfId="1168"/>
    <cellStyle name="_03_长期资产申报表_pbc-汇总_ABC-pbc表20060610_PBC(CG)-MASTER_Appendix M Footnotes Form.1106.KL" xfId="1169"/>
    <cellStyle name="_03_长期资产申报表_pbc-汇总_ABC-pbc表20060610_PBC(CG)-MASTER_Copy of Footnotes1107" xfId="1170"/>
    <cellStyle name="_03_长期资产申报表_pbc-汇总_ABC-pbc表20060610_PBC(CG)-MASTER_Footnotes1107" xfId="1171"/>
    <cellStyle name="_03_长期资产申报表_pbc-汇总_ABC-pbc表20060610_PBC(CG)-MASTER_PBC(CG)-MASTER" xfId="1172"/>
    <cellStyle name="_03_长期资产申报表_pbc-汇总_ABC-pbc表20060610－赵静" xfId="1173"/>
    <cellStyle name="_03_长期资产申报表_pbc-汇总_ABC-pbc表20060610－赵静_1" xfId="1174"/>
    <cellStyle name="_03_长期资产申报表_pbc-汇总_ABC-pbc表20060610－赵静_1L" xfId="1175"/>
    <cellStyle name="_03_长期资产申报表_pbc-汇总_ABC-pbc表20060610－赵静_Appendix M Footnotes Form.1106.KL" xfId="1176"/>
    <cellStyle name="_03_长期资产申报表_pbc-汇总_ABC-pbc表20060610－赵静_Copy of Footnotes1107" xfId="1177"/>
    <cellStyle name="_03_长期资产申报表_pbc-汇总_ABC-pbc表20060610－赵静_Footnotes1107" xfId="1178"/>
    <cellStyle name="_03_长期资产申报表_pbc-汇总_ABC-pbc表20060610－赵静_PBC(CG)-MASTER" xfId="1179"/>
    <cellStyle name="_03_长期资产申报表_pbc-汇总_Appendix M Footnotes Form.1106.KL" xfId="1180"/>
    <cellStyle name="_03_长期资产申报表_pbc-汇总_Book2222222222222222222222222222222222222222222222222" xfId="1181"/>
    <cellStyle name="_03_长期资产申报表_pbc-汇总_Book2222222222222222222222222222222222222222222222222_1" xfId="1182"/>
    <cellStyle name="_03_长期资产申报表_pbc-汇总_Book2222222222222222222222222222222222222222222222222_1L" xfId="1183"/>
    <cellStyle name="_03_长期资产申报表_pbc-汇总_Book2222222222222222222222222222222222222222222222222_ABC-pbc表20060610" xfId="1184"/>
    <cellStyle name="_03_长期资产申报表_pbc-汇总_Book2222222222222222222222222222222222222222222222222_ABC-pbc表20060610_1" xfId="1185"/>
    <cellStyle name="_03_长期资产申报表_pbc-汇总_Book2222222222222222222222222222222222222222222222222_ABC-pbc表20060610_1L" xfId="1186"/>
    <cellStyle name="_03_长期资产申报表_pbc-汇总_Book2222222222222222222222222222222222222222222222222_ABC-pbc表20060610_Appendix M Footnotes Form.1106.KL" xfId="1187"/>
    <cellStyle name="_03_长期资产申报表_pbc-汇总_Book2222222222222222222222222222222222222222222222222_ABC-pbc表20060610_Copy of Footnotes1107" xfId="1188"/>
    <cellStyle name="_03_长期资产申报表_pbc-汇总_Book2222222222222222222222222222222222222222222222222_ABC-pbc表20060610_Footnotes1107" xfId="1189"/>
    <cellStyle name="_03_长期资产申报表_pbc-汇总_Book2222222222222222222222222222222222222222222222222_ABC-pbc表20060610_PBC(CG)-MASTER" xfId="1190"/>
    <cellStyle name="_03_长期资产申报表_pbc-汇总_Book2222222222222222222222222222222222222222222222222_ABC-pbc表20060610_PBC(CG)-MASTER_1" xfId="1191"/>
    <cellStyle name="_03_长期资产申报表_pbc-汇总_Book2222222222222222222222222222222222222222222222222_ABC-pbc表20060610_PBC(CG)-MASTER_1L" xfId="1192"/>
    <cellStyle name="_03_长期资产申报表_pbc-汇总_Book2222222222222222222222222222222222222222222222222_ABC-pbc表20060610_PBC(CG)-MASTER_Appendix M Footnotes Form.1106.KL" xfId="1193"/>
    <cellStyle name="_03_长期资产申报表_pbc-汇总_Book2222222222222222222222222222222222222222222222222_ABC-pbc表20060610_PBC(CG)-MASTER_Copy of Footnotes1107" xfId="1194"/>
    <cellStyle name="_03_长期资产申报表_pbc-汇总_Book2222222222222222222222222222222222222222222222222_ABC-pbc表20060610_PBC(CG)-MASTER_Footnotes1107" xfId="1195"/>
    <cellStyle name="_03_长期资产申报表_pbc-汇总_Book2222222222222222222222222222222222222222222222222_ABC-pbc表20060610_PBC(CG)-MASTER_PBC(CG)-MASTER" xfId="1196"/>
    <cellStyle name="_03_长期资产申报表_pbc-汇总_Book2222222222222222222222222222222222222222222222222_ABC-pbc表20060610－赵静" xfId="1197"/>
    <cellStyle name="_03_长期资产申报表_pbc-汇总_Book2222222222222222222222222222222222222222222222222_ABC-pbc表20060610－赵静_1" xfId="1198"/>
    <cellStyle name="_03_长期资产申报表_pbc-汇总_Book2222222222222222222222222222222222222222222222222_ABC-pbc表20060610－赵静_1L" xfId="1199"/>
    <cellStyle name="_03_长期资产申报表_pbc-汇总_Book2222222222222222222222222222222222222222222222222_ABC-pbc表20060610－赵静_Appendix M Footnotes Form.1106.KL" xfId="1200"/>
    <cellStyle name="_03_长期资产申报表_pbc-汇总_Book2222222222222222222222222222222222222222222222222_ABC-pbc表20060610－赵静_Copy of Footnotes1107" xfId="1201"/>
    <cellStyle name="_03_长期资产申报表_pbc-汇总_Book2222222222222222222222222222222222222222222222222_ABC-pbc表20060610－赵静_Footnotes1107" xfId="1202"/>
    <cellStyle name="_03_长期资产申报表_pbc-汇总_Book2222222222222222222222222222222222222222222222222_ABC-pbc表20060610－赵静_PBC(CG)-MASTER" xfId="1203"/>
    <cellStyle name="_03_长期资产申报表_pbc-汇总_Book2222222222222222222222222222222222222222222222222_Appendix M Footnotes Form.1106.KL" xfId="1204"/>
    <cellStyle name="_03_长期资产申报表_pbc-汇总_Book2222222222222222222222222222222222222222222222222_Copy of Footnotes1107" xfId="1205"/>
    <cellStyle name="_03_长期资产申报表_pbc-汇总_Book2222222222222222222222222222222222222222222222222_Footnotes1107" xfId="1206"/>
    <cellStyle name="_03_长期资产申报表_pbc-汇总_Book2222222222222222222222222222222222222222222222222_PBC(CG)-MASTER" xfId="1207"/>
    <cellStyle name="_03_长期资产申报表_pbc-汇总_Book2222222222222222222222222222222222222222222222222_PBC(CG)-MASTER_1" xfId="1208"/>
    <cellStyle name="_03_长期资产申报表_pbc-汇总_Book2222222222222222222222222222222222222222222222222_PBC(CG)-MASTER_1L" xfId="1209"/>
    <cellStyle name="_03_长期资产申报表_pbc-汇总_Book2222222222222222222222222222222222222222222222222_PBC(CG)-MASTER_Appendix M Footnotes Form.1106.KL" xfId="1210"/>
    <cellStyle name="_03_长期资产申报表_pbc-汇总_Book2222222222222222222222222222222222222222222222222_PBC(CG)-MASTER_Copy of Footnotes1107" xfId="1211"/>
    <cellStyle name="_03_长期资产申报表_pbc-汇总_Book2222222222222222222222222222222222222222222222222_PBC(CG)-MASTER_Footnotes1107" xfId="1212"/>
    <cellStyle name="_03_长期资产申报表_pbc-汇总_Book2222222222222222222222222222222222222222222222222_PBC(CG)-MASTER_PBC(CG)-MASTER" xfId="1213"/>
    <cellStyle name="_03_长期资产申报表_pbc-汇总_Book2222222222222222222222222222222222222222222222222_原ABC-pbc表" xfId="1214"/>
    <cellStyle name="_03_长期资产申报表_pbc-汇总_Book2222222222222222222222222222222222222222222222222_原ABC-pbc表_1" xfId="1215"/>
    <cellStyle name="_03_长期资产申报表_pbc-汇总_Book2222222222222222222222222222222222222222222222222_原ABC-pbc表_1L" xfId="1216"/>
    <cellStyle name="_03_长期资产申报表_pbc-汇总_Book2222222222222222222222222222222222222222222222222_原ABC-pbc表_Appendix M Footnotes Form.1106.KL" xfId="1217"/>
    <cellStyle name="_03_长期资产申报表_pbc-汇总_Book2222222222222222222222222222222222222222222222222_原ABC-pbc表_Copy of Footnotes1107" xfId="1218"/>
    <cellStyle name="_03_长期资产申报表_pbc-汇总_Book2222222222222222222222222222222222222222222222222_原ABC-pbc表_Footnotes1107" xfId="1219"/>
    <cellStyle name="_03_长期资产申报表_pbc-汇总_Book2222222222222222222222222222222222222222222222222_原ABC-pbc表_PBC(CG)-MASTER" xfId="1220"/>
    <cellStyle name="_03_长期资产申报表_pbc-汇总_Copy of Footnotes1107" xfId="1221"/>
    <cellStyle name="_03_长期资产申报表_pbc-汇总_Footnotes1107" xfId="1222"/>
    <cellStyle name="_03_长期资产申报表_pbc-汇总_PBC(CG)-MASTER" xfId="1223"/>
    <cellStyle name="_03_长期资产申报表_pbc-汇总_PBC(CG)-MASTER_1" xfId="1224"/>
    <cellStyle name="_03_长期资产申报表_pbc-汇总_PBC(CG)-MASTER_1L" xfId="1225"/>
    <cellStyle name="_03_长期资产申报表_pbc-汇总_PBC(CG)-MASTER_Appendix M Footnotes Form.1106.KL" xfId="1226"/>
    <cellStyle name="_03_长期资产申报表_pbc-汇总_PBC(CG)-MASTER_Copy of Footnotes1107" xfId="1227"/>
    <cellStyle name="_03_长期资产申报表_pbc-汇总_PBC(CG)-MASTER_Footnotes1107" xfId="1228"/>
    <cellStyle name="_03_长期资产申报表_pbc-汇总_PBC(CG)-MASTER_PBC(CG)-MASTER" xfId="1229"/>
    <cellStyle name="_03_长期资产申报表_pbc-汇总_股权等" xfId="1230"/>
    <cellStyle name="_03_长期资产申报表_pbc-汇总_股权等_1" xfId="1231"/>
    <cellStyle name="_03_长期资产申报表_pbc-汇总_股权等_1L" xfId="1232"/>
    <cellStyle name="_03_长期资产申报表_pbc-汇总_股权等_ABC-pbc表20060610" xfId="1233"/>
    <cellStyle name="_03_长期资产申报表_pbc-汇总_股权等_ABC-pbc表20060610_1" xfId="1234"/>
    <cellStyle name="_03_长期资产申报表_pbc-汇总_股权等_ABC-pbc表20060610_1L" xfId="1235"/>
    <cellStyle name="_03_长期资产申报表_pbc-汇总_股权等_ABC-pbc表20060610_Appendix M Footnotes Form.1106.KL" xfId="1236"/>
    <cellStyle name="_03_长期资产申报表_pbc-汇总_股权等_ABC-pbc表20060610_Copy of Footnotes1107" xfId="1237"/>
    <cellStyle name="_03_长期资产申报表_pbc-汇总_股权等_ABC-pbc表20060610_Footnotes1107" xfId="1238"/>
    <cellStyle name="_03_长期资产申报表_pbc-汇总_股权等_ABC-pbc表20060610_PBC(CG)-MASTER" xfId="1239"/>
    <cellStyle name="_03_长期资产申报表_pbc-汇总_股权等_ABC-pbc表20060610_PBC(CG)-MASTER_1" xfId="1240"/>
    <cellStyle name="_03_长期资产申报表_pbc-汇总_股权等_ABC-pbc表20060610_PBC(CG)-MASTER_1L" xfId="1241"/>
    <cellStyle name="_03_长期资产申报表_pbc-汇总_股权等_ABC-pbc表20060610_PBC(CG)-MASTER_Appendix M Footnotes Form.1106.KL" xfId="1242"/>
    <cellStyle name="_03_长期资产申报表_pbc-汇总_股权等_ABC-pbc表20060610_PBC(CG)-MASTER_Copy of Footnotes1107" xfId="1243"/>
    <cellStyle name="_03_长期资产申报表_pbc-汇总_股权等_ABC-pbc表20060610_PBC(CG)-MASTER_Footnotes1107" xfId="1244"/>
    <cellStyle name="_03_长期资产申报表_pbc-汇总_股权等_ABC-pbc表20060610_PBC(CG)-MASTER_PBC(CG)-MASTER" xfId="1245"/>
    <cellStyle name="_03_长期资产申报表_pbc-汇总_股权等_ABC-pbc表20060610－赵静" xfId="1246"/>
    <cellStyle name="_03_长期资产申报表_pbc-汇总_股权等_ABC-pbc表20060610－赵静_1" xfId="1247"/>
    <cellStyle name="_03_长期资产申报表_pbc-汇总_股权等_ABC-pbc表20060610－赵静_1L" xfId="1248"/>
    <cellStyle name="_03_长期资产申报表_pbc-汇总_股权等_ABC-pbc表20060610－赵静_Appendix M Footnotes Form.1106.KL" xfId="1249"/>
    <cellStyle name="_03_长期资产申报表_pbc-汇总_股权等_ABC-pbc表20060610－赵静_Copy of Footnotes1107" xfId="1250"/>
    <cellStyle name="_03_长期资产申报表_pbc-汇总_股权等_ABC-pbc表20060610－赵静_Footnotes1107" xfId="1251"/>
    <cellStyle name="_03_长期资产申报表_pbc-汇总_股权等_ABC-pbc表20060610－赵静_PBC(CG)-MASTER" xfId="1252"/>
    <cellStyle name="_03_长期资产申报表_pbc-汇总_股权等_Appendix M Footnotes Form.1106.KL" xfId="1253"/>
    <cellStyle name="_03_长期资产申报表_pbc-汇总_股权等_Copy of Footnotes1107" xfId="1254"/>
    <cellStyle name="_03_长期资产申报表_pbc-汇总_股权等_Footnotes1107" xfId="1255"/>
    <cellStyle name="_03_长期资产申报表_pbc-汇总_股权等_PBC(CG)-MASTER" xfId="1256"/>
    <cellStyle name="_03_长期资产申报表_pbc-汇总_股权等_PBC(CG)-MASTER_1" xfId="1257"/>
    <cellStyle name="_03_长期资产申报表_pbc-汇总_股权等_PBC(CG)-MASTER_1L" xfId="1258"/>
    <cellStyle name="_03_长期资产申报表_pbc-汇总_股权等_PBC(CG)-MASTER_Appendix M Footnotes Form.1106.KL" xfId="1259"/>
    <cellStyle name="_03_长期资产申报表_pbc-汇总_股权等_PBC(CG)-MASTER_Copy of Footnotes1107" xfId="1260"/>
    <cellStyle name="_03_长期资产申报表_pbc-汇总_股权等_PBC(CG)-MASTER_Footnotes1107" xfId="1261"/>
    <cellStyle name="_03_长期资产申报表_pbc-汇总_股权等_PBC(CG)-MASTER_PBC(CG)-MASTER" xfId="1262"/>
    <cellStyle name="_03_长期资产申报表_pbc-汇总_股权等_原ABC-pbc表" xfId="1263"/>
    <cellStyle name="_03_长期资产申报表_pbc-汇总_股权等_原ABC-pbc表_1" xfId="1264"/>
    <cellStyle name="_03_长期资产申报表_pbc-汇总_股权等_原ABC-pbc表_1L" xfId="1265"/>
    <cellStyle name="_03_长期资产申报表_pbc-汇总_股权等_原ABC-pbc表_Appendix M Footnotes Form.1106.KL" xfId="1266"/>
    <cellStyle name="_03_长期资产申报表_pbc-汇总_股权等_原ABC-pbc表_Copy of Footnotes1107" xfId="1267"/>
    <cellStyle name="_03_长期资产申报表_pbc-汇总_股权等_原ABC-pbc表_Footnotes1107" xfId="1268"/>
    <cellStyle name="_03_长期资产申报表_pbc-汇总_股权等_原ABC-pbc表_PBC(CG)-MASTER" xfId="1269"/>
    <cellStyle name="_03_长期资产申报表_pbc-汇总_原ABC-pbc表" xfId="1270"/>
    <cellStyle name="_03_长期资产申报表_pbc-汇总_原ABC-pbc表_1" xfId="1271"/>
    <cellStyle name="_03_长期资产申报表_pbc-汇总_原ABC-pbc表_1L" xfId="1272"/>
    <cellStyle name="_03_长期资产申报表_pbc-汇总_原ABC-pbc表_Appendix M Footnotes Form.1106.KL" xfId="1273"/>
    <cellStyle name="_03_长期资产申报表_pbc-汇总_原ABC-pbc表_Copy of Footnotes1107" xfId="1274"/>
    <cellStyle name="_03_长期资产申报表_pbc-汇总_原ABC-pbc表_Footnotes1107" xfId="1275"/>
    <cellStyle name="_03_长期资产申报表_pbc-汇总_原ABC-pbc表_PBC(CG)-MASTER" xfId="1276"/>
    <cellStyle name="_03_长期资产申报表_股权等" xfId="1277"/>
    <cellStyle name="_03_长期资产申报表_股权等_1" xfId="1278"/>
    <cellStyle name="_03_长期资产申报表_股权等_1L" xfId="1279"/>
    <cellStyle name="_03_长期资产申报表_股权等_ABC-pbc表20060610" xfId="1280"/>
    <cellStyle name="_03_长期资产申报表_股权等_ABC-pbc表20060610_1" xfId="1281"/>
    <cellStyle name="_03_长期资产申报表_股权等_ABC-pbc表20060610_1L" xfId="1282"/>
    <cellStyle name="_03_长期资产申报表_股权等_ABC-pbc表20060610_Appendix M Footnotes Form.1106.KL" xfId="1283"/>
    <cellStyle name="_03_长期资产申报表_股权等_ABC-pbc表20060610_Copy of Footnotes1107" xfId="1284"/>
    <cellStyle name="_03_长期资产申报表_股权等_ABC-pbc表20060610_Footnotes1107" xfId="1285"/>
    <cellStyle name="_03_长期资产申报表_股权等_ABC-pbc表20060610_PBC(CG)-MASTER" xfId="1286"/>
    <cellStyle name="_03_长期资产申报表_股权等_ABC-pbc表20060610_PBC(CG)-MASTER_1" xfId="1287"/>
    <cellStyle name="_03_长期资产申报表_股权等_ABC-pbc表20060610_PBC(CG)-MASTER_1L" xfId="1288"/>
    <cellStyle name="_03_长期资产申报表_股权等_ABC-pbc表20060610_PBC(CG)-MASTER_Appendix M Footnotes Form.1106.KL" xfId="1289"/>
    <cellStyle name="_03_长期资产申报表_股权等_ABC-pbc表20060610_PBC(CG)-MASTER_Copy of Footnotes1107" xfId="1290"/>
    <cellStyle name="_03_长期资产申报表_股权等_ABC-pbc表20060610_PBC(CG)-MASTER_Footnotes1107" xfId="1291"/>
    <cellStyle name="_03_长期资产申报表_股权等_ABC-pbc表20060610_PBC(CG)-MASTER_PBC(CG)-MASTER" xfId="1292"/>
    <cellStyle name="_03_长期资产申报表_股权等_ABC-pbc表20060610－赵静" xfId="1293"/>
    <cellStyle name="_03_长期资产申报表_股权等_ABC-pbc表20060610－赵静_1" xfId="1294"/>
    <cellStyle name="_03_长期资产申报表_股权等_ABC-pbc表20060610－赵静_1L" xfId="1295"/>
    <cellStyle name="_03_长期资产申报表_股权等_ABC-pbc表20060610－赵静_Appendix M Footnotes Form.1106.KL" xfId="1296"/>
    <cellStyle name="_03_长期资产申报表_股权等_ABC-pbc表20060610－赵静_Copy of Footnotes1107" xfId="1297"/>
    <cellStyle name="_03_长期资产申报表_股权等_ABC-pbc表20060610－赵静_Footnotes1107" xfId="1298"/>
    <cellStyle name="_03_长期资产申报表_股权等_ABC-pbc表20060610－赵静_PBC(CG)-MASTER" xfId="1299"/>
    <cellStyle name="_03_长期资产申报表_股权等_Appendix M Footnotes Form.1106.KL" xfId="1300"/>
    <cellStyle name="_03_长期资产申报表_股权等_Copy of Footnotes1107" xfId="1301"/>
    <cellStyle name="_03_长期资产申报表_股权等_Footnotes1107" xfId="1302"/>
    <cellStyle name="_03_长期资产申报表_股权等_PBC(CG)-MASTER" xfId="1303"/>
    <cellStyle name="_03_长期资产申报表_股权等_PBC(CG)-MASTER_1" xfId="1304"/>
    <cellStyle name="_03_长期资产申报表_股权等_PBC(CG)-MASTER_1L" xfId="1305"/>
    <cellStyle name="_03_长期资产申报表_股权等_PBC(CG)-MASTER_Appendix M Footnotes Form.1106.KL" xfId="1306"/>
    <cellStyle name="_03_长期资产申报表_股权等_PBC(CG)-MASTER_Copy of Footnotes1107" xfId="1307"/>
    <cellStyle name="_03_长期资产申报表_股权等_PBC(CG)-MASTER_Footnotes1107" xfId="1308"/>
    <cellStyle name="_03_长期资产申报表_股权等_PBC(CG)-MASTER_PBC(CG)-MASTER" xfId="1309"/>
    <cellStyle name="_03_长期资产申报表_股权等_原ABC-pbc表" xfId="1310"/>
    <cellStyle name="_03_长期资产申报表_股权等_原ABC-pbc表_1" xfId="1311"/>
    <cellStyle name="_03_长期资产申报表_股权等_原ABC-pbc表_1L" xfId="1312"/>
    <cellStyle name="_03_长期资产申报表_股权等_原ABC-pbc表_Appendix M Footnotes Form.1106.KL" xfId="1313"/>
    <cellStyle name="_03_长期资产申报表_股权等_原ABC-pbc表_Copy of Footnotes1107" xfId="1314"/>
    <cellStyle name="_03_长期资产申报表_股权等_原ABC-pbc表_Footnotes1107" xfId="1315"/>
    <cellStyle name="_03_长期资产申报表_股权等_原ABC-pbc表_PBC(CG)-MASTER" xfId="1316"/>
    <cellStyle name="_03_长期资产申报表_原ABC-pbc表" xfId="1317"/>
    <cellStyle name="_03_长期资产申报表_原ABC-pbc表_1" xfId="1318"/>
    <cellStyle name="_03_长期资产申报表_原ABC-pbc表_1L" xfId="1319"/>
    <cellStyle name="_03_长期资产申报表_原ABC-pbc表_Appendix M Footnotes Form.1106.KL" xfId="1320"/>
    <cellStyle name="_03_长期资产申报表_原ABC-pbc表_Copy of Footnotes1107" xfId="1321"/>
    <cellStyle name="_03_长期资产申报表_原ABC-pbc表_Footnotes1107" xfId="1322"/>
    <cellStyle name="_03_长期资产申报表_原ABC-pbc表_PBC(CG)-MASTER" xfId="1323"/>
    <cellStyle name="_04  在建工程" xfId="1324"/>
    <cellStyle name="_042q-K-MB" xfId="1325"/>
    <cellStyle name="_042q-K-MB_FA---032q" xfId="1326"/>
    <cellStyle name="_042q-K-MB_FA---032q_FA---032q-8.21" xfId="1327"/>
    <cellStyle name="_042q-K-MB_FA---032q_FA---032q-8.21_H" xfId="1328"/>
    <cellStyle name="_042q-K-MB_FA---032q_FA---032q-8.21_H_H_equity investment" xfId="1329"/>
    <cellStyle name="_042q-K-MB_FA---032q_FA---032q-8.21_H_H_equity investment_Revised PBC 15-17" xfId="1330"/>
    <cellStyle name="_042q-K-MB_FA---032q_FA---032q-8.21_H_Revised PBC 15-17" xfId="1331"/>
    <cellStyle name="_042q-K-MB_FA---032q_FA---032q-8.21_H_Sep 4.15 morning" xfId="1332"/>
    <cellStyle name="_042q-K-MB_FA---032q_FA---032q-8.21_H_Sep 4.15 morning_H_equity investment" xfId="1333"/>
    <cellStyle name="_042q-K-MB_FA---032q_FA---032q-8.21_H_Sep 4.15 morning_H_equity investment_Revised PBC 15-17" xfId="1334"/>
    <cellStyle name="_042q-K-MB_FA---032q_FA---032q-8.21_H_Sep 4.15 morning_Revised PBC 15-17" xfId="1335"/>
    <cellStyle name="_042q-K-MB_FA---032q_FA---032q-8.21_H3240_ASSO BASIC INFO_evening" xfId="1336"/>
    <cellStyle name="_042q-K-MB_FA---032q_FA---032q-8.21_H3240_ASSO BASIC INFO_evening_H_equity investment" xfId="1337"/>
    <cellStyle name="_042q-K-MB_FA---032q_FA---032q-8.21_H3240_ASSO BASIC INFO_evening_H_equity investment_Revised PBC 15-17" xfId="1338"/>
    <cellStyle name="_042q-K-MB_FA---032q_FA---032q-8.21_H3240_ASSO BASIC INFO_evening_Revised PBC 15-17" xfId="1339"/>
    <cellStyle name="_042q-K-MB_FA---032q_FA---032q-8.21_Revised PBC 15-17" xfId="1340"/>
    <cellStyle name="_042q-K-MB_FA---032q_FA---032q-8.21_SPREADSHEET 2004.3.16  afternoon" xfId="1341"/>
    <cellStyle name="_042q-K-MB_FA---032q_FA---032q-8.21_SPREADSHEET 2004.3.16  afternoon_H_equity investment" xfId="1342"/>
    <cellStyle name="_042q-K-MB_FA---032q_FA---032q-8.21_SPREADSHEET 2004.3.16  afternoon_H_equity investment_Revised PBC 15-17" xfId="1343"/>
    <cellStyle name="_042q-K-MB_FA---032q_FA---032q-8.21_SPREADSHEET 2004.3.16  afternoon_Revised PBC 15-17" xfId="1344"/>
    <cellStyle name="_042q-K-MB_FA---032q_FA---032q-8.21_SPREADSHEET 2004.3.17evening" xfId="1345"/>
    <cellStyle name="_042q-K-MB_FA---032q_FA---032q-8.21_SPREADSHEET 2004.3.17evening_H_equity investment" xfId="1346"/>
    <cellStyle name="_042q-K-MB_FA---032q_FA---032q-8.21_SPREADSHEET 2004.3.17evening_H_equity investment_Revised PBC 15-17" xfId="1347"/>
    <cellStyle name="_042q-K-MB_FA---032q_FA---032q-8.21_SPREADSHEET 2004.3.17evening_Revised PBC 15-17" xfId="1348"/>
    <cellStyle name="_042q-K-MB_FA---032q_H" xfId="1349"/>
    <cellStyle name="_042q-K-MB_FA---032q_H_H_equity investment" xfId="1350"/>
    <cellStyle name="_042q-K-MB_FA---032q_H_H_equity investment_Revised PBC 15-17" xfId="1351"/>
    <cellStyle name="_042q-K-MB_FA---032q_H_Revised PBC 15-17" xfId="1352"/>
    <cellStyle name="_042q-K-MB_FA---032q_H_Sep 4.15 morning" xfId="1353"/>
    <cellStyle name="_042q-K-MB_FA---032q_H_Sep 4.15 morning_H_equity investment" xfId="1354"/>
    <cellStyle name="_042q-K-MB_FA---032q_H_Sep 4.15 morning_H_equity investment_Revised PBC 15-17" xfId="1355"/>
    <cellStyle name="_042q-K-MB_FA---032q_H_Sep 4.15 morning_Revised PBC 15-17" xfId="1356"/>
    <cellStyle name="_042q-K-MB_FA---032q_H3240_ASSO BASIC INFO_evening" xfId="1357"/>
    <cellStyle name="_042q-K-MB_FA---032q_H3240_ASSO BASIC INFO_evening_H_equity investment" xfId="1358"/>
    <cellStyle name="_042q-K-MB_FA---032q_H3240_ASSO BASIC INFO_evening_H_equity investment_Revised PBC 15-17" xfId="1359"/>
    <cellStyle name="_042q-K-MB_FA---032q_H3240_ASSO BASIC INFO_evening_Revised PBC 15-17" xfId="1360"/>
    <cellStyle name="_042q-K-MB_FA---032q_Revised PBC 15-17" xfId="1361"/>
    <cellStyle name="_042q-K-MB_FA---032q_SPREADSHEET 2004.3.16  afternoon" xfId="1362"/>
    <cellStyle name="_042q-K-MB_FA---032q_SPREADSHEET 2004.3.16  afternoon_H_equity investment" xfId="1363"/>
    <cellStyle name="_042q-K-MB_FA---032q_SPREADSHEET 2004.3.16  afternoon_H_equity investment_Revised PBC 15-17" xfId="1364"/>
    <cellStyle name="_042q-K-MB_FA---032q_SPREADSHEET 2004.3.16  afternoon_Revised PBC 15-17" xfId="1365"/>
    <cellStyle name="_042q-K-MB_FA---032q_SPREADSHEET 2004.3.17evening" xfId="1366"/>
    <cellStyle name="_042q-K-MB_FA---032q_SPREADSHEET 2004.3.17evening_H_equity investment" xfId="1367"/>
    <cellStyle name="_042q-K-MB_FA---032q_SPREADSHEET 2004.3.17evening_H_equity investment_Revised PBC 15-17" xfId="1368"/>
    <cellStyle name="_042q-K-MB_FA---032q_SPREADSHEET 2004.3.17evening_Revised PBC 15-17" xfId="1369"/>
    <cellStyle name="_042q-K-MB_FA---032q_WP K032q  823" xfId="1370"/>
    <cellStyle name="_042q-K-MB_FA---032q_WP K032q  823_H" xfId="1371"/>
    <cellStyle name="_042q-K-MB_FA---032q_WP K032q  823_H_H_equity investment" xfId="1372"/>
    <cellStyle name="_042q-K-MB_FA---032q_WP K032q  823_H_H_equity investment_Revised PBC 15-17" xfId="1373"/>
    <cellStyle name="_042q-K-MB_FA---032q_WP K032q  823_H_Revised PBC 15-17" xfId="1374"/>
    <cellStyle name="_042q-K-MB_FA---032q_WP K032q  823_H_Sep 4.15 morning" xfId="1375"/>
    <cellStyle name="_042q-K-MB_FA---032q_WP K032q  823_H_Sep 4.15 morning_H_equity investment" xfId="1376"/>
    <cellStyle name="_042q-K-MB_FA---032q_WP K032q  823_H_Sep 4.15 morning_H_equity investment_Revised PBC 15-17" xfId="1377"/>
    <cellStyle name="_042q-K-MB_FA---032q_WP K032q  823_H_Sep 4.15 morning_Revised PBC 15-17" xfId="1378"/>
    <cellStyle name="_042q-K-MB_FA---032q_WP K032q  823_H3240_ASSO BASIC INFO_evening" xfId="1379"/>
    <cellStyle name="_042q-K-MB_FA---032q_WP K032q  823_H3240_ASSO BASIC INFO_evening_H_equity investment" xfId="1380"/>
    <cellStyle name="_042q-K-MB_FA---032q_WP K032q  823_H3240_ASSO BASIC INFO_evening_H_equity investment_Revised PBC 15-17" xfId="1381"/>
    <cellStyle name="_042q-K-MB_FA---032q_WP K032q  823_H3240_ASSO BASIC INFO_evening_Revised PBC 15-17" xfId="1382"/>
    <cellStyle name="_042q-K-MB_FA---032q_WP K032q  823_Revised PBC 15-17" xfId="1383"/>
    <cellStyle name="_042q-K-MB_FA---032q_WP K032q  823_SPREADSHEET 2004.3.16  afternoon" xfId="1384"/>
    <cellStyle name="_042q-K-MB_FA---032q_WP K032q  823_SPREADSHEET 2004.3.16  afternoon_H_equity investment" xfId="1385"/>
    <cellStyle name="_042q-K-MB_FA---032q_WP K032q  823_SPREADSHEET 2004.3.16  afternoon_H_equity investment_Revised PBC 15-17" xfId="1386"/>
    <cellStyle name="_042q-K-MB_FA---032q_WP K032q  823_SPREADSHEET 2004.3.16  afternoon_Revised PBC 15-17" xfId="1387"/>
    <cellStyle name="_042q-K-MB_FA---032q_WP K032q  823_SPREADSHEET 2004.3.17evening" xfId="1388"/>
    <cellStyle name="_042q-K-MB_FA---032q_WP K032q  823_SPREADSHEET 2004.3.17evening_H_equity investment" xfId="1389"/>
    <cellStyle name="_042q-K-MB_FA---032q_WP K032q  823_SPREADSHEET 2004.3.17evening_H_equity investment_Revised PBC 15-17" xfId="1390"/>
    <cellStyle name="_042q-K-MB_FA---032q_WP K032q  823_SPREADSHEET 2004.3.17evening_Revised PBC 15-17" xfId="1391"/>
    <cellStyle name="_042q-K-MB_H" xfId="1392"/>
    <cellStyle name="_042q-K-MB_H_H_equity investment" xfId="1393"/>
    <cellStyle name="_042q-K-MB_H_H_equity investment_Revised PBC 15-17" xfId="1394"/>
    <cellStyle name="_042q-K-MB_H_Revised PBC 15-17" xfId="1395"/>
    <cellStyle name="_042q-K-MB_H_Sep 4.15 morning" xfId="1396"/>
    <cellStyle name="_042q-K-MB_H_Sep 4.15 morning_H_equity investment" xfId="1397"/>
    <cellStyle name="_042q-K-MB_H_Sep 4.15 morning_H_equity investment_Revised PBC 15-17" xfId="1398"/>
    <cellStyle name="_042q-K-MB_H_Sep 4.15 morning_Revised PBC 15-17" xfId="1399"/>
    <cellStyle name="_042q-K-MB_H3240_ASSO BASIC INFO_evening" xfId="1400"/>
    <cellStyle name="_042q-K-MB_H3240_ASSO BASIC INFO_evening_H_equity investment" xfId="1401"/>
    <cellStyle name="_042q-K-MB_H3240_ASSO BASIC INFO_evening_H_equity investment_Revised PBC 15-17" xfId="1402"/>
    <cellStyle name="_042q-K-MB_H3240_ASSO BASIC INFO_evening_Revised PBC 15-17" xfId="1403"/>
    <cellStyle name="_042q-K-MB_Revised PBC 15-17" xfId="1404"/>
    <cellStyle name="_042q-K-MB_SPREADSHEET 2004.3.16  afternoon" xfId="1405"/>
    <cellStyle name="_042q-K-MB_SPREADSHEET 2004.3.16  afternoon_H_equity investment" xfId="1406"/>
    <cellStyle name="_042q-K-MB_SPREADSHEET 2004.3.16  afternoon_H_equity investment_Revised PBC 15-17" xfId="1407"/>
    <cellStyle name="_042q-K-MB_SPREADSHEET 2004.3.16  afternoon_Revised PBC 15-17" xfId="1408"/>
    <cellStyle name="_042q-K-MB_SPREADSHEET 2004.3.17evening" xfId="1409"/>
    <cellStyle name="_042q-K-MB_SPREADSHEET 2004.3.17evening_H_equity investment" xfId="1410"/>
    <cellStyle name="_042q-K-MB_SPREADSHEET 2004.3.17evening_H_equity investment_Revised PBC 15-17" xfId="1411"/>
    <cellStyle name="_042q-K-MB_SPREADSHEET 2004.3.17evening_Revised PBC 15-17" xfId="1412"/>
    <cellStyle name="_04年9月G2（投资项目陈里，04，11，12，11）" xfId="1413"/>
    <cellStyle name="_04年9月G2（投资项目陈里，04，11，12，11）_H_equity investment" xfId="1414"/>
    <cellStyle name="_04年9月G2（投资项目陈里，04，11，12，11）_H_equity investment_Revised PBC 15-17" xfId="1415"/>
    <cellStyle name="_04年9月G2（投资项目陈里，04，11，12，11）_Revised PBC 15-17" xfId="1416"/>
    <cellStyle name="_08  固定资产清理" xfId="1417"/>
    <cellStyle name="_09  待处理固定资产损溢" xfId="1418"/>
    <cellStyle name="_1300 资产减值损失" xfId="1419"/>
    <cellStyle name="_200409其他应收、其他应付、工资、福利、保险" xfId="1420"/>
    <cellStyle name="_200409其他应收、其他应付、工资、福利、保险_H_equity investment" xfId="1421"/>
    <cellStyle name="_200409其他应收、其他应付、工资、福利、保险_H_equity investment_Revised PBC 15-17" xfId="1422"/>
    <cellStyle name="_200409其他应收、其他应付、工资、福利、保险_Revised PBC 15-17" xfId="1423"/>
    <cellStyle name="_2004-2Q Other Receivable" xfId="1424"/>
    <cellStyle name="_2004-2Q prepayment" xfId="1425"/>
    <cellStyle name="_2006年汇总调整分录(OBT)" xfId="1427"/>
    <cellStyle name="_2006年末盘亏、报废固定资产明细表(贵州分行)" xfId="1428"/>
    <cellStyle name="_2006年调整" xfId="1426"/>
    <cellStyle name="_2006年修改记录-下午" xfId="1429"/>
    <cellStyle name="_20070630中间业务收入科目归并口径" xfId="1430"/>
    <cellStyle name="_2007汇总表-其他类" xfId="1431"/>
    <cellStyle name="_2007银行存款PBC" xfId="1432"/>
    <cellStyle name="_2008年个人银行业务经营计划指标调整20080715" xfId="1433"/>
    <cellStyle name="_2263 new version" xfId="1434"/>
    <cellStyle name="_2263-0602-OBT-汇总" xfId="1435"/>
    <cellStyle name="_2263-724-汇总数据库！！！！" xfId="1436"/>
    <cellStyle name="_2263陈建国" xfId="1437"/>
    <cellStyle name="_2263汇总" xfId="1438"/>
    <cellStyle name="_2263汇总new" xfId="1439"/>
    <cellStyle name="_2263-新格式大家作入底稿" xfId="1440"/>
    <cellStyle name="_45603 基于3.4版2263抵债资产分析" xfId="1441"/>
    <cellStyle name="_45603 基于3.4版2263抵债资产分析_Adj Summary" xfId="1442"/>
    <cellStyle name="_45603 基于3.4版2263抵债资产分析_Adj Summary_三年全行2263_LAT_0831_v2.21 1012(lx2004全)1018（全）" xfId="1443"/>
    <cellStyle name="_45603 基于3.4版2263抵债资产分析_Adj Summary_三年全行2263_LAT_0831_v2.21 1012(lx2004全)1018（全）分拆(正式版)" xfId="1444"/>
    <cellStyle name="_45603 基于3.4版2263抵债资产分析_Adj Summary_三年全行2263_LAT_0831_v2.21 1012(lx2004全)1018（全）分拆(正式版)-hs" xfId="1445"/>
    <cellStyle name="_45603 基于3.4版2263抵债资产分析_账外固定资产汇总调整20071009" xfId="1446"/>
    <cellStyle name="_45603 基于3.4版2263抵债资产分析_账外固定资产汇总调整20071009_Copy of Book5 (2)" xfId="1447"/>
    <cellStyle name="_5140-2-1 存放同业 Breakdown" xfId="1448"/>
    <cellStyle name="_5640-1-2 固定资产、累计折旧变动分析_甘肃" xfId="1449"/>
    <cellStyle name="_6240-7-1 诉讼事项预计负债" xfId="1450"/>
    <cellStyle name="_70000往来科目余额调节表" xfId="1451"/>
    <cellStyle name="_AA-042Q(PRC)" xfId="1452"/>
    <cellStyle name="_AA-042Q(PRC)_H_equity investment" xfId="1453"/>
    <cellStyle name="_AA-042Q(PRC)_H_equity investment_Revised PBC 15-17" xfId="1454"/>
    <cellStyle name="_AA-042Q(PRC)_Revised PBC 15-17" xfId="1455"/>
    <cellStyle name="_Adj Summary" xfId="1456"/>
    <cellStyle name="_Adj Summary_三年全行2263_LAT_0831_v2.21 1012(lx2004全)1018（全）" xfId="1457"/>
    <cellStyle name="_Adj Summary_三年全行2263_LAT_0831_v2.21 1012(lx2004全)1018（全）分拆(正式版)" xfId="1458"/>
    <cellStyle name="_Adj Summary_三年全行2263_LAT_0831_v2.21 1012(lx2004全)1018（全）分拆(正式版)-hs" xfId="1459"/>
    <cellStyle name="_Adjustment sumarry-OBT" xfId="1460"/>
    <cellStyle name="_Book1" xfId="1461"/>
    <cellStyle name="_Book1(1)" xfId="1462"/>
    <cellStyle name="_Book1(1)_Branch Template of U working paper(081031)" xfId="1463"/>
    <cellStyle name="_Book1(1)_Yield wp template(081031)" xfId="1464"/>
    <cellStyle name="_Book1_FA---032q" xfId="1465"/>
    <cellStyle name="_Book1_FA---032q_FA---032q-8.21" xfId="1466"/>
    <cellStyle name="_Book1_FA---032q_FA---032q-8.21_H" xfId="1467"/>
    <cellStyle name="_Book1_FA---032q_FA---032q-8.21_H_H_equity investment" xfId="1468"/>
    <cellStyle name="_Book1_FA---032q_FA---032q-8.21_H_H_equity investment_Revised PBC 15-17" xfId="1469"/>
    <cellStyle name="_Book1_FA---032q_FA---032q-8.21_H_Revised PBC 15-17" xfId="1470"/>
    <cellStyle name="_Book1_FA---032q_FA---032q-8.21_H_Sep 4.15 morning" xfId="1471"/>
    <cellStyle name="_Book1_FA---032q_FA---032q-8.21_H_Sep 4.15 morning_H_equity investment" xfId="1472"/>
    <cellStyle name="_Book1_FA---032q_FA---032q-8.21_H_Sep 4.15 morning_H_equity investment_Revised PBC 15-17" xfId="1473"/>
    <cellStyle name="_Book1_FA---032q_FA---032q-8.21_H_Sep 4.15 morning_Revised PBC 15-17" xfId="1474"/>
    <cellStyle name="_Book1_FA---032q_FA---032q-8.21_H3240_ASSO BASIC INFO_evening" xfId="1475"/>
    <cellStyle name="_Book1_FA---032q_FA---032q-8.21_H3240_ASSO BASIC INFO_evening_H_equity investment" xfId="1476"/>
    <cellStyle name="_Book1_FA---032q_FA---032q-8.21_H3240_ASSO BASIC INFO_evening_H_equity investment_Revised PBC 15-17" xfId="1477"/>
    <cellStyle name="_Book1_FA---032q_FA---032q-8.21_H3240_ASSO BASIC INFO_evening_Revised PBC 15-17" xfId="1478"/>
    <cellStyle name="_Book1_FA---032q_FA---032q-8.21_Revised PBC 15-17" xfId="1479"/>
    <cellStyle name="_Book1_FA---032q_FA---032q-8.21_SPREADSHEET 2004.3.16  afternoon" xfId="1480"/>
    <cellStyle name="_Book1_FA---032q_FA---032q-8.21_SPREADSHEET 2004.3.16  afternoon_H_equity investment" xfId="1481"/>
    <cellStyle name="_Book1_FA---032q_FA---032q-8.21_SPREADSHEET 2004.3.16  afternoon_H_equity investment_Revised PBC 15-17" xfId="1482"/>
    <cellStyle name="_Book1_FA---032q_FA---032q-8.21_SPREADSHEET 2004.3.16  afternoon_Revised PBC 15-17" xfId="1483"/>
    <cellStyle name="_Book1_FA---032q_FA---032q-8.21_SPREADSHEET 2004.3.17evening" xfId="1484"/>
    <cellStyle name="_Book1_FA---032q_FA---032q-8.21_SPREADSHEET 2004.3.17evening_H_equity investment" xfId="1485"/>
    <cellStyle name="_Book1_FA---032q_FA---032q-8.21_SPREADSHEET 2004.3.17evening_H_equity investment_Revised PBC 15-17" xfId="1486"/>
    <cellStyle name="_Book1_FA---032q_FA---032q-8.21_SPREADSHEET 2004.3.17evening_Revised PBC 15-17" xfId="1487"/>
    <cellStyle name="_Book1_FA---032q_H" xfId="1488"/>
    <cellStyle name="_Book1_FA---032q_H_H_equity investment" xfId="1489"/>
    <cellStyle name="_Book1_FA---032q_H_H_equity investment_Revised PBC 15-17" xfId="1490"/>
    <cellStyle name="_Book1_FA---032q_H_Revised PBC 15-17" xfId="1491"/>
    <cellStyle name="_Book1_FA---032q_H_Sep 4.15 morning" xfId="1492"/>
    <cellStyle name="_Book1_FA---032q_H_Sep 4.15 morning_H_equity investment" xfId="1493"/>
    <cellStyle name="_Book1_FA---032q_H_Sep 4.15 morning_H_equity investment_Revised PBC 15-17" xfId="1494"/>
    <cellStyle name="_Book1_FA---032q_H_Sep 4.15 morning_Revised PBC 15-17" xfId="1495"/>
    <cellStyle name="_Book1_FA---032q_H3240_ASSO BASIC INFO_evening" xfId="1496"/>
    <cellStyle name="_Book1_FA---032q_H3240_ASSO BASIC INFO_evening_H_equity investment" xfId="1497"/>
    <cellStyle name="_Book1_FA---032q_H3240_ASSO BASIC INFO_evening_H_equity investment_Revised PBC 15-17" xfId="1498"/>
    <cellStyle name="_Book1_FA---032q_H3240_ASSO BASIC INFO_evening_Revised PBC 15-17" xfId="1499"/>
    <cellStyle name="_Book1_FA---032q_Revised PBC 15-17" xfId="1500"/>
    <cellStyle name="_Book1_FA---032q_SPREADSHEET 2004.3.16  afternoon" xfId="1501"/>
    <cellStyle name="_Book1_FA---032q_SPREADSHEET 2004.3.16  afternoon_H_equity investment" xfId="1502"/>
    <cellStyle name="_Book1_FA---032q_SPREADSHEET 2004.3.16  afternoon_H_equity investment_Revised PBC 15-17" xfId="1503"/>
    <cellStyle name="_Book1_FA---032q_SPREADSHEET 2004.3.16  afternoon_Revised PBC 15-17" xfId="1504"/>
    <cellStyle name="_Book1_FA---032q_SPREADSHEET 2004.3.17evening" xfId="1505"/>
    <cellStyle name="_Book1_FA---032q_SPREADSHEET 2004.3.17evening_H_equity investment" xfId="1506"/>
    <cellStyle name="_Book1_FA---032q_SPREADSHEET 2004.3.17evening_H_equity investment_Revised PBC 15-17" xfId="1507"/>
    <cellStyle name="_Book1_FA---032q_SPREADSHEET 2004.3.17evening_Revised PBC 15-17" xfId="1508"/>
    <cellStyle name="_Book1_FA---032q_WP K032q  823" xfId="1509"/>
    <cellStyle name="_Book1_FA---032q_WP K032q  823_H" xfId="1510"/>
    <cellStyle name="_Book1_FA---032q_WP K032q  823_H_H_equity investment" xfId="1511"/>
    <cellStyle name="_Book1_FA---032q_WP K032q  823_H_H_equity investment_Revised PBC 15-17" xfId="1512"/>
    <cellStyle name="_Book1_FA---032q_WP K032q  823_H_Revised PBC 15-17" xfId="1513"/>
    <cellStyle name="_Book1_FA---032q_WP K032q  823_H_Sep 4.15 morning" xfId="1514"/>
    <cellStyle name="_Book1_FA---032q_WP K032q  823_H_Sep 4.15 morning_H_equity investment" xfId="1515"/>
    <cellStyle name="_Book1_FA---032q_WP K032q  823_H_Sep 4.15 morning_H_equity investment_Revised PBC 15-17" xfId="1516"/>
    <cellStyle name="_Book1_FA---032q_WP K032q  823_H_Sep 4.15 morning_Revised PBC 15-17" xfId="1517"/>
    <cellStyle name="_Book1_FA---032q_WP K032q  823_H3240_ASSO BASIC INFO_evening" xfId="1518"/>
    <cellStyle name="_Book1_FA---032q_WP K032q  823_H3240_ASSO BASIC INFO_evening_H_equity investment" xfId="1519"/>
    <cellStyle name="_Book1_FA---032q_WP K032q  823_H3240_ASSO BASIC INFO_evening_H_equity investment_Revised PBC 15-17" xfId="1520"/>
    <cellStyle name="_Book1_FA---032q_WP K032q  823_H3240_ASSO BASIC INFO_evening_Revised PBC 15-17" xfId="1521"/>
    <cellStyle name="_Book1_FA---032q_WP K032q  823_Revised PBC 15-17" xfId="1522"/>
    <cellStyle name="_Book1_FA---032q_WP K032q  823_SPREADSHEET 2004.3.16  afternoon" xfId="1523"/>
    <cellStyle name="_Book1_FA---032q_WP K032q  823_SPREADSHEET 2004.3.16  afternoon_H_equity investment" xfId="1524"/>
    <cellStyle name="_Book1_FA---032q_WP K032q  823_SPREADSHEET 2004.3.16  afternoon_H_equity investment_Revised PBC 15-17" xfId="1525"/>
    <cellStyle name="_Book1_FA---032q_WP K032q  823_SPREADSHEET 2004.3.16  afternoon_Revised PBC 15-17" xfId="1526"/>
    <cellStyle name="_Book1_FA---032q_WP K032q  823_SPREADSHEET 2004.3.17evening" xfId="1527"/>
    <cellStyle name="_Book1_FA---032q_WP K032q  823_SPREADSHEET 2004.3.17evening_H_equity investment" xfId="1528"/>
    <cellStyle name="_Book1_FA---032q_WP K032q  823_SPREADSHEET 2004.3.17evening_H_equity investment_Revised PBC 15-17" xfId="1529"/>
    <cellStyle name="_Book1_FA---032q_WP K032q  823_SPREADSHEET 2004.3.17evening_Revised PBC 15-17" xfId="1530"/>
    <cellStyle name="_Book1_H" xfId="1531"/>
    <cellStyle name="_Book1_H_H_equity investment" xfId="1532"/>
    <cellStyle name="_Book1_H_H_equity investment_Revised PBC 15-17" xfId="1533"/>
    <cellStyle name="_Book1_H_Revised PBC 15-17" xfId="1534"/>
    <cellStyle name="_Book1_H_Sep 4.15 morning" xfId="1535"/>
    <cellStyle name="_Book1_H_Sep 4.15 morning_H_equity investment" xfId="1536"/>
    <cellStyle name="_Book1_H_Sep 4.15 morning_H_equity investment_Revised PBC 15-17" xfId="1537"/>
    <cellStyle name="_Book1_H_Sep 4.15 morning_Revised PBC 15-17" xfId="1538"/>
    <cellStyle name="_Book1_H3240_ASSO BASIC INFO_evening" xfId="1539"/>
    <cellStyle name="_Book1_H3240_ASSO BASIC INFO_evening_H_equity investment" xfId="1540"/>
    <cellStyle name="_Book1_H3240_ASSO BASIC INFO_evening_H_equity investment_Revised PBC 15-17" xfId="1541"/>
    <cellStyle name="_Book1_H3240_ASSO BASIC INFO_evening_Revised PBC 15-17" xfId="1542"/>
    <cellStyle name="_Book1_Revised PBC 15-17" xfId="1543"/>
    <cellStyle name="_Book1_SPREADSHEET 2004.3.16  afternoon" xfId="1544"/>
    <cellStyle name="_Book1_SPREADSHEET 2004.3.16  afternoon_H_equity investment" xfId="1545"/>
    <cellStyle name="_Book1_SPREADSHEET 2004.3.16  afternoon_H_equity investment_Revised PBC 15-17" xfId="1546"/>
    <cellStyle name="_Book1_SPREADSHEET 2004.3.16  afternoon_Revised PBC 15-17" xfId="1547"/>
    <cellStyle name="_Book1_SPREADSHEET 2004.3.17evening" xfId="1548"/>
    <cellStyle name="_Book1_SPREADSHEET 2004.3.17evening_H_equity investment" xfId="1549"/>
    <cellStyle name="_Book1_SPREADSHEET 2004.3.17evening_H_equity investment_Revised PBC 15-17" xfId="1550"/>
    <cellStyle name="_Book1_SPREADSHEET 2004.3.17evening_Revised PBC 15-17" xfId="1551"/>
    <cellStyle name="_Book1_表01-表12(office 2002及以下版本适用)-061231" xfId="1552"/>
    <cellStyle name="_Book1_表01-表12(office 2002及以下版本适用)-061231_Branch Template of U working paper(081031)" xfId="1553"/>
    <cellStyle name="_Book1_表01-表12(office 2002及以下版本适用)-061231_Yield wp template(081031)" xfId="1554"/>
    <cellStyle name="_Book1_表01-表12(office 2002及以下版本适用)-430 F " xfId="1555"/>
    <cellStyle name="_Book1_表01-表12(office 2002及以下版本适用)-430 F _Branch Template of U working paper(081031)" xfId="1556"/>
    <cellStyle name="_Book1_表01-表12(office 2002及以下版本适用)-430 F _Yield wp template(081031)" xfId="1557"/>
    <cellStyle name="_Book1_表13-表20(office 2002及以下版本适用)-12.11" xfId="1558"/>
    <cellStyle name="_Book1_表21-表35(office 2002及以下版本适用)-061231" xfId="1559"/>
    <cellStyle name="_Book1_表21-表35(office 2002及以下版本适用)-061231_Branch Template of U working paper(081031)" xfId="1560"/>
    <cellStyle name="_Book1_表21-表35(office 2002及以下版本适用)-061231_Yield wp template(081031)" xfId="1561"/>
    <cellStyle name="_Book1_工行2005审计基础数据表_投资部分" xfId="1562"/>
    <cellStyle name="_Book1_工行2005审计基础数据表_投资部分_Branch Template of U working paper(081031)" xfId="1563"/>
    <cellStyle name="_Book1_工行2005审计基础数据表_投资部分_Yield wp template(081031)" xfId="1564"/>
    <cellStyle name="_Book1_山东O_01、U_03-11" xfId="1565"/>
    <cellStyle name="_Book1_山东U03-11营业费用" xfId="1566"/>
    <cellStyle name="_Book2" xfId="1567"/>
    <cellStyle name="_Book3" xfId="1568"/>
    <cellStyle name="_Book7" xfId="1569"/>
    <cellStyle name="_Book7_H_equity investment" xfId="1570"/>
    <cellStyle name="_Book7_H_equity investment_Revised PBC 15-17" xfId="1571"/>
    <cellStyle name="_Book7_Revised PBC 15-17" xfId="1572"/>
    <cellStyle name="_Branch Template of U working paper(081031)" xfId="1573"/>
    <cellStyle name="_CCB Consol Item12 NAV and Profit Recon 040202( to be updated) EL" xfId="1574"/>
    <cellStyle name="_CCB Consol Item12 NAV and Profit Recon 040202( to be updated) EL_CCB.Dec03AuditPack.GL.V2" xfId="1575"/>
    <cellStyle name="_CCB Consol Item12 NAV and Profit Recon 040202( to be updated) EL_CCB.Dec03AuditPack.GL.V2_ICBC PBC-Draft 12-9" xfId="1576"/>
    <cellStyle name="_CCB Consol Item12 NAV and Profit Recon 040202( to be updated) EL_CCB.Dec03AuditPack.GL.V2_PBC-detail" xfId="1577"/>
    <cellStyle name="_CCB Consol Item12 NAV and Profit Recon 040202( to be updated) EL_CCB.Dec03AuditPack.GL.V2_U section modify ref_12.13" xfId="1578"/>
    <cellStyle name="_CCB Consol Item12 NAV and Profit Recon 040202( to be updated) EL_CCB.Dec03AuditPack.GL.V2_U section-3.22" xfId="1579"/>
    <cellStyle name="_CCB Consol Item12 NAV and Profit Recon 040202( to be updated) EL_CCB.Dec03AuditPack.GL.V2_U section-3.23" xfId="1580"/>
    <cellStyle name="_CCB Consol Item12 NAV and Profit Recon 040202( to be updated) EL_CCB.Dec03AuditPack.GL.V2_U100-PBC" xfId="1581"/>
    <cellStyle name="_CCB Consol Item12 NAV and Profit Recon 040202( to be updated) EL_ICBC PBC-Draft 12-9" xfId="1582"/>
    <cellStyle name="_CCB Consol Item12 NAV and Profit Recon 040202( to be updated) EL_PBC-detail" xfId="1583"/>
    <cellStyle name="_CCB Consol Item12 NAV and Profit Recon 040202( to be updated) EL_U section modify ref_12.13" xfId="1584"/>
    <cellStyle name="_CCB Consol Item12 NAV and Profit Recon 040202( to be updated) EL_U section-3.22" xfId="1585"/>
    <cellStyle name="_CCB Consol Item12 NAV and Profit Recon 040202( to be updated) EL_U section-3.23" xfId="1586"/>
    <cellStyle name="_CCB Consol Item12 NAV and Profit Recon 040202( to be updated) EL_U100-PBC" xfId="1587"/>
    <cellStyle name="_CCB(1).JL.Item12.ProfitNAVRecon.031127.ty" xfId="1588"/>
    <cellStyle name="_CCB(1).JL.Item12.ProfitNAVRecon.031127.ty_CCB.Dec03AuditPack.GL.V2" xfId="1589"/>
    <cellStyle name="_CCB(1).JL.Item12.ProfitNAVRecon.031127.ty_CCB.Dec03AuditPack.GL.V2_ICBC PBC-Draft 12-9" xfId="1590"/>
    <cellStyle name="_CCB(1).JL.Item12.ProfitNAVRecon.031127.ty_CCB.Dec03AuditPack.GL.V2_PBC-detail" xfId="1591"/>
    <cellStyle name="_CCB(1).JL.Item12.ProfitNAVRecon.031127.ty_CCB.Dec03AuditPack.GL.V2_U section modify ref_12.13" xfId="1592"/>
    <cellStyle name="_CCB(1).JL.Item12.ProfitNAVRecon.031127.ty_CCB.Dec03AuditPack.GL.V2_U section-3.22" xfId="1593"/>
    <cellStyle name="_CCB(1).JL.Item12.ProfitNAVRecon.031127.ty_CCB.Dec03AuditPack.GL.V2_U section-3.23" xfId="1594"/>
    <cellStyle name="_CCB(1).JL.Item12.ProfitNAVRecon.031127.ty_CCB.Dec03AuditPack.GL.V2_U100-PBC" xfId="1595"/>
    <cellStyle name="_CCB(1).JL.Item12.ProfitNAVRecon.031127.ty_ICBC PBC-Draft 12-9" xfId="1596"/>
    <cellStyle name="_CCB(1).JL.Item12.ProfitNAVRecon.031127.ty_PBC-detail" xfId="1597"/>
    <cellStyle name="_CCB(1).JL.Item12.ProfitNAVRecon.031127.ty_U section modify ref_12.13" xfId="1598"/>
    <cellStyle name="_CCB(1).JL.Item12.ProfitNAVRecon.031127.ty_U section-3.22" xfId="1599"/>
    <cellStyle name="_CCB(1).JL.Item12.ProfitNAVRecon.031127.ty_U section-3.23" xfId="1600"/>
    <cellStyle name="_CCB(1).JL.Item12.ProfitNAVRecon.031127.ty_U100-PBC" xfId="1601"/>
    <cellStyle name="_CCB.Dec03AuditPack.GL.V2" xfId="1602"/>
    <cellStyle name="_CCB.Dec03AuditPack.GL.V2_ICBC PBC-Draft 12-9" xfId="1603"/>
    <cellStyle name="_CCB.Dec03AuditPack.GL.V2_PBC-detail" xfId="1604"/>
    <cellStyle name="_CCB.Dec03AuditPack.GL.V2_U section modify ref_12.13" xfId="1605"/>
    <cellStyle name="_CCB.Dec03AuditPack.GL.V2_U section-3.22" xfId="1606"/>
    <cellStyle name="_CCB.Dec03AuditPack.GL.V2_U section-3.23" xfId="1607"/>
    <cellStyle name="_CCB.Dec03AuditPack.GL.V2_U100-PBC" xfId="1608"/>
    <cellStyle name="_CCB.GLAudit Package.040114" xfId="1609"/>
    <cellStyle name="_CCB.GLAudit Package.040114_CCB.Dec03AuditPack.GL.V2" xfId="1610"/>
    <cellStyle name="_CCB.GLAudit Package.040114_CCB.Dec03AuditPack.GL.V2_ICBC PBC-Draft 12-9" xfId="1611"/>
    <cellStyle name="_CCB.GLAudit Package.040114_CCB.Dec03AuditPack.GL.V2_PBC-detail" xfId="1612"/>
    <cellStyle name="_CCB.GLAudit Package.040114_CCB.Dec03AuditPack.GL.V2_U section modify ref_12.13" xfId="1613"/>
    <cellStyle name="_CCB.GLAudit Package.040114_CCB.Dec03AuditPack.GL.V2_U section-3.22" xfId="1614"/>
    <cellStyle name="_CCB.GLAudit Package.040114_CCB.Dec03AuditPack.GL.V2_U section-3.23" xfId="1615"/>
    <cellStyle name="_CCB.GLAudit Package.040114_CCB.Dec03AuditPack.GL.V2_U100-PBC" xfId="1616"/>
    <cellStyle name="_CCB.GLAudit Package.040114_ICBC PBC-Draft 12-9" xfId="1617"/>
    <cellStyle name="_CCB.GLAudit Package.040114_PBC-detail" xfId="1618"/>
    <cellStyle name="_CCB.GLAudit Package.040114_U section modify ref_12.13" xfId="1619"/>
    <cellStyle name="_CCB.GLAudit Package.040114_U section-3.22" xfId="1620"/>
    <cellStyle name="_CCB.GLAudit Package.040114_U section-3.23" xfId="1621"/>
    <cellStyle name="_CCB.GLAudit Package.040114_U100-PBC" xfId="1622"/>
    <cellStyle name="_CCB.HEN.Item12.ProfitNAVRecon.031209.LY" xfId="1623"/>
    <cellStyle name="_CCB.HEN.Item12.ProfitNAVRecon.031209.LY_1" xfId="1624"/>
    <cellStyle name="_CCB.HEN.Item12.ProfitNAVRecon.031209.LY_1_CCB.CQ.Item12.1D.ProfitNAVRec.031213-revised.dhnc" xfId="1625"/>
    <cellStyle name="_CCB.HEN.Item12.ProfitNAVRecon.031209.LY_1_CCB.CQ.Item12.1D.ProfitNAVRec.031213-revised.dhnc_CCB.Dec03AuditPack.GL.V2" xfId="1626"/>
    <cellStyle name="_CCB.HEN.Item12.ProfitNAVRecon.031209.LY_1_CCB.CQ.Item12.1D.ProfitNAVRec.031213-revised.dhnc_CCB.Dec03AuditPack.GL.V2_ICBC PBC-Draft 12-9" xfId="1627"/>
    <cellStyle name="_CCB.HEN.Item12.ProfitNAVRecon.031209.LY_1_CCB.CQ.Item12.1D.ProfitNAVRec.031213-revised.dhnc_CCB.Dec03AuditPack.GL.V2_PBC-detail" xfId="1628"/>
    <cellStyle name="_CCB.HEN.Item12.ProfitNAVRecon.031209.LY_1_CCB.CQ.Item12.1D.ProfitNAVRec.031213-revised.dhnc_CCB.Dec03AuditPack.GL.V2_U section modify ref_12.13" xfId="1629"/>
    <cellStyle name="_CCB.HEN.Item12.ProfitNAVRecon.031209.LY_1_CCB.CQ.Item12.1D.ProfitNAVRec.031213-revised.dhnc_CCB.Dec03AuditPack.GL.V2_U section-3.22" xfId="1630"/>
    <cellStyle name="_CCB.HEN.Item12.ProfitNAVRecon.031209.LY_1_CCB.CQ.Item12.1D.ProfitNAVRec.031213-revised.dhnc_CCB.Dec03AuditPack.GL.V2_U section-3.23" xfId="1631"/>
    <cellStyle name="_CCB.HEN.Item12.ProfitNAVRecon.031209.LY_1_CCB.CQ.Item12.1D.ProfitNAVRec.031213-revised.dhnc_CCB.Dec03AuditPack.GL.V2_U100-PBC" xfId="1632"/>
    <cellStyle name="_CCB.HEN.Item12.ProfitNAVRecon.031209.LY_1_CCB.CQ.Item12.1D.ProfitNAVRec.031213-revised.dhnc_ICBC PBC-Draft 12-9" xfId="1633"/>
    <cellStyle name="_CCB.HEN.Item12.ProfitNAVRecon.031209.LY_1_CCB.CQ.Item12.1D.ProfitNAVRec.031213-revised.dhnc_PBC-detail" xfId="1634"/>
    <cellStyle name="_CCB.HEN.Item12.ProfitNAVRecon.031209.LY_1_CCB.CQ.Item12.1D.ProfitNAVRec.031213-revised.dhnc_U section modify ref_12.13" xfId="1635"/>
    <cellStyle name="_CCB.HEN.Item12.ProfitNAVRecon.031209.LY_1_CCB.CQ.Item12.1D.ProfitNAVRec.031213-revised.dhnc_U section-3.22" xfId="1636"/>
    <cellStyle name="_CCB.HEN.Item12.ProfitNAVRecon.031209.LY_1_CCB.CQ.Item12.1D.ProfitNAVRec.031213-revised.dhnc_U section-3.23" xfId="1637"/>
    <cellStyle name="_CCB.HEN.Item12.ProfitNAVRecon.031209.LY_1_CCB.CQ.Item12.1D.ProfitNAVRec.031213-revised.dhnc_U100-PBC" xfId="1638"/>
    <cellStyle name="_CCB.HEN.Item12.ProfitNAVRecon.031209.LY_1_CCB.Dec03AuditPack.GL.V2" xfId="1639"/>
    <cellStyle name="_CCB.HEN.Item12.ProfitNAVRecon.031209.LY_1_CCB.Dec03AuditPack.GL.V2_ICBC PBC-Draft 12-9" xfId="1640"/>
    <cellStyle name="_CCB.HEN.Item12.ProfitNAVRecon.031209.LY_1_CCB.Dec03AuditPack.GL.V2_PBC-detail" xfId="1641"/>
    <cellStyle name="_CCB.HEN.Item12.ProfitNAVRecon.031209.LY_1_CCB.Dec03AuditPack.GL.V2_U section modify ref_12.13" xfId="1642"/>
    <cellStyle name="_CCB.HEN.Item12.ProfitNAVRecon.031209.LY_1_CCB.Dec03AuditPack.GL.V2_U section-3.22" xfId="1643"/>
    <cellStyle name="_CCB.HEN.Item12.ProfitNAVRecon.031209.LY_1_CCB.Dec03AuditPack.GL.V2_U section-3.23" xfId="1644"/>
    <cellStyle name="_CCB.HEN.Item12.ProfitNAVRecon.031209.LY_1_CCB.Dec03AuditPack.GL.V2_U100-PBC" xfId="1645"/>
    <cellStyle name="_CCB.HEN.Item12.ProfitNAVRecon.031209.LY_1_CCB.HO.NAV Recon.031208.EL" xfId="1646"/>
    <cellStyle name="_CCB.HEN.Item12.ProfitNAVRecon.031209.LY_1_CCB.HO.NAV Recon.031208.EL_CCB.Dec03AuditPack.GL.V2" xfId="1647"/>
    <cellStyle name="_CCB.HEN.Item12.ProfitNAVRecon.031209.LY_1_CCB.HO.NAV Recon.031208.EL_CCB.Dec03AuditPack.GL.V2_ICBC PBC-Draft 12-9" xfId="1648"/>
    <cellStyle name="_CCB.HEN.Item12.ProfitNAVRecon.031209.LY_1_CCB.HO.NAV Recon.031208.EL_CCB.Dec03AuditPack.GL.V2_PBC-detail" xfId="1649"/>
    <cellStyle name="_CCB.HEN.Item12.ProfitNAVRecon.031209.LY_1_CCB.HO.NAV Recon.031208.EL_CCB.Dec03AuditPack.GL.V2_U section modify ref_12.13" xfId="1650"/>
    <cellStyle name="_CCB.HEN.Item12.ProfitNAVRecon.031209.LY_1_CCB.HO.NAV Recon.031208.EL_CCB.Dec03AuditPack.GL.V2_U section-3.22" xfId="1651"/>
    <cellStyle name="_CCB.HEN.Item12.ProfitNAVRecon.031209.LY_1_CCB.HO.NAV Recon.031208.EL_CCB.Dec03AuditPack.GL.V2_U section-3.23" xfId="1652"/>
    <cellStyle name="_CCB.HEN.Item12.ProfitNAVRecon.031209.LY_1_CCB.HO.NAV Recon.031208.EL_CCB.Dec03AuditPack.GL.V2_U100-PBC" xfId="1653"/>
    <cellStyle name="_CCB.HEN.Item12.ProfitNAVRecon.031209.LY_1_CCB.HO.NAV Recon.031208.EL_ICBC PBC-Draft 12-9" xfId="1654"/>
    <cellStyle name="_CCB.HEN.Item12.ProfitNAVRecon.031209.LY_1_CCB.HO.NAV Recon.031208.EL_PBC-detail" xfId="1655"/>
    <cellStyle name="_CCB.HEN.Item12.ProfitNAVRecon.031209.LY_1_CCB.HO.NAV Recon.031208.EL_U section modify ref_12.13" xfId="1656"/>
    <cellStyle name="_CCB.HEN.Item12.ProfitNAVRecon.031209.LY_1_CCB.HO.NAV Recon.031208.EL_U section-3.22" xfId="1657"/>
    <cellStyle name="_CCB.HEN.Item12.ProfitNAVRecon.031209.LY_1_CCB.HO.NAV Recon.031208.EL_U section-3.23" xfId="1658"/>
    <cellStyle name="_CCB.HEN.Item12.ProfitNAVRecon.031209.LY_1_CCB.HO.NAV Recon.031208.EL_U100-PBC" xfId="1659"/>
    <cellStyle name="_CCB.HEN.Item12.ProfitNAVRecon.031209.LY_1_CCB.HO.NAV Recon.031222.AL" xfId="1660"/>
    <cellStyle name="_CCB.HEN.Item12.ProfitNAVRecon.031209.LY_1_CCB.HO.NAV Recon.031222.AL_CCB.Dec03AuditPack.GL.V2" xfId="1661"/>
    <cellStyle name="_CCB.HEN.Item12.ProfitNAVRecon.031209.LY_1_CCB.HO.NAV Recon.031222.AL_CCB.Dec03AuditPack.GL.V2_ICBC PBC-Draft 12-9" xfId="1662"/>
    <cellStyle name="_CCB.HEN.Item12.ProfitNAVRecon.031209.LY_1_CCB.HO.NAV Recon.031222.AL_CCB.Dec03AuditPack.GL.V2_PBC-detail" xfId="1663"/>
    <cellStyle name="_CCB.HEN.Item12.ProfitNAVRecon.031209.LY_1_CCB.HO.NAV Recon.031222.AL_CCB.Dec03AuditPack.GL.V2_U section modify ref_12.13" xfId="1664"/>
    <cellStyle name="_CCB.HEN.Item12.ProfitNAVRecon.031209.LY_1_CCB.HO.NAV Recon.031222.AL_CCB.Dec03AuditPack.GL.V2_U section-3.22" xfId="1665"/>
    <cellStyle name="_CCB.HEN.Item12.ProfitNAVRecon.031209.LY_1_CCB.HO.NAV Recon.031222.AL_CCB.Dec03AuditPack.GL.V2_U section-3.23" xfId="1666"/>
    <cellStyle name="_CCB.HEN.Item12.ProfitNAVRecon.031209.LY_1_CCB.HO.NAV Recon.031222.AL_CCB.Dec03AuditPack.GL.V2_U100-PBC" xfId="1667"/>
    <cellStyle name="_CCB.HEN.Item12.ProfitNAVRecon.031209.LY_1_CCB.HO.NAV Recon.031222.AL_ICBC PBC-Draft 12-9" xfId="1668"/>
    <cellStyle name="_CCB.HEN.Item12.ProfitNAVRecon.031209.LY_1_CCB.HO.NAV Recon.031222.AL_PBC-detail" xfId="1669"/>
    <cellStyle name="_CCB.HEN.Item12.ProfitNAVRecon.031209.LY_1_CCB.HO.NAV Recon.031222.AL_U section modify ref_12.13" xfId="1670"/>
    <cellStyle name="_CCB.HEN.Item12.ProfitNAVRecon.031209.LY_1_CCB.HO.NAV Recon.031222.AL_U section-3.22" xfId="1671"/>
    <cellStyle name="_CCB.HEN.Item12.ProfitNAVRecon.031209.LY_1_CCB.HO.NAV Recon.031222.AL_U section-3.23" xfId="1672"/>
    <cellStyle name="_CCB.HEN.Item12.ProfitNAVRecon.031209.LY_1_CCB.HO.NAV Recon.031222.AL_U100-PBC" xfId="1673"/>
    <cellStyle name="_CCB.HEN.Item12.ProfitNAVRecon.031209.LY_1_CCB.HO.NAV Recon.031226.AL" xfId="1674"/>
    <cellStyle name="_CCB.HEN.Item12.ProfitNAVRecon.031209.LY_1_CCB.HO.NAV Recon.031226.AL_CCB.Dec03AuditPack.GL.V2" xfId="1675"/>
    <cellStyle name="_CCB.HEN.Item12.ProfitNAVRecon.031209.LY_1_CCB.HO.NAV Recon.031226.AL_CCB.Dec03AuditPack.GL.V2_ICBC PBC-Draft 12-9" xfId="1676"/>
    <cellStyle name="_CCB.HEN.Item12.ProfitNAVRecon.031209.LY_1_CCB.HO.NAV Recon.031226.AL_CCB.Dec03AuditPack.GL.V2_PBC-detail" xfId="1677"/>
    <cellStyle name="_CCB.HEN.Item12.ProfitNAVRecon.031209.LY_1_CCB.HO.NAV Recon.031226.AL_CCB.Dec03AuditPack.GL.V2_U section modify ref_12.13" xfId="1678"/>
    <cellStyle name="_CCB.HEN.Item12.ProfitNAVRecon.031209.LY_1_CCB.HO.NAV Recon.031226.AL_CCB.Dec03AuditPack.GL.V2_U section-3.22" xfId="1679"/>
    <cellStyle name="_CCB.HEN.Item12.ProfitNAVRecon.031209.LY_1_CCB.HO.NAV Recon.031226.AL_CCB.Dec03AuditPack.GL.V2_U section-3.23" xfId="1680"/>
    <cellStyle name="_CCB.HEN.Item12.ProfitNAVRecon.031209.LY_1_CCB.HO.NAV Recon.031226.AL_CCB.Dec03AuditPack.GL.V2_U100-PBC" xfId="1681"/>
    <cellStyle name="_CCB.HEN.Item12.ProfitNAVRecon.031209.LY_1_CCB.HO.NAV Recon.031226.AL_ICBC PBC-Draft 12-9" xfId="1682"/>
    <cellStyle name="_CCB.HEN.Item12.ProfitNAVRecon.031209.LY_1_CCB.HO.NAV Recon.031226.AL_PBC-detail" xfId="1683"/>
    <cellStyle name="_CCB.HEN.Item12.ProfitNAVRecon.031209.LY_1_CCB.HO.NAV Recon.031226.AL_U section modify ref_12.13" xfId="1684"/>
    <cellStyle name="_CCB.HEN.Item12.ProfitNAVRecon.031209.LY_1_CCB.HO.NAV Recon.031226.AL_U section-3.22" xfId="1685"/>
    <cellStyle name="_CCB.HEN.Item12.ProfitNAVRecon.031209.LY_1_CCB.HO.NAV Recon.031226.AL_U section-3.23" xfId="1686"/>
    <cellStyle name="_CCB.HEN.Item12.ProfitNAVRecon.031209.LY_1_CCB.HO.NAV Recon.031226.AL_U100-PBC" xfId="1687"/>
    <cellStyle name="_CCB.HEN.Item12.ProfitNAVRecon.031209.LY_1_CCB.SX.Item12.F.ProfitNAVRecon.031212.MS" xfId="1688"/>
    <cellStyle name="_CCB.HEN.Item12.ProfitNAVRecon.031209.LY_1_CCB.SX.Item12.F.ProfitNAVRecon.031212.MS_CCB.Dec03AuditPack.GL.V2" xfId="1689"/>
    <cellStyle name="_CCB.HEN.Item12.ProfitNAVRecon.031209.LY_1_CCB.SX.Item12.F.ProfitNAVRecon.031212.MS_CCB.Dec03AuditPack.GL.V2_ICBC PBC-Draft 12-9" xfId="1690"/>
    <cellStyle name="_CCB.HEN.Item12.ProfitNAVRecon.031209.LY_1_CCB.SX.Item12.F.ProfitNAVRecon.031212.MS_CCB.Dec03AuditPack.GL.V2_PBC-detail" xfId="1691"/>
    <cellStyle name="_CCB.HEN.Item12.ProfitNAVRecon.031209.LY_1_CCB.SX.Item12.F.ProfitNAVRecon.031212.MS_CCB.Dec03AuditPack.GL.V2_U section modify ref_12.13" xfId="1692"/>
    <cellStyle name="_CCB.HEN.Item12.ProfitNAVRecon.031209.LY_1_CCB.SX.Item12.F.ProfitNAVRecon.031212.MS_CCB.Dec03AuditPack.GL.V2_U section-3.22" xfId="1693"/>
    <cellStyle name="_CCB.HEN.Item12.ProfitNAVRecon.031209.LY_1_CCB.SX.Item12.F.ProfitNAVRecon.031212.MS_CCB.Dec03AuditPack.GL.V2_U section-3.23" xfId="1694"/>
    <cellStyle name="_CCB.HEN.Item12.ProfitNAVRecon.031209.LY_1_CCB.SX.Item12.F.ProfitNAVRecon.031212.MS_CCB.Dec03AuditPack.GL.V2_U100-PBC" xfId="1695"/>
    <cellStyle name="_CCB.HEN.Item12.ProfitNAVRecon.031209.LY_1_CCB.SX.Item12.F.ProfitNAVRecon.031212.MS_ICBC PBC-Draft 12-9" xfId="1696"/>
    <cellStyle name="_CCB.HEN.Item12.ProfitNAVRecon.031209.LY_1_CCB.SX.Item12.F.ProfitNAVRecon.031212.MS_PBC-detail" xfId="1697"/>
    <cellStyle name="_CCB.HEN.Item12.ProfitNAVRecon.031209.LY_1_CCB.SX.Item12.F.ProfitNAVRecon.031212.MS_U section modify ref_12.13" xfId="1698"/>
    <cellStyle name="_CCB.HEN.Item12.ProfitNAVRecon.031209.LY_1_CCB.SX.Item12.F.ProfitNAVRecon.031212.MS_U section-3.22" xfId="1699"/>
    <cellStyle name="_CCB.HEN.Item12.ProfitNAVRecon.031209.LY_1_CCB.SX.Item12.F.ProfitNAVRecon.031212.MS_U section-3.23" xfId="1700"/>
    <cellStyle name="_CCB.HEN.Item12.ProfitNAVRecon.031209.LY_1_CCB.SX.Item12.F.ProfitNAVRecon.031212.MS_U100-PBC" xfId="1701"/>
    <cellStyle name="_CCB.HEN.Item12.ProfitNAVRecon.031209.LY_1_ICBC PBC-Draft 12-9" xfId="1702"/>
    <cellStyle name="_CCB.HEN.Item12.ProfitNAVRecon.031209.LY_1_PBC-detail" xfId="1703"/>
    <cellStyle name="_CCB.HEN.Item12.ProfitNAVRecon.031209.LY_1_U section modify ref_12.13" xfId="1704"/>
    <cellStyle name="_CCB.HEN.Item12.ProfitNAVRecon.031209.LY_1_U section-3.22" xfId="1705"/>
    <cellStyle name="_CCB.HEN.Item12.ProfitNAVRecon.031209.LY_1_U section-3.23" xfId="1706"/>
    <cellStyle name="_CCB.HEN.Item12.ProfitNAVRecon.031209.LY_1_U100-PBC" xfId="1707"/>
    <cellStyle name="_CCB.HEN.Item12.ProfitNAVRecon.031209.LY_CCB.CQ.Item12.1D.ProfitNAVRec.031213-revised.dhnc" xfId="1708"/>
    <cellStyle name="_CCB.HEN.Item12.ProfitNAVRecon.031209.LY_CCB.CQ.Item12.1D.ProfitNAVRec.031213-revised.dhnc_CCB.Dec03AuditPack.GL.V2" xfId="1709"/>
    <cellStyle name="_CCB.HEN.Item12.ProfitNAVRecon.031209.LY_CCB.CQ.Item12.1D.ProfitNAVRec.031213-revised.dhnc_CCB.Dec03AuditPack.GL.V2_ICBC PBC-Draft 12-9" xfId="1710"/>
    <cellStyle name="_CCB.HEN.Item12.ProfitNAVRecon.031209.LY_CCB.CQ.Item12.1D.ProfitNAVRec.031213-revised.dhnc_CCB.Dec03AuditPack.GL.V2_PBC-detail" xfId="1711"/>
    <cellStyle name="_CCB.HEN.Item12.ProfitNAVRecon.031209.LY_CCB.CQ.Item12.1D.ProfitNAVRec.031213-revised.dhnc_CCB.Dec03AuditPack.GL.V2_U section modify ref_12.13" xfId="1712"/>
    <cellStyle name="_CCB.HEN.Item12.ProfitNAVRecon.031209.LY_CCB.CQ.Item12.1D.ProfitNAVRec.031213-revised.dhnc_CCB.Dec03AuditPack.GL.V2_U section-3.22" xfId="1713"/>
    <cellStyle name="_CCB.HEN.Item12.ProfitNAVRecon.031209.LY_CCB.CQ.Item12.1D.ProfitNAVRec.031213-revised.dhnc_CCB.Dec03AuditPack.GL.V2_U section-3.23" xfId="1714"/>
    <cellStyle name="_CCB.HEN.Item12.ProfitNAVRecon.031209.LY_CCB.CQ.Item12.1D.ProfitNAVRec.031213-revised.dhnc_CCB.Dec03AuditPack.GL.V2_U100-PBC" xfId="1715"/>
    <cellStyle name="_CCB.HEN.Item12.ProfitNAVRecon.031209.LY_CCB.CQ.Item12.1D.ProfitNAVRec.031213-revised.dhnc_ICBC PBC-Draft 12-9" xfId="1716"/>
    <cellStyle name="_CCB.HEN.Item12.ProfitNAVRecon.031209.LY_CCB.CQ.Item12.1D.ProfitNAVRec.031213-revised.dhnc_PBC-detail" xfId="1717"/>
    <cellStyle name="_CCB.HEN.Item12.ProfitNAVRecon.031209.LY_CCB.CQ.Item12.1D.ProfitNAVRec.031213-revised.dhnc_U section modify ref_12.13" xfId="1718"/>
    <cellStyle name="_CCB.HEN.Item12.ProfitNAVRecon.031209.LY_CCB.CQ.Item12.1D.ProfitNAVRec.031213-revised.dhnc_U section-3.22" xfId="1719"/>
    <cellStyle name="_CCB.HEN.Item12.ProfitNAVRecon.031209.LY_CCB.CQ.Item12.1D.ProfitNAVRec.031213-revised.dhnc_U section-3.23" xfId="1720"/>
    <cellStyle name="_CCB.HEN.Item12.ProfitNAVRecon.031209.LY_CCB.CQ.Item12.1D.ProfitNAVRec.031213-revised.dhnc_U100-PBC" xfId="1721"/>
    <cellStyle name="_CCB.HEN.Item12.ProfitNAVRecon.031209.LY_CCB.Dec03AuditPack.GL.V2" xfId="1722"/>
    <cellStyle name="_CCB.HEN.Item12.ProfitNAVRecon.031209.LY_CCB.Dec03AuditPack.GL.V2_ICBC PBC-Draft 12-9" xfId="1723"/>
    <cellStyle name="_CCB.HEN.Item12.ProfitNAVRecon.031209.LY_CCB.Dec03AuditPack.GL.V2_PBC-detail" xfId="1724"/>
    <cellStyle name="_CCB.HEN.Item12.ProfitNAVRecon.031209.LY_CCB.Dec03AuditPack.GL.V2_U section modify ref_12.13" xfId="1725"/>
    <cellStyle name="_CCB.HEN.Item12.ProfitNAVRecon.031209.LY_CCB.Dec03AuditPack.GL.V2_U section-3.22" xfId="1726"/>
    <cellStyle name="_CCB.HEN.Item12.ProfitNAVRecon.031209.LY_CCB.Dec03AuditPack.GL.V2_U section-3.23" xfId="1727"/>
    <cellStyle name="_CCB.HEN.Item12.ProfitNAVRecon.031209.LY_CCB.Dec03AuditPack.GL.V2_U100-PBC" xfId="1728"/>
    <cellStyle name="_CCB.HEN.Item12.ProfitNAVRecon.031209.LY_CCB.HO.NAV Recon.031208.EL" xfId="1729"/>
    <cellStyle name="_CCB.HEN.Item12.ProfitNAVRecon.031209.LY_CCB.HO.NAV Recon.031208.EL_CCB.Dec03AuditPack.GL.V2" xfId="1730"/>
    <cellStyle name="_CCB.HEN.Item12.ProfitNAVRecon.031209.LY_CCB.HO.NAV Recon.031208.EL_CCB.Dec03AuditPack.GL.V2_ICBC PBC-Draft 12-9" xfId="1731"/>
    <cellStyle name="_CCB.HEN.Item12.ProfitNAVRecon.031209.LY_CCB.HO.NAV Recon.031208.EL_CCB.Dec03AuditPack.GL.V2_PBC-detail" xfId="1732"/>
    <cellStyle name="_CCB.HEN.Item12.ProfitNAVRecon.031209.LY_CCB.HO.NAV Recon.031208.EL_CCB.Dec03AuditPack.GL.V2_U section modify ref_12.13" xfId="1733"/>
    <cellStyle name="_CCB.HEN.Item12.ProfitNAVRecon.031209.LY_CCB.HO.NAV Recon.031208.EL_CCB.Dec03AuditPack.GL.V2_U section-3.22" xfId="1734"/>
    <cellStyle name="_CCB.HEN.Item12.ProfitNAVRecon.031209.LY_CCB.HO.NAV Recon.031208.EL_CCB.Dec03AuditPack.GL.V2_U section-3.23" xfId="1735"/>
    <cellStyle name="_CCB.HEN.Item12.ProfitNAVRecon.031209.LY_CCB.HO.NAV Recon.031208.EL_CCB.Dec03AuditPack.GL.V2_U100-PBC" xfId="1736"/>
    <cellStyle name="_CCB.HEN.Item12.ProfitNAVRecon.031209.LY_CCB.HO.NAV Recon.031208.EL_ICBC PBC-Draft 12-9" xfId="1737"/>
    <cellStyle name="_CCB.HEN.Item12.ProfitNAVRecon.031209.LY_CCB.HO.NAV Recon.031208.EL_PBC-detail" xfId="1738"/>
    <cellStyle name="_CCB.HEN.Item12.ProfitNAVRecon.031209.LY_CCB.HO.NAV Recon.031208.EL_U section modify ref_12.13" xfId="1739"/>
    <cellStyle name="_CCB.HEN.Item12.ProfitNAVRecon.031209.LY_CCB.HO.NAV Recon.031208.EL_U section-3.22" xfId="1740"/>
    <cellStyle name="_CCB.HEN.Item12.ProfitNAVRecon.031209.LY_CCB.HO.NAV Recon.031208.EL_U section-3.23" xfId="1741"/>
    <cellStyle name="_CCB.HEN.Item12.ProfitNAVRecon.031209.LY_CCB.HO.NAV Recon.031208.EL_U100-PBC" xfId="1742"/>
    <cellStyle name="_CCB.HEN.Item12.ProfitNAVRecon.031209.LY_CCB.HO.NAV Recon.031222.AL" xfId="1743"/>
    <cellStyle name="_CCB.HEN.Item12.ProfitNAVRecon.031209.LY_CCB.HO.NAV Recon.031222.AL_CCB.Dec03AuditPack.GL.V2" xfId="1744"/>
    <cellStyle name="_CCB.HEN.Item12.ProfitNAVRecon.031209.LY_CCB.HO.NAV Recon.031222.AL_CCB.Dec03AuditPack.GL.V2_ICBC PBC-Draft 12-9" xfId="1745"/>
    <cellStyle name="_CCB.HEN.Item12.ProfitNAVRecon.031209.LY_CCB.HO.NAV Recon.031222.AL_CCB.Dec03AuditPack.GL.V2_PBC-detail" xfId="1746"/>
    <cellStyle name="_CCB.HEN.Item12.ProfitNAVRecon.031209.LY_CCB.HO.NAV Recon.031222.AL_CCB.Dec03AuditPack.GL.V2_U section modify ref_12.13" xfId="1747"/>
    <cellStyle name="_CCB.HEN.Item12.ProfitNAVRecon.031209.LY_CCB.HO.NAV Recon.031222.AL_CCB.Dec03AuditPack.GL.V2_U section-3.22" xfId="1748"/>
    <cellStyle name="_CCB.HEN.Item12.ProfitNAVRecon.031209.LY_CCB.HO.NAV Recon.031222.AL_CCB.Dec03AuditPack.GL.V2_U section-3.23" xfId="1749"/>
    <cellStyle name="_CCB.HEN.Item12.ProfitNAVRecon.031209.LY_CCB.HO.NAV Recon.031222.AL_CCB.Dec03AuditPack.GL.V2_U100-PBC" xfId="1750"/>
    <cellStyle name="_CCB.HEN.Item12.ProfitNAVRecon.031209.LY_CCB.HO.NAV Recon.031222.AL_ICBC PBC-Draft 12-9" xfId="1751"/>
    <cellStyle name="_CCB.HEN.Item12.ProfitNAVRecon.031209.LY_CCB.HO.NAV Recon.031222.AL_PBC-detail" xfId="1752"/>
    <cellStyle name="_CCB.HEN.Item12.ProfitNAVRecon.031209.LY_CCB.HO.NAV Recon.031222.AL_U section modify ref_12.13" xfId="1753"/>
    <cellStyle name="_CCB.HEN.Item12.ProfitNAVRecon.031209.LY_CCB.HO.NAV Recon.031222.AL_U section-3.22" xfId="1754"/>
    <cellStyle name="_CCB.HEN.Item12.ProfitNAVRecon.031209.LY_CCB.HO.NAV Recon.031222.AL_U section-3.23" xfId="1755"/>
    <cellStyle name="_CCB.HEN.Item12.ProfitNAVRecon.031209.LY_CCB.HO.NAV Recon.031222.AL_U100-PBC" xfId="1756"/>
    <cellStyle name="_CCB.HEN.Item12.ProfitNAVRecon.031209.LY_CCB.HO.NAV Recon.031226.AL" xfId="1757"/>
    <cellStyle name="_CCB.HEN.Item12.ProfitNAVRecon.031209.LY_CCB.HO.NAV Recon.031226.AL_CCB.Dec03AuditPack.GL.V2" xfId="1758"/>
    <cellStyle name="_CCB.HEN.Item12.ProfitNAVRecon.031209.LY_CCB.HO.NAV Recon.031226.AL_CCB.Dec03AuditPack.GL.V2_ICBC PBC-Draft 12-9" xfId="1759"/>
    <cellStyle name="_CCB.HEN.Item12.ProfitNAVRecon.031209.LY_CCB.HO.NAV Recon.031226.AL_CCB.Dec03AuditPack.GL.V2_PBC-detail" xfId="1760"/>
    <cellStyle name="_CCB.HEN.Item12.ProfitNAVRecon.031209.LY_CCB.HO.NAV Recon.031226.AL_CCB.Dec03AuditPack.GL.V2_U section modify ref_12.13" xfId="1761"/>
    <cellStyle name="_CCB.HEN.Item12.ProfitNAVRecon.031209.LY_CCB.HO.NAV Recon.031226.AL_CCB.Dec03AuditPack.GL.V2_U section-3.22" xfId="1762"/>
    <cellStyle name="_CCB.HEN.Item12.ProfitNAVRecon.031209.LY_CCB.HO.NAV Recon.031226.AL_CCB.Dec03AuditPack.GL.V2_U section-3.23" xfId="1763"/>
    <cellStyle name="_CCB.HEN.Item12.ProfitNAVRecon.031209.LY_CCB.HO.NAV Recon.031226.AL_CCB.Dec03AuditPack.GL.V2_U100-PBC" xfId="1764"/>
    <cellStyle name="_CCB.HEN.Item12.ProfitNAVRecon.031209.LY_CCB.HO.NAV Recon.031226.AL_ICBC PBC-Draft 12-9" xfId="1765"/>
    <cellStyle name="_CCB.HEN.Item12.ProfitNAVRecon.031209.LY_CCB.HO.NAV Recon.031226.AL_PBC-detail" xfId="1766"/>
    <cellStyle name="_CCB.HEN.Item12.ProfitNAVRecon.031209.LY_CCB.HO.NAV Recon.031226.AL_U section modify ref_12.13" xfId="1767"/>
    <cellStyle name="_CCB.HEN.Item12.ProfitNAVRecon.031209.LY_CCB.HO.NAV Recon.031226.AL_U section-3.22" xfId="1768"/>
    <cellStyle name="_CCB.HEN.Item12.ProfitNAVRecon.031209.LY_CCB.HO.NAV Recon.031226.AL_U section-3.23" xfId="1769"/>
    <cellStyle name="_CCB.HEN.Item12.ProfitNAVRecon.031209.LY_CCB.HO.NAV Recon.031226.AL_U100-PBC" xfId="1770"/>
    <cellStyle name="_CCB.HEN.Item12.ProfitNAVRecon.031209.LY_CCB.HOBranch.Item12.1D.ProfitNAVRecon.031202" xfId="1771"/>
    <cellStyle name="_CCB.HEN.Item12.ProfitNAVRecon.031209.LY_CCB.HOBranch.Item12.1D.ProfitNAVRecon.031202_CCB.Dec03AuditPack.GL.V2" xfId="1772"/>
    <cellStyle name="_CCB.HEN.Item12.ProfitNAVRecon.031209.LY_CCB.HOBranch.Item12.1D.ProfitNAVRecon.031202_CCB.Dec03AuditPack.GL.V2_ICBC PBC-Draft 12-9" xfId="1773"/>
    <cellStyle name="_CCB.HEN.Item12.ProfitNAVRecon.031209.LY_CCB.HOBranch.Item12.1D.ProfitNAVRecon.031202_CCB.Dec03AuditPack.GL.V2_PBC-detail" xfId="1774"/>
    <cellStyle name="_CCB.HEN.Item12.ProfitNAVRecon.031209.LY_CCB.HOBranch.Item12.1D.ProfitNAVRecon.031202_CCB.Dec03AuditPack.GL.V2_U section modify ref_12.13" xfId="1775"/>
    <cellStyle name="_CCB.HEN.Item12.ProfitNAVRecon.031209.LY_CCB.HOBranch.Item12.1D.ProfitNAVRecon.031202_CCB.Dec03AuditPack.GL.V2_U section-3.22" xfId="1776"/>
    <cellStyle name="_CCB.HEN.Item12.ProfitNAVRecon.031209.LY_CCB.HOBranch.Item12.1D.ProfitNAVRecon.031202_CCB.Dec03AuditPack.GL.V2_U section-3.23" xfId="1777"/>
    <cellStyle name="_CCB.HEN.Item12.ProfitNAVRecon.031209.LY_CCB.HOBranch.Item12.1D.ProfitNAVRecon.031202_CCB.Dec03AuditPack.GL.V2_U100-PBC" xfId="1778"/>
    <cellStyle name="_CCB.HEN.Item12.ProfitNAVRecon.031209.LY_CCB.HOBranch.Item12.1D.ProfitNAVRecon.031202_ICBC PBC-Draft 12-9" xfId="1779"/>
    <cellStyle name="_CCB.HEN.Item12.ProfitNAVRecon.031209.LY_CCB.HOBranch.Item12.1D.ProfitNAVRecon.031202_PBC-detail" xfId="1780"/>
    <cellStyle name="_CCB.HEN.Item12.ProfitNAVRecon.031209.LY_CCB.HOBranch.Item12.1D.ProfitNAVRecon.031202_U section modify ref_12.13" xfId="1781"/>
    <cellStyle name="_CCB.HEN.Item12.ProfitNAVRecon.031209.LY_CCB.HOBranch.Item12.1D.ProfitNAVRecon.031202_U section-3.22" xfId="1782"/>
    <cellStyle name="_CCB.HEN.Item12.ProfitNAVRecon.031209.LY_CCB.HOBranch.Item12.1D.ProfitNAVRecon.031202_U section-3.23" xfId="1783"/>
    <cellStyle name="_CCB.HEN.Item12.ProfitNAVRecon.031209.LY_CCB.HOBranch.Item12.1D.ProfitNAVRecon.031202_U100-PBC" xfId="1784"/>
    <cellStyle name="_CCB.HEN.Item12.ProfitNAVRecon.031209.LY_CCB.JX.Item12.X.ProfitNAVRecon.031209.JW" xfId="1785"/>
    <cellStyle name="_CCB.HEN.Item12.ProfitNAVRecon.031209.LY_CCB.JX.Item12.X.ProfitNAVRecon.031209.JW_CCB.CQ.Item12.1D.ProfitNAVRec.031213-revised.dhnc" xfId="1786"/>
    <cellStyle name="_CCB.HEN.Item12.ProfitNAVRecon.031209.LY_CCB.JX.Item12.X.ProfitNAVRecon.031209.JW_CCB.CQ.Item12.1D.ProfitNAVRec.031213-revised.dhnc_CCB.Dec03AuditPack.GL.V2" xfId="1787"/>
    <cellStyle name="_CCB.HEN.Item12.ProfitNAVRecon.031209.LY_CCB.JX.Item12.X.ProfitNAVRecon.031209.JW_CCB.CQ.Item12.1D.ProfitNAVRec.031213-revised.dhnc_CCB.Dec03AuditPack.GL.V2_ICBC PBC-Draft 12-9" xfId="1788"/>
    <cellStyle name="_CCB.HEN.Item12.ProfitNAVRecon.031209.LY_CCB.JX.Item12.X.ProfitNAVRecon.031209.JW_CCB.CQ.Item12.1D.ProfitNAVRec.031213-revised.dhnc_CCB.Dec03AuditPack.GL.V2_PBC-detail" xfId="1789"/>
    <cellStyle name="_CCB.HEN.Item12.ProfitNAVRecon.031209.LY_CCB.JX.Item12.X.ProfitNAVRecon.031209.JW_CCB.CQ.Item12.1D.ProfitNAVRec.031213-revised.dhnc_CCB.Dec03AuditPack.GL.V2_U section modify ref_12.13" xfId="1790"/>
    <cellStyle name="_CCB.HEN.Item12.ProfitNAVRecon.031209.LY_CCB.JX.Item12.X.ProfitNAVRecon.031209.JW_CCB.CQ.Item12.1D.ProfitNAVRec.031213-revised.dhnc_CCB.Dec03AuditPack.GL.V2_U section-3.22" xfId="1791"/>
    <cellStyle name="_CCB.HEN.Item12.ProfitNAVRecon.031209.LY_CCB.JX.Item12.X.ProfitNAVRecon.031209.JW_CCB.CQ.Item12.1D.ProfitNAVRec.031213-revised.dhnc_CCB.Dec03AuditPack.GL.V2_U section-3.23" xfId="1792"/>
    <cellStyle name="_CCB.HEN.Item12.ProfitNAVRecon.031209.LY_CCB.JX.Item12.X.ProfitNAVRecon.031209.JW_CCB.CQ.Item12.1D.ProfitNAVRec.031213-revised.dhnc_CCB.Dec03AuditPack.GL.V2_U100-PBC" xfId="1793"/>
    <cellStyle name="_CCB.HEN.Item12.ProfitNAVRecon.031209.LY_CCB.JX.Item12.X.ProfitNAVRecon.031209.JW_CCB.CQ.Item12.1D.ProfitNAVRec.031213-revised.dhnc_ICBC PBC-Draft 12-9" xfId="1794"/>
    <cellStyle name="_CCB.HEN.Item12.ProfitNAVRecon.031209.LY_CCB.JX.Item12.X.ProfitNAVRecon.031209.JW_CCB.CQ.Item12.1D.ProfitNAVRec.031213-revised.dhnc_PBC-detail" xfId="1795"/>
    <cellStyle name="_CCB.HEN.Item12.ProfitNAVRecon.031209.LY_CCB.JX.Item12.X.ProfitNAVRecon.031209.JW_CCB.CQ.Item12.1D.ProfitNAVRec.031213-revised.dhnc_U section modify ref_12.13" xfId="1796"/>
    <cellStyle name="_CCB.HEN.Item12.ProfitNAVRecon.031209.LY_CCB.JX.Item12.X.ProfitNAVRecon.031209.JW_CCB.CQ.Item12.1D.ProfitNAVRec.031213-revised.dhnc_U section-3.22" xfId="1797"/>
    <cellStyle name="_CCB.HEN.Item12.ProfitNAVRecon.031209.LY_CCB.JX.Item12.X.ProfitNAVRecon.031209.JW_CCB.CQ.Item12.1D.ProfitNAVRec.031213-revised.dhnc_U section-3.23" xfId="1798"/>
    <cellStyle name="_CCB.HEN.Item12.ProfitNAVRecon.031209.LY_CCB.JX.Item12.X.ProfitNAVRecon.031209.JW_CCB.CQ.Item12.1D.ProfitNAVRec.031213-revised.dhnc_U100-PBC" xfId="1799"/>
    <cellStyle name="_CCB.HEN.Item12.ProfitNAVRecon.031209.LY_CCB.JX.Item12.X.ProfitNAVRecon.031209.JW_CCB.Dec03AuditPack.GL.V2" xfId="1800"/>
    <cellStyle name="_CCB.HEN.Item12.ProfitNAVRecon.031209.LY_CCB.JX.Item12.X.ProfitNAVRecon.031209.JW_CCB.Dec03AuditPack.GL.V2_ICBC PBC-Draft 12-9" xfId="1801"/>
    <cellStyle name="_CCB.HEN.Item12.ProfitNAVRecon.031209.LY_CCB.JX.Item12.X.ProfitNAVRecon.031209.JW_CCB.Dec03AuditPack.GL.V2_PBC-detail" xfId="1802"/>
    <cellStyle name="_CCB.HEN.Item12.ProfitNAVRecon.031209.LY_CCB.JX.Item12.X.ProfitNAVRecon.031209.JW_CCB.Dec03AuditPack.GL.V2_U section modify ref_12.13" xfId="1803"/>
    <cellStyle name="_CCB.HEN.Item12.ProfitNAVRecon.031209.LY_CCB.JX.Item12.X.ProfitNAVRecon.031209.JW_CCB.Dec03AuditPack.GL.V2_U section-3.22" xfId="1804"/>
    <cellStyle name="_CCB.HEN.Item12.ProfitNAVRecon.031209.LY_CCB.JX.Item12.X.ProfitNAVRecon.031209.JW_CCB.Dec03AuditPack.GL.V2_U section-3.23" xfId="1805"/>
    <cellStyle name="_CCB.HEN.Item12.ProfitNAVRecon.031209.LY_CCB.JX.Item12.X.ProfitNAVRecon.031209.JW_CCB.Dec03AuditPack.GL.V2_U100-PBC" xfId="1806"/>
    <cellStyle name="_CCB.HEN.Item12.ProfitNAVRecon.031209.LY_CCB.JX.Item12.X.ProfitNAVRecon.031209.JW_CCB.HO.NAV Recon.031208.EL" xfId="1807"/>
    <cellStyle name="_CCB.HEN.Item12.ProfitNAVRecon.031209.LY_CCB.JX.Item12.X.ProfitNAVRecon.031209.JW_CCB.HO.NAV Recon.031208.EL_CCB.Dec03AuditPack.GL.V2" xfId="1808"/>
    <cellStyle name="_CCB.HEN.Item12.ProfitNAVRecon.031209.LY_CCB.JX.Item12.X.ProfitNAVRecon.031209.JW_CCB.HO.NAV Recon.031208.EL_CCB.Dec03AuditPack.GL.V2_ICBC PBC-Draft 12-9" xfId="1809"/>
    <cellStyle name="_CCB.HEN.Item12.ProfitNAVRecon.031209.LY_CCB.JX.Item12.X.ProfitNAVRecon.031209.JW_CCB.HO.NAV Recon.031208.EL_CCB.Dec03AuditPack.GL.V2_PBC-detail" xfId="1810"/>
    <cellStyle name="_CCB.HEN.Item12.ProfitNAVRecon.031209.LY_CCB.JX.Item12.X.ProfitNAVRecon.031209.JW_CCB.HO.NAV Recon.031208.EL_CCB.Dec03AuditPack.GL.V2_U section modify ref_12.13" xfId="1811"/>
    <cellStyle name="_CCB.HEN.Item12.ProfitNAVRecon.031209.LY_CCB.JX.Item12.X.ProfitNAVRecon.031209.JW_CCB.HO.NAV Recon.031208.EL_CCB.Dec03AuditPack.GL.V2_U section-3.22" xfId="1812"/>
    <cellStyle name="_CCB.HEN.Item12.ProfitNAVRecon.031209.LY_CCB.JX.Item12.X.ProfitNAVRecon.031209.JW_CCB.HO.NAV Recon.031208.EL_CCB.Dec03AuditPack.GL.V2_U section-3.23" xfId="1813"/>
    <cellStyle name="_CCB.HEN.Item12.ProfitNAVRecon.031209.LY_CCB.JX.Item12.X.ProfitNAVRecon.031209.JW_CCB.HO.NAV Recon.031208.EL_CCB.Dec03AuditPack.GL.V2_U100-PBC" xfId="1814"/>
    <cellStyle name="_CCB.HEN.Item12.ProfitNAVRecon.031209.LY_CCB.JX.Item12.X.ProfitNAVRecon.031209.JW_CCB.HO.NAV Recon.031208.EL_ICBC PBC-Draft 12-9" xfId="1815"/>
    <cellStyle name="_CCB.HEN.Item12.ProfitNAVRecon.031209.LY_CCB.JX.Item12.X.ProfitNAVRecon.031209.JW_CCB.HO.NAV Recon.031208.EL_PBC-detail" xfId="1816"/>
    <cellStyle name="_CCB.HEN.Item12.ProfitNAVRecon.031209.LY_CCB.JX.Item12.X.ProfitNAVRecon.031209.JW_CCB.HO.NAV Recon.031208.EL_U section modify ref_12.13" xfId="1817"/>
    <cellStyle name="_CCB.HEN.Item12.ProfitNAVRecon.031209.LY_CCB.JX.Item12.X.ProfitNAVRecon.031209.JW_CCB.HO.NAV Recon.031208.EL_U section-3.22" xfId="1818"/>
    <cellStyle name="_CCB.HEN.Item12.ProfitNAVRecon.031209.LY_CCB.JX.Item12.X.ProfitNAVRecon.031209.JW_CCB.HO.NAV Recon.031208.EL_U section-3.23" xfId="1819"/>
    <cellStyle name="_CCB.HEN.Item12.ProfitNAVRecon.031209.LY_CCB.JX.Item12.X.ProfitNAVRecon.031209.JW_CCB.HO.NAV Recon.031208.EL_U100-PBC" xfId="1820"/>
    <cellStyle name="_CCB.HEN.Item12.ProfitNAVRecon.031209.LY_CCB.JX.Item12.X.ProfitNAVRecon.031209.JW_CCB.HO.NAV Recon.031222.AL" xfId="1821"/>
    <cellStyle name="_CCB.HEN.Item12.ProfitNAVRecon.031209.LY_CCB.JX.Item12.X.ProfitNAVRecon.031209.JW_CCB.HO.NAV Recon.031222.AL_CCB.Dec03AuditPack.GL.V2" xfId="1822"/>
    <cellStyle name="_CCB.HEN.Item12.ProfitNAVRecon.031209.LY_CCB.JX.Item12.X.ProfitNAVRecon.031209.JW_CCB.HO.NAV Recon.031222.AL_CCB.Dec03AuditPack.GL.V2_ICBC PBC-Draft 12-9" xfId="1823"/>
    <cellStyle name="_CCB.HEN.Item12.ProfitNAVRecon.031209.LY_CCB.JX.Item12.X.ProfitNAVRecon.031209.JW_CCB.HO.NAV Recon.031222.AL_CCB.Dec03AuditPack.GL.V2_PBC-detail" xfId="1824"/>
    <cellStyle name="_CCB.HEN.Item12.ProfitNAVRecon.031209.LY_CCB.JX.Item12.X.ProfitNAVRecon.031209.JW_CCB.HO.NAV Recon.031222.AL_CCB.Dec03AuditPack.GL.V2_U section modify ref_12.13" xfId="1825"/>
    <cellStyle name="_CCB.HEN.Item12.ProfitNAVRecon.031209.LY_CCB.JX.Item12.X.ProfitNAVRecon.031209.JW_CCB.HO.NAV Recon.031222.AL_CCB.Dec03AuditPack.GL.V2_U section-3.22" xfId="1826"/>
    <cellStyle name="_CCB.HEN.Item12.ProfitNAVRecon.031209.LY_CCB.JX.Item12.X.ProfitNAVRecon.031209.JW_CCB.HO.NAV Recon.031222.AL_CCB.Dec03AuditPack.GL.V2_U section-3.23" xfId="1827"/>
    <cellStyle name="_CCB.HEN.Item12.ProfitNAVRecon.031209.LY_CCB.JX.Item12.X.ProfitNAVRecon.031209.JW_CCB.HO.NAV Recon.031222.AL_CCB.Dec03AuditPack.GL.V2_U100-PBC" xfId="1828"/>
    <cellStyle name="_CCB.HEN.Item12.ProfitNAVRecon.031209.LY_CCB.JX.Item12.X.ProfitNAVRecon.031209.JW_CCB.HO.NAV Recon.031222.AL_ICBC PBC-Draft 12-9" xfId="1829"/>
    <cellStyle name="_CCB.HEN.Item12.ProfitNAVRecon.031209.LY_CCB.JX.Item12.X.ProfitNAVRecon.031209.JW_CCB.HO.NAV Recon.031222.AL_PBC-detail" xfId="1830"/>
    <cellStyle name="_CCB.HEN.Item12.ProfitNAVRecon.031209.LY_CCB.JX.Item12.X.ProfitNAVRecon.031209.JW_CCB.HO.NAV Recon.031222.AL_U section modify ref_12.13" xfId="1831"/>
    <cellStyle name="_CCB.HEN.Item12.ProfitNAVRecon.031209.LY_CCB.JX.Item12.X.ProfitNAVRecon.031209.JW_CCB.HO.NAV Recon.031222.AL_U section-3.22" xfId="1832"/>
    <cellStyle name="_CCB.HEN.Item12.ProfitNAVRecon.031209.LY_CCB.JX.Item12.X.ProfitNAVRecon.031209.JW_CCB.HO.NAV Recon.031222.AL_U section-3.23" xfId="1833"/>
    <cellStyle name="_CCB.HEN.Item12.ProfitNAVRecon.031209.LY_CCB.JX.Item12.X.ProfitNAVRecon.031209.JW_CCB.HO.NAV Recon.031222.AL_U100-PBC" xfId="1834"/>
    <cellStyle name="_CCB.HEN.Item12.ProfitNAVRecon.031209.LY_CCB.JX.Item12.X.ProfitNAVRecon.031209.JW_CCB.HO.NAV Recon.031226.AL" xfId="1835"/>
    <cellStyle name="_CCB.HEN.Item12.ProfitNAVRecon.031209.LY_CCB.JX.Item12.X.ProfitNAVRecon.031209.JW_CCB.HO.NAV Recon.031226.AL_CCB.Dec03AuditPack.GL.V2" xfId="1836"/>
    <cellStyle name="_CCB.HEN.Item12.ProfitNAVRecon.031209.LY_CCB.JX.Item12.X.ProfitNAVRecon.031209.JW_CCB.HO.NAV Recon.031226.AL_CCB.Dec03AuditPack.GL.V2_ICBC PBC-Draft 12-9" xfId="1837"/>
    <cellStyle name="_CCB.HEN.Item12.ProfitNAVRecon.031209.LY_CCB.JX.Item12.X.ProfitNAVRecon.031209.JW_CCB.HO.NAV Recon.031226.AL_CCB.Dec03AuditPack.GL.V2_PBC-detail" xfId="1838"/>
    <cellStyle name="_CCB.HEN.Item12.ProfitNAVRecon.031209.LY_CCB.JX.Item12.X.ProfitNAVRecon.031209.JW_CCB.HO.NAV Recon.031226.AL_CCB.Dec03AuditPack.GL.V2_U section modify ref_12.13" xfId="1839"/>
    <cellStyle name="_CCB.HEN.Item12.ProfitNAVRecon.031209.LY_CCB.JX.Item12.X.ProfitNAVRecon.031209.JW_CCB.HO.NAV Recon.031226.AL_CCB.Dec03AuditPack.GL.V2_U section-3.22" xfId="1840"/>
    <cellStyle name="_CCB.HEN.Item12.ProfitNAVRecon.031209.LY_CCB.JX.Item12.X.ProfitNAVRecon.031209.JW_CCB.HO.NAV Recon.031226.AL_CCB.Dec03AuditPack.GL.V2_U section-3.23" xfId="1841"/>
    <cellStyle name="_CCB.HEN.Item12.ProfitNAVRecon.031209.LY_CCB.JX.Item12.X.ProfitNAVRecon.031209.JW_CCB.HO.NAV Recon.031226.AL_CCB.Dec03AuditPack.GL.V2_U100-PBC" xfId="1842"/>
    <cellStyle name="_CCB.HEN.Item12.ProfitNAVRecon.031209.LY_CCB.JX.Item12.X.ProfitNAVRecon.031209.JW_CCB.HO.NAV Recon.031226.AL_ICBC PBC-Draft 12-9" xfId="1843"/>
    <cellStyle name="_CCB.HEN.Item12.ProfitNAVRecon.031209.LY_CCB.JX.Item12.X.ProfitNAVRecon.031209.JW_CCB.HO.NAV Recon.031226.AL_PBC-detail" xfId="1844"/>
    <cellStyle name="_CCB.HEN.Item12.ProfitNAVRecon.031209.LY_CCB.JX.Item12.X.ProfitNAVRecon.031209.JW_CCB.HO.NAV Recon.031226.AL_U section modify ref_12.13" xfId="1845"/>
    <cellStyle name="_CCB.HEN.Item12.ProfitNAVRecon.031209.LY_CCB.JX.Item12.X.ProfitNAVRecon.031209.JW_CCB.HO.NAV Recon.031226.AL_U section-3.22" xfId="1846"/>
    <cellStyle name="_CCB.HEN.Item12.ProfitNAVRecon.031209.LY_CCB.JX.Item12.X.ProfitNAVRecon.031209.JW_CCB.HO.NAV Recon.031226.AL_U section-3.23" xfId="1847"/>
    <cellStyle name="_CCB.HEN.Item12.ProfitNAVRecon.031209.LY_CCB.JX.Item12.X.ProfitNAVRecon.031209.JW_CCB.HO.NAV Recon.031226.AL_U100-PBC" xfId="1848"/>
    <cellStyle name="_CCB.HEN.Item12.ProfitNAVRecon.031209.LY_CCB.JX.Item12.X.ProfitNAVRecon.031209.JW_CCB.SX.Item12.F.ProfitNAVRecon.031212.MS" xfId="1849"/>
    <cellStyle name="_CCB.HEN.Item12.ProfitNAVRecon.031209.LY_CCB.JX.Item12.X.ProfitNAVRecon.031209.JW_CCB.SX.Item12.F.ProfitNAVRecon.031212.MS_CCB.Dec03AuditPack.GL.V2" xfId="1850"/>
    <cellStyle name="_CCB.HEN.Item12.ProfitNAVRecon.031209.LY_CCB.JX.Item12.X.ProfitNAVRecon.031209.JW_CCB.SX.Item12.F.ProfitNAVRecon.031212.MS_CCB.Dec03AuditPack.GL.V2_ICBC PBC-Draft 12-9" xfId="1851"/>
    <cellStyle name="_CCB.HEN.Item12.ProfitNAVRecon.031209.LY_CCB.JX.Item12.X.ProfitNAVRecon.031209.JW_CCB.SX.Item12.F.ProfitNAVRecon.031212.MS_CCB.Dec03AuditPack.GL.V2_PBC-detail" xfId="1852"/>
    <cellStyle name="_CCB.HEN.Item12.ProfitNAVRecon.031209.LY_CCB.JX.Item12.X.ProfitNAVRecon.031209.JW_CCB.SX.Item12.F.ProfitNAVRecon.031212.MS_CCB.Dec03AuditPack.GL.V2_U section modify ref_12.13" xfId="1853"/>
    <cellStyle name="_CCB.HEN.Item12.ProfitNAVRecon.031209.LY_CCB.JX.Item12.X.ProfitNAVRecon.031209.JW_CCB.SX.Item12.F.ProfitNAVRecon.031212.MS_CCB.Dec03AuditPack.GL.V2_U section-3.22" xfId="1854"/>
    <cellStyle name="_CCB.HEN.Item12.ProfitNAVRecon.031209.LY_CCB.JX.Item12.X.ProfitNAVRecon.031209.JW_CCB.SX.Item12.F.ProfitNAVRecon.031212.MS_CCB.Dec03AuditPack.GL.V2_U section-3.23" xfId="1855"/>
    <cellStyle name="_CCB.HEN.Item12.ProfitNAVRecon.031209.LY_CCB.JX.Item12.X.ProfitNAVRecon.031209.JW_CCB.SX.Item12.F.ProfitNAVRecon.031212.MS_CCB.Dec03AuditPack.GL.V2_U100-PBC" xfId="1856"/>
    <cellStyle name="_CCB.HEN.Item12.ProfitNAVRecon.031209.LY_CCB.JX.Item12.X.ProfitNAVRecon.031209.JW_CCB.SX.Item12.F.ProfitNAVRecon.031212.MS_ICBC PBC-Draft 12-9" xfId="1857"/>
    <cellStyle name="_CCB.HEN.Item12.ProfitNAVRecon.031209.LY_CCB.JX.Item12.X.ProfitNAVRecon.031209.JW_CCB.SX.Item12.F.ProfitNAVRecon.031212.MS_PBC-detail" xfId="1858"/>
    <cellStyle name="_CCB.HEN.Item12.ProfitNAVRecon.031209.LY_CCB.JX.Item12.X.ProfitNAVRecon.031209.JW_CCB.SX.Item12.F.ProfitNAVRecon.031212.MS_U section modify ref_12.13" xfId="1859"/>
    <cellStyle name="_CCB.HEN.Item12.ProfitNAVRecon.031209.LY_CCB.JX.Item12.X.ProfitNAVRecon.031209.JW_CCB.SX.Item12.F.ProfitNAVRecon.031212.MS_U section-3.22" xfId="1860"/>
    <cellStyle name="_CCB.HEN.Item12.ProfitNAVRecon.031209.LY_CCB.JX.Item12.X.ProfitNAVRecon.031209.JW_CCB.SX.Item12.F.ProfitNAVRecon.031212.MS_U section-3.23" xfId="1861"/>
    <cellStyle name="_CCB.HEN.Item12.ProfitNAVRecon.031209.LY_CCB.JX.Item12.X.ProfitNAVRecon.031209.JW_CCB.SX.Item12.F.ProfitNAVRecon.031212.MS_U100-PBC" xfId="1862"/>
    <cellStyle name="_CCB.HEN.Item12.ProfitNAVRecon.031209.LY_CCB.JX.Item12.X.ProfitNAVRecon.031209.JW_ICBC PBC-Draft 12-9" xfId="1863"/>
    <cellStyle name="_CCB.HEN.Item12.ProfitNAVRecon.031209.LY_CCB.JX.Item12.X.ProfitNAVRecon.031209.JW_PBC-detail" xfId="1864"/>
    <cellStyle name="_CCB.HEN.Item12.ProfitNAVRecon.031209.LY_CCB.JX.Item12.X.ProfitNAVRecon.031209.JW_U section modify ref_12.13" xfId="1865"/>
    <cellStyle name="_CCB.HEN.Item12.ProfitNAVRecon.031209.LY_CCB.JX.Item12.X.ProfitNAVRecon.031209.JW_U section-3.22" xfId="1866"/>
    <cellStyle name="_CCB.HEN.Item12.ProfitNAVRecon.031209.LY_CCB.JX.Item12.X.ProfitNAVRecon.031209.JW_U section-3.23" xfId="1867"/>
    <cellStyle name="_CCB.HEN.Item12.ProfitNAVRecon.031209.LY_CCB.JX.Item12.X.ProfitNAVRecon.031209.JW_U100-PBC" xfId="1868"/>
    <cellStyle name="_CCB.HEN.Item12.ProfitNAVRecon.031209.LY_CCB.LN.Item12.Profit  NAV reconciliation.031121" xfId="1869"/>
    <cellStyle name="_CCB.HEN.Item12.ProfitNAVRecon.031209.LY_CCB.LN.Item12.Profit  NAV reconciliation.031121_CCB.Dec03AuditPack.GL.V2" xfId="1870"/>
    <cellStyle name="_CCB.HEN.Item12.ProfitNAVRecon.031209.LY_CCB.LN.Item12.Profit  NAV reconciliation.031121_CCB.Dec03AuditPack.GL.V2_ICBC PBC-Draft 12-9" xfId="1871"/>
    <cellStyle name="_CCB.HEN.Item12.ProfitNAVRecon.031209.LY_CCB.LN.Item12.Profit  NAV reconciliation.031121_CCB.Dec03AuditPack.GL.V2_PBC-detail" xfId="1872"/>
    <cellStyle name="_CCB.HEN.Item12.ProfitNAVRecon.031209.LY_CCB.LN.Item12.Profit  NAV reconciliation.031121_CCB.Dec03AuditPack.GL.V2_U section modify ref_12.13" xfId="1873"/>
    <cellStyle name="_CCB.HEN.Item12.ProfitNAVRecon.031209.LY_CCB.LN.Item12.Profit  NAV reconciliation.031121_CCB.Dec03AuditPack.GL.V2_U section-3.22" xfId="1874"/>
    <cellStyle name="_CCB.HEN.Item12.ProfitNAVRecon.031209.LY_CCB.LN.Item12.Profit  NAV reconciliation.031121_CCB.Dec03AuditPack.GL.V2_U section-3.23" xfId="1875"/>
    <cellStyle name="_CCB.HEN.Item12.ProfitNAVRecon.031209.LY_CCB.LN.Item12.Profit  NAV reconciliation.031121_CCB.Dec03AuditPack.GL.V2_U100-PBC" xfId="1876"/>
    <cellStyle name="_CCB.HEN.Item12.ProfitNAVRecon.031209.LY_CCB.LN.Item12.Profit  NAV reconciliation.031121_ICBC PBC-Draft 12-9" xfId="1877"/>
    <cellStyle name="_CCB.HEN.Item12.ProfitNAVRecon.031209.LY_CCB.LN.Item12.Profit  NAV reconciliation.031121_PBC-detail" xfId="1878"/>
    <cellStyle name="_CCB.HEN.Item12.ProfitNAVRecon.031209.LY_CCB.LN.Item12.Profit  NAV reconciliation.031121_U section modify ref_12.13" xfId="1879"/>
    <cellStyle name="_CCB.HEN.Item12.ProfitNAVRecon.031209.LY_CCB.LN.Item12.Profit  NAV reconciliation.031121_U section-3.22" xfId="1880"/>
    <cellStyle name="_CCB.HEN.Item12.ProfitNAVRecon.031209.LY_CCB.LN.Item12.Profit  NAV reconciliation.031121_U section-3.23" xfId="1881"/>
    <cellStyle name="_CCB.HEN.Item12.ProfitNAVRecon.031209.LY_CCB.LN.Item12.Profit  NAV reconciliation.031121_U100-PBC" xfId="1882"/>
    <cellStyle name="_CCB.HEN.Item12.ProfitNAVRecon.031209.LY_CCB.NB.Appendix 12 ProfitNAVRecon (GL).031204" xfId="1883"/>
    <cellStyle name="_CCB.HEN.Item12.ProfitNAVRecon.031209.LY_CCB.NB.Appendix 12 ProfitNAVRecon (GL).031204_CCB.Dec03AuditPack.GL.V2" xfId="1884"/>
    <cellStyle name="_CCB.HEN.Item12.ProfitNAVRecon.031209.LY_CCB.NB.Appendix 12 ProfitNAVRecon (GL).031204_CCB.Dec03AuditPack.GL.V2_ICBC PBC-Draft 12-9" xfId="1885"/>
    <cellStyle name="_CCB.HEN.Item12.ProfitNAVRecon.031209.LY_CCB.NB.Appendix 12 ProfitNAVRecon (GL).031204_CCB.Dec03AuditPack.GL.V2_PBC-detail" xfId="1886"/>
    <cellStyle name="_CCB.HEN.Item12.ProfitNAVRecon.031209.LY_CCB.NB.Appendix 12 ProfitNAVRecon (GL).031204_CCB.Dec03AuditPack.GL.V2_U section modify ref_12.13" xfId="1887"/>
    <cellStyle name="_CCB.HEN.Item12.ProfitNAVRecon.031209.LY_CCB.NB.Appendix 12 ProfitNAVRecon (GL).031204_CCB.Dec03AuditPack.GL.V2_U section-3.22" xfId="1888"/>
    <cellStyle name="_CCB.HEN.Item12.ProfitNAVRecon.031209.LY_CCB.NB.Appendix 12 ProfitNAVRecon (GL).031204_CCB.Dec03AuditPack.GL.V2_U section-3.23" xfId="1889"/>
    <cellStyle name="_CCB.HEN.Item12.ProfitNAVRecon.031209.LY_CCB.NB.Appendix 12 ProfitNAVRecon (GL).031204_CCB.Dec03AuditPack.GL.V2_U100-PBC" xfId="1890"/>
    <cellStyle name="_CCB.HEN.Item12.ProfitNAVRecon.031209.LY_CCB.NB.Appendix 12 ProfitNAVRecon (GL).031204_ICBC PBC-Draft 12-9" xfId="1891"/>
    <cellStyle name="_CCB.HEN.Item12.ProfitNAVRecon.031209.LY_CCB.NB.Appendix 12 ProfitNAVRecon (GL).031204_PBC-detail" xfId="1892"/>
    <cellStyle name="_CCB.HEN.Item12.ProfitNAVRecon.031209.LY_CCB.NB.Appendix 12 ProfitNAVRecon (GL).031204_U section modify ref_12.13" xfId="1893"/>
    <cellStyle name="_CCB.HEN.Item12.ProfitNAVRecon.031209.LY_CCB.NB.Appendix 12 ProfitNAVRecon (GL).031204_U section-3.22" xfId="1894"/>
    <cellStyle name="_CCB.HEN.Item12.ProfitNAVRecon.031209.LY_CCB.NB.Appendix 12 ProfitNAVRecon (GL).031204_U section-3.23" xfId="1895"/>
    <cellStyle name="_CCB.HEN.Item12.ProfitNAVRecon.031209.LY_CCB.NB.Appendix 12 ProfitNAVRecon (GL).031204_U100-PBC" xfId="1896"/>
    <cellStyle name="_CCB.HEN.Item12.ProfitNAVRecon.031209.LY_CCB.SC.Item12.ProfitNAVRecon.031210.EP" xfId="1897"/>
    <cellStyle name="_CCB.HEN.Item12.ProfitNAVRecon.031209.LY_CCB.SC.Item12.ProfitNAVRecon.031210.EP_CCB.Dec03AuditPack.GL.V2" xfId="1898"/>
    <cellStyle name="_CCB.HEN.Item12.ProfitNAVRecon.031209.LY_CCB.SC.Item12.ProfitNAVRecon.031210.EP_CCB.Dec03AuditPack.GL.V2_ICBC PBC-Draft 12-9" xfId="1899"/>
    <cellStyle name="_CCB.HEN.Item12.ProfitNAVRecon.031209.LY_CCB.SC.Item12.ProfitNAVRecon.031210.EP_CCB.Dec03AuditPack.GL.V2_PBC-detail" xfId="1900"/>
    <cellStyle name="_CCB.HEN.Item12.ProfitNAVRecon.031209.LY_CCB.SC.Item12.ProfitNAVRecon.031210.EP_CCB.Dec03AuditPack.GL.V2_U section modify ref_12.13" xfId="1901"/>
    <cellStyle name="_CCB.HEN.Item12.ProfitNAVRecon.031209.LY_CCB.SC.Item12.ProfitNAVRecon.031210.EP_CCB.Dec03AuditPack.GL.V2_U section-3.22" xfId="1902"/>
    <cellStyle name="_CCB.HEN.Item12.ProfitNAVRecon.031209.LY_CCB.SC.Item12.ProfitNAVRecon.031210.EP_CCB.Dec03AuditPack.GL.V2_U section-3.23" xfId="1903"/>
    <cellStyle name="_CCB.HEN.Item12.ProfitNAVRecon.031209.LY_CCB.SC.Item12.ProfitNAVRecon.031210.EP_CCB.Dec03AuditPack.GL.V2_U100-PBC" xfId="1904"/>
    <cellStyle name="_CCB.HEN.Item12.ProfitNAVRecon.031209.LY_CCB.SC.Item12.ProfitNAVRecon.031210.EP_ICBC PBC-Draft 12-9" xfId="1905"/>
    <cellStyle name="_CCB.HEN.Item12.ProfitNAVRecon.031209.LY_CCB.SC.Item12.ProfitNAVRecon.031210.EP_PBC-detail" xfId="1906"/>
    <cellStyle name="_CCB.HEN.Item12.ProfitNAVRecon.031209.LY_CCB.SC.Item12.ProfitNAVRecon.031210.EP_U section modify ref_12.13" xfId="1907"/>
    <cellStyle name="_CCB.HEN.Item12.ProfitNAVRecon.031209.LY_CCB.SC.Item12.ProfitNAVRecon.031210.EP_U section-3.22" xfId="1908"/>
    <cellStyle name="_CCB.HEN.Item12.ProfitNAVRecon.031209.LY_CCB.SC.Item12.ProfitNAVRecon.031210.EP_U section-3.23" xfId="1909"/>
    <cellStyle name="_CCB.HEN.Item12.ProfitNAVRecon.031209.LY_CCB.SC.Item12.ProfitNAVRecon.031210.EP_U100-PBC" xfId="1910"/>
    <cellStyle name="_CCB.HEN.Item12.ProfitNAVRecon.031209.LY_CCB.SX.Item12.F.ProfitNAVRecon.031212.MS" xfId="1911"/>
    <cellStyle name="_CCB.HEN.Item12.ProfitNAVRecon.031209.LY_CCB.SX.Item12.F.ProfitNAVRecon.031212.MS_CCB.Dec03AuditPack.GL.V2" xfId="1912"/>
    <cellStyle name="_CCB.HEN.Item12.ProfitNAVRecon.031209.LY_CCB.SX.Item12.F.ProfitNAVRecon.031212.MS_CCB.Dec03AuditPack.GL.V2_ICBC PBC-Draft 12-9" xfId="1913"/>
    <cellStyle name="_CCB.HEN.Item12.ProfitNAVRecon.031209.LY_CCB.SX.Item12.F.ProfitNAVRecon.031212.MS_CCB.Dec03AuditPack.GL.V2_PBC-detail" xfId="1914"/>
    <cellStyle name="_CCB.HEN.Item12.ProfitNAVRecon.031209.LY_CCB.SX.Item12.F.ProfitNAVRecon.031212.MS_CCB.Dec03AuditPack.GL.V2_U section modify ref_12.13" xfId="1915"/>
    <cellStyle name="_CCB.HEN.Item12.ProfitNAVRecon.031209.LY_CCB.SX.Item12.F.ProfitNAVRecon.031212.MS_CCB.Dec03AuditPack.GL.V2_U section-3.22" xfId="1916"/>
    <cellStyle name="_CCB.HEN.Item12.ProfitNAVRecon.031209.LY_CCB.SX.Item12.F.ProfitNAVRecon.031212.MS_CCB.Dec03AuditPack.GL.V2_U section-3.23" xfId="1917"/>
    <cellStyle name="_CCB.HEN.Item12.ProfitNAVRecon.031209.LY_CCB.SX.Item12.F.ProfitNAVRecon.031212.MS_CCB.Dec03AuditPack.GL.V2_U100-PBC" xfId="1918"/>
    <cellStyle name="_CCB.HEN.Item12.ProfitNAVRecon.031209.LY_CCB.SX.Item12.F.ProfitNAVRecon.031212.MS_ICBC PBC-Draft 12-9" xfId="1919"/>
    <cellStyle name="_CCB.HEN.Item12.ProfitNAVRecon.031209.LY_CCB.SX.Item12.F.ProfitNAVRecon.031212.MS_PBC-detail" xfId="1920"/>
    <cellStyle name="_CCB.HEN.Item12.ProfitNAVRecon.031209.LY_CCB.SX.Item12.F.ProfitNAVRecon.031212.MS_U section modify ref_12.13" xfId="1921"/>
    <cellStyle name="_CCB.HEN.Item12.ProfitNAVRecon.031209.LY_CCB.SX.Item12.F.ProfitNAVRecon.031212.MS_U section-3.22" xfId="1922"/>
    <cellStyle name="_CCB.HEN.Item12.ProfitNAVRecon.031209.LY_CCB.SX.Item12.F.ProfitNAVRecon.031212.MS_U section-3.23" xfId="1923"/>
    <cellStyle name="_CCB.HEN.Item12.ProfitNAVRecon.031209.LY_CCB.SX.Item12.F.ProfitNAVRecon.031212.MS_U100-PBC" xfId="1924"/>
    <cellStyle name="_CCB.HEN.Item12.ProfitNAVRecon.031209.LY_CCB.TG.Item12.F.ProfitNAVRecon.my.031212" xfId="1925"/>
    <cellStyle name="_CCB.HEN.Item12.ProfitNAVRecon.031209.LY_CCB.TG.Item12.F.ProfitNAVRecon.my.031212_CCB.Dec03AuditPack.GL.V2" xfId="1926"/>
    <cellStyle name="_CCB.HEN.Item12.ProfitNAVRecon.031209.LY_CCB.TG.Item12.F.ProfitNAVRecon.my.031212_CCB.Dec03AuditPack.GL.V2_ICBC PBC-Draft 12-9" xfId="1927"/>
    <cellStyle name="_CCB.HEN.Item12.ProfitNAVRecon.031209.LY_CCB.TG.Item12.F.ProfitNAVRecon.my.031212_CCB.Dec03AuditPack.GL.V2_PBC-detail" xfId="1928"/>
    <cellStyle name="_CCB.HEN.Item12.ProfitNAVRecon.031209.LY_CCB.TG.Item12.F.ProfitNAVRecon.my.031212_CCB.Dec03AuditPack.GL.V2_U section modify ref_12.13" xfId="1929"/>
    <cellStyle name="_CCB.HEN.Item12.ProfitNAVRecon.031209.LY_CCB.TG.Item12.F.ProfitNAVRecon.my.031212_CCB.Dec03AuditPack.GL.V2_U section-3.22" xfId="1930"/>
    <cellStyle name="_CCB.HEN.Item12.ProfitNAVRecon.031209.LY_CCB.TG.Item12.F.ProfitNAVRecon.my.031212_CCB.Dec03AuditPack.GL.V2_U section-3.23" xfId="1931"/>
    <cellStyle name="_CCB.HEN.Item12.ProfitNAVRecon.031209.LY_CCB.TG.Item12.F.ProfitNAVRecon.my.031212_CCB.Dec03AuditPack.GL.V2_U100-PBC" xfId="1932"/>
    <cellStyle name="_CCB.HEN.Item12.ProfitNAVRecon.031209.LY_CCB.TG.Item12.F.ProfitNAVRecon.my.031212_ICBC PBC-Draft 12-9" xfId="1933"/>
    <cellStyle name="_CCB.HEN.Item12.ProfitNAVRecon.031209.LY_CCB.TG.Item12.F.ProfitNAVRecon.my.031212_PBC-detail" xfId="1934"/>
    <cellStyle name="_CCB.HEN.Item12.ProfitNAVRecon.031209.LY_CCB.TG.Item12.F.ProfitNAVRecon.my.031212_U section modify ref_12.13" xfId="1935"/>
    <cellStyle name="_CCB.HEN.Item12.ProfitNAVRecon.031209.LY_CCB.TG.Item12.F.ProfitNAVRecon.my.031212_U section-3.22" xfId="1936"/>
    <cellStyle name="_CCB.HEN.Item12.ProfitNAVRecon.031209.LY_CCB.TG.Item12.F.ProfitNAVRecon.my.031212_U section-3.23" xfId="1937"/>
    <cellStyle name="_CCB.HEN.Item12.ProfitNAVRecon.031209.LY_CCB.TG.Item12.F.ProfitNAVRecon.my.031212_U100-PBC" xfId="1938"/>
    <cellStyle name="_CCB.HEN.Item12.ProfitNAVRecon.031209.LY_CCB.XZ.item12.3D.ProfitNAVRec.031124.dhnc" xfId="1939"/>
    <cellStyle name="_CCB.HEN.Item12.ProfitNAVRecon.031209.LY_CCB.XZ.item12.3D.ProfitNAVRec.031124.dhnc_CCB.Dec03AuditPack.GL.V2" xfId="1940"/>
    <cellStyle name="_CCB.HEN.Item12.ProfitNAVRecon.031209.LY_CCB.XZ.item12.3D.ProfitNAVRec.031124.dhnc_CCB.Dec03AuditPack.GL.V2_ICBC PBC-Draft 12-9" xfId="1941"/>
    <cellStyle name="_CCB.HEN.Item12.ProfitNAVRecon.031209.LY_CCB.XZ.item12.3D.ProfitNAVRec.031124.dhnc_CCB.Dec03AuditPack.GL.V2_PBC-detail" xfId="1942"/>
    <cellStyle name="_CCB.HEN.Item12.ProfitNAVRecon.031209.LY_CCB.XZ.item12.3D.ProfitNAVRec.031124.dhnc_CCB.Dec03AuditPack.GL.V2_U section modify ref_12.13" xfId="1943"/>
    <cellStyle name="_CCB.HEN.Item12.ProfitNAVRecon.031209.LY_CCB.XZ.item12.3D.ProfitNAVRec.031124.dhnc_CCB.Dec03AuditPack.GL.V2_U section-3.22" xfId="1944"/>
    <cellStyle name="_CCB.HEN.Item12.ProfitNAVRecon.031209.LY_CCB.XZ.item12.3D.ProfitNAVRec.031124.dhnc_CCB.Dec03AuditPack.GL.V2_U section-3.23" xfId="1945"/>
    <cellStyle name="_CCB.HEN.Item12.ProfitNAVRecon.031209.LY_CCB.XZ.item12.3D.ProfitNAVRec.031124.dhnc_CCB.Dec03AuditPack.GL.V2_U100-PBC" xfId="1946"/>
    <cellStyle name="_CCB.HEN.Item12.ProfitNAVRecon.031209.LY_CCB.XZ.item12.3D.ProfitNAVRec.031124.dhnc_ICBC PBC-Draft 12-9" xfId="1947"/>
    <cellStyle name="_CCB.HEN.Item12.ProfitNAVRecon.031209.LY_CCB.XZ.item12.3D.ProfitNAVRec.031124.dhnc_PBC-detail" xfId="1948"/>
    <cellStyle name="_CCB.HEN.Item12.ProfitNAVRecon.031209.LY_CCB.XZ.item12.3D.ProfitNAVRec.031124.dhnc_U section modify ref_12.13" xfId="1949"/>
    <cellStyle name="_CCB.HEN.Item12.ProfitNAVRecon.031209.LY_CCB.XZ.item12.3D.ProfitNAVRec.031124.dhnc_U section-3.22" xfId="1950"/>
    <cellStyle name="_CCB.HEN.Item12.ProfitNAVRecon.031209.LY_CCB.XZ.item12.3D.ProfitNAVRec.031124.dhnc_U section-3.23" xfId="1951"/>
    <cellStyle name="_CCB.HEN.Item12.ProfitNAVRecon.031209.LY_CCB.XZ.item12.3D.ProfitNAVRec.031124.dhnc_U100-PBC" xfId="1952"/>
    <cellStyle name="_CCB.HEN.Item12.ProfitNAVRecon.031209.LY_ICBC PBC-Draft 12-9" xfId="1953"/>
    <cellStyle name="_CCB.HEN.Item12.ProfitNAVRecon.031209.LY_PBC-detail" xfId="1954"/>
    <cellStyle name="_CCB.HEN.Item12.ProfitNAVRecon.031209.LY_U section modify ref_12.13" xfId="1955"/>
    <cellStyle name="_CCB.HEN.Item12.ProfitNAVRecon.031209.LY_U section-3.22" xfId="1956"/>
    <cellStyle name="_CCB.HEN.Item12.ProfitNAVRecon.031209.LY_U section-3.23" xfId="1957"/>
    <cellStyle name="_CCB.HEN.Item12.ProfitNAVRecon.031209.LY_U100-PBC" xfId="1958"/>
    <cellStyle name="_CCB.HO.2001 combined Jnl summary.GL.031221" xfId="1959"/>
    <cellStyle name="_CCB.HO.2001 combined Jnl summary.GL.031221_CCB.Dec03AuditPack.GL.V2" xfId="1960"/>
    <cellStyle name="_CCB.HO.2001 combined Jnl summary.GL.031221_CCB.Dec03AuditPack.GL.V2_ICBC PBC-Draft 12-9" xfId="1961"/>
    <cellStyle name="_CCB.HO.2001 combined Jnl summary.GL.031221_CCB.Dec03AuditPack.GL.V2_PBC-detail" xfId="1962"/>
    <cellStyle name="_CCB.HO.2001 combined Jnl summary.GL.031221_CCB.Dec03AuditPack.GL.V2_U section modify ref_12.13" xfId="1963"/>
    <cellStyle name="_CCB.HO.2001 combined Jnl summary.GL.031221_CCB.Dec03AuditPack.GL.V2_U section-3.22" xfId="1964"/>
    <cellStyle name="_CCB.HO.2001 combined Jnl summary.GL.031221_CCB.Dec03AuditPack.GL.V2_U section-3.23" xfId="1965"/>
    <cellStyle name="_CCB.HO.2001 combined Jnl summary.GL.031221_CCB.Dec03AuditPack.GL.V2_U100-PBC" xfId="1966"/>
    <cellStyle name="_CCB.HO.2001 combined Jnl summary.GL.031221_ICBC PBC-Draft 12-9" xfId="1967"/>
    <cellStyle name="_CCB.HO.2001 combined Jnl summary.GL.031221_PBC-detail" xfId="1968"/>
    <cellStyle name="_CCB.HO.2001 combined Jnl summary.GL.031221_U section modify ref_12.13" xfId="1969"/>
    <cellStyle name="_CCB.HO.2001 combined Jnl summary.GL.031221_U section-3.22" xfId="1970"/>
    <cellStyle name="_CCB.HO.2001 combined Jnl summary.GL.031221_U section-3.23" xfId="1971"/>
    <cellStyle name="_CCB.HO.2001 combined Jnl summary.GL.031221_U100-PBC" xfId="1972"/>
    <cellStyle name="_CCB.HO.2001 Jnl summary by jnl.GL PRC 1-12,33" xfId="1973"/>
    <cellStyle name="_CCB.HO.2001 Jnl summary by jnl.GL PRC 1-12,33_CCB.Dec03AuditPack.GL.V2" xfId="1974"/>
    <cellStyle name="_CCB.HO.2001 Jnl summary by jnl.GL PRC 1-12,33_CCB.Dec03AuditPack.GL.V2_ICBC PBC-Draft 12-9" xfId="1975"/>
    <cellStyle name="_CCB.HO.2001 Jnl summary by jnl.GL PRC 1-12,33_CCB.Dec03AuditPack.GL.V2_PBC-detail" xfId="1976"/>
    <cellStyle name="_CCB.HO.2001 Jnl summary by jnl.GL PRC 1-12,33_CCB.Dec03AuditPack.GL.V2_U section modify ref_12.13" xfId="1977"/>
    <cellStyle name="_CCB.HO.2001 Jnl summary by jnl.GL PRC 1-12,33_CCB.Dec03AuditPack.GL.V2_U section-3.22" xfId="1978"/>
    <cellStyle name="_CCB.HO.2001 Jnl summary by jnl.GL PRC 1-12,33_CCB.Dec03AuditPack.GL.V2_U section-3.23" xfId="1979"/>
    <cellStyle name="_CCB.HO.2001 Jnl summary by jnl.GL PRC 1-12,33_CCB.Dec03AuditPack.GL.V2_U100-PBC" xfId="1980"/>
    <cellStyle name="_CCB.HO.2001 Jnl summary by jnl.GL PRC 1-12,33_ICBC PBC-Draft 12-9" xfId="1981"/>
    <cellStyle name="_CCB.HO.2001 Jnl summary by jnl.GL PRC 1-12,33_PBC-detail" xfId="1982"/>
    <cellStyle name="_CCB.HO.2001 Jnl summary by jnl.GL PRC 1-12,33_U section modify ref_12.13" xfId="1983"/>
    <cellStyle name="_CCB.HO.2001 Jnl summary by jnl.GL PRC 1-12,33_U section-3.22" xfId="1984"/>
    <cellStyle name="_CCB.HO.2001 Jnl summary by jnl.GL PRC 1-12,33_U section-3.23" xfId="1985"/>
    <cellStyle name="_CCB.HO.2001 Jnl summary by jnl.GL PRC 1-12,33_U100-PBC" xfId="1986"/>
    <cellStyle name="_CCB.HO.2002 Jnl summary by jnl.GL PRC 41-80.grouped.031221" xfId="1987"/>
    <cellStyle name="_CCB.HO.2002 Jnl summary by jnl.GL PRC 41-80.grouped.031221_CCB.Dec03AuditPack.GL.V2" xfId="1988"/>
    <cellStyle name="_CCB.HO.2002 Jnl summary by jnl.GL PRC 41-80.grouped.031221_CCB.Dec03AuditPack.GL.V2_ICBC PBC-Draft 12-9" xfId="1989"/>
    <cellStyle name="_CCB.HO.2002 Jnl summary by jnl.GL PRC 41-80.grouped.031221_CCB.Dec03AuditPack.GL.V2_PBC-detail" xfId="1990"/>
    <cellStyle name="_CCB.HO.2002 Jnl summary by jnl.GL PRC 41-80.grouped.031221_CCB.Dec03AuditPack.GL.V2_U section modify ref_12.13" xfId="1991"/>
    <cellStyle name="_CCB.HO.2002 Jnl summary by jnl.GL PRC 41-80.grouped.031221_CCB.Dec03AuditPack.GL.V2_U section-3.22" xfId="1992"/>
    <cellStyle name="_CCB.HO.2002 Jnl summary by jnl.GL PRC 41-80.grouped.031221_CCB.Dec03AuditPack.GL.V2_U section-3.23" xfId="1993"/>
    <cellStyle name="_CCB.HO.2002 Jnl summary by jnl.GL PRC 41-80.grouped.031221_CCB.Dec03AuditPack.GL.V2_U100-PBC" xfId="1994"/>
    <cellStyle name="_CCB.HO.2002 Jnl summary by jnl.GL PRC 41-80.grouped.031221_CCB.HO.2001 Jnl summary by jnl.GL PRC 1-12,33" xfId="1995"/>
    <cellStyle name="_CCB.HO.2002 Jnl summary by jnl.GL PRC 41-80.grouped.031221_CCB.HO.2001 Jnl summary by jnl.GL PRC 1-12,33_CCB.Dec03AuditPack.GL.V2" xfId="1996"/>
    <cellStyle name="_CCB.HO.2002 Jnl summary by jnl.GL PRC 41-80.grouped.031221_CCB.HO.2001 Jnl summary by jnl.GL PRC 1-12,33_CCB.Dec03AuditPack.GL.V2_ICBC PBC-Draft 12-9" xfId="1997"/>
    <cellStyle name="_CCB.HO.2002 Jnl summary by jnl.GL PRC 41-80.grouped.031221_CCB.HO.2001 Jnl summary by jnl.GL PRC 1-12,33_CCB.Dec03AuditPack.GL.V2_PBC-detail" xfId="1998"/>
    <cellStyle name="_CCB.HO.2002 Jnl summary by jnl.GL PRC 41-80.grouped.031221_CCB.HO.2001 Jnl summary by jnl.GL PRC 1-12,33_CCB.Dec03AuditPack.GL.V2_U section modify ref_12.13" xfId="1999"/>
    <cellStyle name="_CCB.HO.2002 Jnl summary by jnl.GL PRC 41-80.grouped.031221_CCB.HO.2001 Jnl summary by jnl.GL PRC 1-12,33_CCB.Dec03AuditPack.GL.V2_U section-3.22" xfId="2000"/>
    <cellStyle name="_CCB.HO.2002 Jnl summary by jnl.GL PRC 41-80.grouped.031221_CCB.HO.2001 Jnl summary by jnl.GL PRC 1-12,33_CCB.Dec03AuditPack.GL.V2_U section-3.23" xfId="2001"/>
    <cellStyle name="_CCB.HO.2002 Jnl summary by jnl.GL PRC 41-80.grouped.031221_CCB.HO.2001 Jnl summary by jnl.GL PRC 1-12,33_CCB.Dec03AuditPack.GL.V2_U100-PBC" xfId="2002"/>
    <cellStyle name="_CCB.HO.2002 Jnl summary by jnl.GL PRC 41-80.grouped.031221_CCB.HO.2001 Jnl summary by jnl.GL PRC 1-12,33_ICBC PBC-Draft 12-9" xfId="2003"/>
    <cellStyle name="_CCB.HO.2002 Jnl summary by jnl.GL PRC 41-80.grouped.031221_CCB.HO.2001 Jnl summary by jnl.GL PRC 1-12,33_PBC-detail" xfId="2004"/>
    <cellStyle name="_CCB.HO.2002 Jnl summary by jnl.GL PRC 41-80.grouped.031221_CCB.HO.2001 Jnl summary by jnl.GL PRC 1-12,33_U section modify ref_12.13" xfId="2005"/>
    <cellStyle name="_CCB.HO.2002 Jnl summary by jnl.GL PRC 41-80.grouped.031221_CCB.HO.2001 Jnl summary by jnl.GL PRC 1-12,33_U section-3.22" xfId="2006"/>
    <cellStyle name="_CCB.HO.2002 Jnl summary by jnl.GL PRC 41-80.grouped.031221_CCB.HO.2001 Jnl summary by jnl.GL PRC 1-12,33_U section-3.23" xfId="2007"/>
    <cellStyle name="_CCB.HO.2002 Jnl summary by jnl.GL PRC 41-80.grouped.031221_CCB.HO.2001 Jnl summary by jnl.GL PRC 1-12,33_U100-PBC" xfId="2008"/>
    <cellStyle name="_CCB.HO.2002 Jnl summary by jnl.GL PRC 41-80.grouped.031221_CCB.HO.2003 Jnl summary by jnl.GL PRC 13-20.031221" xfId="2009"/>
    <cellStyle name="_CCB.HO.2002 Jnl summary by jnl.GL PRC 41-80.grouped.031221_CCB.HO.2003 Jnl summary by jnl.GL PRC 13-20.031221_CCB.Dec03AuditPack.GL.V2" xfId="2010"/>
    <cellStyle name="_CCB.HO.2002 Jnl summary by jnl.GL PRC 41-80.grouped.031221_CCB.HO.2003 Jnl summary by jnl.GL PRC 13-20.031221_CCB.Dec03AuditPack.GL.V2_ICBC PBC-Draft 12-9" xfId="2011"/>
    <cellStyle name="_CCB.HO.2002 Jnl summary by jnl.GL PRC 41-80.grouped.031221_CCB.HO.2003 Jnl summary by jnl.GL PRC 13-20.031221_CCB.Dec03AuditPack.GL.V2_PBC-detail" xfId="2012"/>
    <cellStyle name="_CCB.HO.2002 Jnl summary by jnl.GL PRC 41-80.grouped.031221_CCB.HO.2003 Jnl summary by jnl.GL PRC 13-20.031221_CCB.Dec03AuditPack.GL.V2_U section modify ref_12.13" xfId="2013"/>
    <cellStyle name="_CCB.HO.2002 Jnl summary by jnl.GL PRC 41-80.grouped.031221_CCB.HO.2003 Jnl summary by jnl.GL PRC 13-20.031221_CCB.Dec03AuditPack.GL.V2_U section-3.22" xfId="2014"/>
    <cellStyle name="_CCB.HO.2002 Jnl summary by jnl.GL PRC 41-80.grouped.031221_CCB.HO.2003 Jnl summary by jnl.GL PRC 13-20.031221_CCB.Dec03AuditPack.GL.V2_U section-3.23" xfId="2015"/>
    <cellStyle name="_CCB.HO.2002 Jnl summary by jnl.GL PRC 41-80.grouped.031221_CCB.HO.2003 Jnl summary by jnl.GL PRC 13-20.031221_CCB.Dec03AuditPack.GL.V2_U100-PBC" xfId="2016"/>
    <cellStyle name="_CCB.HO.2002 Jnl summary by jnl.GL PRC 41-80.grouped.031221_CCB.HO.2003 Jnl summary by jnl.GL PRC 13-20.031221_ICBC PBC-Draft 12-9" xfId="2017"/>
    <cellStyle name="_CCB.HO.2002 Jnl summary by jnl.GL PRC 41-80.grouped.031221_CCB.HO.2003 Jnl summary by jnl.GL PRC 13-20.031221_PBC-detail" xfId="2018"/>
    <cellStyle name="_CCB.HO.2002 Jnl summary by jnl.GL PRC 41-80.grouped.031221_CCB.HO.2003 Jnl summary by jnl.GL PRC 13-20.031221_U section modify ref_12.13" xfId="2019"/>
    <cellStyle name="_CCB.HO.2002 Jnl summary by jnl.GL PRC 41-80.grouped.031221_CCB.HO.2003 Jnl summary by jnl.GL PRC 13-20.031221_U section-3.22" xfId="2020"/>
    <cellStyle name="_CCB.HO.2002 Jnl summary by jnl.GL PRC 41-80.grouped.031221_CCB.HO.2003 Jnl summary by jnl.GL PRC 13-20.031221_U section-3.23" xfId="2021"/>
    <cellStyle name="_CCB.HO.2002 Jnl summary by jnl.GL PRC 41-80.grouped.031221_CCB.HO.2003 Jnl summary by jnl.GL PRC 13-20.031221_U100-PBC" xfId="2022"/>
    <cellStyle name="_CCB.HO.2002 Jnl summary by jnl.GL PRC 41-80.grouped.031221_ICBC PBC-Draft 12-9" xfId="2023"/>
    <cellStyle name="_CCB.HO.2002 Jnl summary by jnl.GL PRC 41-80.grouped.031221_PBC-detail" xfId="2024"/>
    <cellStyle name="_CCB.HO.2002 Jnl summary by jnl.GL PRC 41-80.grouped.031221_U section modify ref_12.13" xfId="2025"/>
    <cellStyle name="_CCB.HO.2002 Jnl summary by jnl.GL PRC 41-80.grouped.031221_U section-3.22" xfId="2026"/>
    <cellStyle name="_CCB.HO.2002 Jnl summary by jnl.GL PRC 41-80.grouped.031221_U section-3.23" xfId="2027"/>
    <cellStyle name="_CCB.HO.2002 Jnl summary by jnl.GL PRC 41-80.grouped.031221_U100-PBC" xfId="2028"/>
    <cellStyle name="_CCB.HO.2003 Jnl summary by jnl.GL PRC 11&amp;12&amp;68.031221" xfId="2029"/>
    <cellStyle name="_CCB.HO.2003 Jnl summary by jnl.GL PRC 11&amp;12&amp;68.031221 2" xfId="2030"/>
    <cellStyle name="_CCB.HO.2003 Jnl summary by jnl.GL PRC 11&amp;12&amp;68.031221_因素变动分析表" xfId="2031"/>
    <cellStyle name="_CCB.HO.2003 Jnl summary by jnl.GL PRC 11&amp;12&amp;68.031221_因素变动分析表 2" xfId="2032"/>
    <cellStyle name="_CCB.HO.2003 Jnl summary by jnl.GL PRC 1-12,33.031221" xfId="2033"/>
    <cellStyle name="_CCB.HO.2003 Jnl summary by jnl.GL PRC 1-12,33.031221_CCB.Dec03AuditPack.GL.V2" xfId="2034"/>
    <cellStyle name="_CCB.HO.2003 Jnl summary by jnl.GL PRC 1-12,33.031221_CCB.Dec03AuditPack.GL.V2_ICBC PBC-Draft 12-9" xfId="2035"/>
    <cellStyle name="_CCB.HO.2003 Jnl summary by jnl.GL PRC 1-12,33.031221_CCB.Dec03AuditPack.GL.V2_PBC-detail" xfId="2036"/>
    <cellStyle name="_CCB.HO.2003 Jnl summary by jnl.GL PRC 1-12,33.031221_CCB.Dec03AuditPack.GL.V2_U section modify ref_12.13" xfId="2037"/>
    <cellStyle name="_CCB.HO.2003 Jnl summary by jnl.GL PRC 1-12,33.031221_CCB.Dec03AuditPack.GL.V2_U section-3.22" xfId="2038"/>
    <cellStyle name="_CCB.HO.2003 Jnl summary by jnl.GL PRC 1-12,33.031221_CCB.Dec03AuditPack.GL.V2_U section-3.23" xfId="2039"/>
    <cellStyle name="_CCB.HO.2003 Jnl summary by jnl.GL PRC 1-12,33.031221_CCB.Dec03AuditPack.GL.V2_U100-PBC" xfId="2040"/>
    <cellStyle name="_CCB.HO.2003 Jnl summary by jnl.GL PRC 1-12,33.031221_ICBC PBC-Draft 12-9" xfId="2041"/>
    <cellStyle name="_CCB.HO.2003 Jnl summary by jnl.GL PRC 1-12,33.031221_PBC-detail" xfId="2042"/>
    <cellStyle name="_CCB.HO.2003 Jnl summary by jnl.GL PRC 1-12,33.031221_U section modify ref_12.13" xfId="2043"/>
    <cellStyle name="_CCB.HO.2003 Jnl summary by jnl.GL PRC 1-12,33.031221_U section-3.22" xfId="2044"/>
    <cellStyle name="_CCB.HO.2003 Jnl summary by jnl.GL PRC 1-12,33.031221_U section-3.23" xfId="2045"/>
    <cellStyle name="_CCB.HO.2003 Jnl summary by jnl.GL PRC 1-12,33.031221_U100-PBC" xfId="2046"/>
    <cellStyle name="_CCB.HO.2003 Jnl summary by jnl.GL PRC 13-20.031221" xfId="2047"/>
    <cellStyle name="_CCB.HO.2003 Jnl summary by jnl.GL PRC 13-20.031221_CCB.Dec03AuditPack.GL.V2" xfId="2048"/>
    <cellStyle name="_CCB.HO.2003 Jnl summary by jnl.GL PRC 13-20.031221_CCB.Dec03AuditPack.GL.V2_ICBC PBC-Draft 12-9" xfId="2049"/>
    <cellStyle name="_CCB.HO.2003 Jnl summary by jnl.GL PRC 13-20.031221_CCB.Dec03AuditPack.GL.V2_PBC-detail" xfId="2050"/>
    <cellStyle name="_CCB.HO.2003 Jnl summary by jnl.GL PRC 13-20.031221_CCB.Dec03AuditPack.GL.V2_U section modify ref_12.13" xfId="2051"/>
    <cellStyle name="_CCB.HO.2003 Jnl summary by jnl.GL PRC 13-20.031221_CCB.Dec03AuditPack.GL.V2_U section-3.22" xfId="2052"/>
    <cellStyle name="_CCB.HO.2003 Jnl summary by jnl.GL PRC 13-20.031221_CCB.Dec03AuditPack.GL.V2_U section-3.23" xfId="2053"/>
    <cellStyle name="_CCB.HO.2003 Jnl summary by jnl.GL PRC 13-20.031221_CCB.Dec03AuditPack.GL.V2_U100-PBC" xfId="2054"/>
    <cellStyle name="_CCB.HO.2003 Jnl summary by jnl.GL PRC 13-20.031221_ICBC PBC-Draft 12-9" xfId="2055"/>
    <cellStyle name="_CCB.HO.2003 Jnl summary by jnl.GL PRC 13-20.031221_PBC-detail" xfId="2056"/>
    <cellStyle name="_CCB.HO.2003 Jnl summary by jnl.GL PRC 13-20.031221_U section modify ref_12.13" xfId="2057"/>
    <cellStyle name="_CCB.HO.2003 Jnl summary by jnl.GL PRC 13-20.031221_U section-3.22" xfId="2058"/>
    <cellStyle name="_CCB.HO.2003 Jnl summary by jnl.GL PRC 13-20.031221_U section-3.23" xfId="2059"/>
    <cellStyle name="_CCB.HO.2003 Jnl summary by jnl.GL PRC 13-20.031221_U100-PBC" xfId="2060"/>
    <cellStyle name="_CCB.HO.2003 Jnl summary by jnl.GL PRC 15,21-32.031221" xfId="2061"/>
    <cellStyle name="_CCB.HO.2003 Jnl summary by jnl.GL PRC 15,21-32.031221_CCB.Dec03AuditPack.GL.V2" xfId="2062"/>
    <cellStyle name="_CCB.HO.2003 Jnl summary by jnl.GL PRC 15,21-32.031221_CCB.Dec03AuditPack.GL.V2_ICBC PBC-Draft 12-9" xfId="2063"/>
    <cellStyle name="_CCB.HO.2003 Jnl summary by jnl.GL PRC 15,21-32.031221_CCB.Dec03AuditPack.GL.V2_PBC-detail" xfId="2064"/>
    <cellStyle name="_CCB.HO.2003 Jnl summary by jnl.GL PRC 15,21-32.031221_CCB.Dec03AuditPack.GL.V2_U section modify ref_12.13" xfId="2065"/>
    <cellStyle name="_CCB.HO.2003 Jnl summary by jnl.GL PRC 15,21-32.031221_CCB.Dec03AuditPack.GL.V2_U section-3.22" xfId="2066"/>
    <cellStyle name="_CCB.HO.2003 Jnl summary by jnl.GL PRC 15,21-32.031221_CCB.Dec03AuditPack.GL.V2_U section-3.23" xfId="2067"/>
    <cellStyle name="_CCB.HO.2003 Jnl summary by jnl.GL PRC 15,21-32.031221_CCB.Dec03AuditPack.GL.V2_U100-PBC" xfId="2068"/>
    <cellStyle name="_CCB.HO.2003 Jnl summary by jnl.GL PRC 15,21-32.031221_ICBC PBC-Draft 12-9" xfId="2069"/>
    <cellStyle name="_CCB.HO.2003 Jnl summary by jnl.GL PRC 15,21-32.031221_PBC-detail" xfId="2070"/>
    <cellStyle name="_CCB.HO.2003 Jnl summary by jnl.GL PRC 15,21-32.031221_U section modify ref_12.13" xfId="2071"/>
    <cellStyle name="_CCB.HO.2003 Jnl summary by jnl.GL PRC 15,21-32.031221_U section-3.22" xfId="2072"/>
    <cellStyle name="_CCB.HO.2003 Jnl summary by jnl.GL PRC 15,21-32.031221_U section-3.23" xfId="2073"/>
    <cellStyle name="_CCB.HO.2003 Jnl summary by jnl.GL PRC 15,21-32.031221_U100-PBC" xfId="2074"/>
    <cellStyle name="_CCB.HO.2003 Jnl summary by jnl.GL PRC 31&amp;62.031221" xfId="2075"/>
    <cellStyle name="_CCB.HO.2003 Jnl summary by jnl.GL PRC 31&amp;62.031221 2" xfId="2076"/>
    <cellStyle name="_CCB.HO.2003 Jnl summary by jnl.GL PRC 31&amp;62.031221_因素变动分析表" xfId="2077"/>
    <cellStyle name="_CCB.HO.2003 Jnl summary by jnl.GL PRC 31&amp;62.031221_因素变动分析表 2" xfId="2078"/>
    <cellStyle name="_CCB.HO.2003 Jnl summary by jnl.GL PRC 34-40.031221" xfId="2079"/>
    <cellStyle name="_CCB.HO.2003 Jnl summary by jnl.GL PRC 34-40.031221_CCB.Dec03AuditPack.GL.V2" xfId="2080"/>
    <cellStyle name="_CCB.HO.2003 Jnl summary by jnl.GL PRC 34-40.031221_CCB.Dec03AuditPack.GL.V2_ICBC PBC-Draft 12-9" xfId="2081"/>
    <cellStyle name="_CCB.HO.2003 Jnl summary by jnl.GL PRC 34-40.031221_CCB.Dec03AuditPack.GL.V2_PBC-detail" xfId="2082"/>
    <cellStyle name="_CCB.HO.2003 Jnl summary by jnl.GL PRC 34-40.031221_CCB.Dec03AuditPack.GL.V2_U section modify ref_12.13" xfId="2083"/>
    <cellStyle name="_CCB.HO.2003 Jnl summary by jnl.GL PRC 34-40.031221_CCB.Dec03AuditPack.GL.V2_U section-3.22" xfId="2084"/>
    <cellStyle name="_CCB.HO.2003 Jnl summary by jnl.GL PRC 34-40.031221_CCB.Dec03AuditPack.GL.V2_U section-3.23" xfId="2085"/>
    <cellStyle name="_CCB.HO.2003 Jnl summary by jnl.GL PRC 34-40.031221_CCB.Dec03AuditPack.GL.V2_U100-PBC" xfId="2086"/>
    <cellStyle name="_CCB.HO.2003 Jnl summary by jnl.GL PRC 34-40.031221_ICBC PBC-Draft 12-9" xfId="2087"/>
    <cellStyle name="_CCB.HO.2003 Jnl summary by jnl.GL PRC 34-40.031221_PBC-detail" xfId="2088"/>
    <cellStyle name="_CCB.HO.2003 Jnl summary by jnl.GL PRC 34-40.031221_U section modify ref_12.13" xfId="2089"/>
    <cellStyle name="_CCB.HO.2003 Jnl summary by jnl.GL PRC 34-40.031221_U section-3.22" xfId="2090"/>
    <cellStyle name="_CCB.HO.2003 Jnl summary by jnl.GL PRC 34-40.031221_U section-3.23" xfId="2091"/>
    <cellStyle name="_CCB.HO.2003 Jnl summary by jnl.GL PRC 34-40.031221_U100-PBC" xfId="2092"/>
    <cellStyle name="_CCB.HO.2003 Jnl summary by jnl.GL PRC 60-80.031221" xfId="2093"/>
    <cellStyle name="_CCB.HO.2003 Jnl summary by jnl.GL PRC 60-80.031221 2" xfId="2094"/>
    <cellStyle name="_CCB.HO.2003 Jnl summary by jnl.GL PRC 60-80.031221_因素变动分析表" xfId="2095"/>
    <cellStyle name="_CCB.HO.2003 Jnl summary by jnl.GL PRC 60-80.031221_因素变动分析表 2" xfId="2096"/>
    <cellStyle name="_CCB.HO.2003 Jnl summary by jnl.GL PRC 81-120.031221" xfId="2097"/>
    <cellStyle name="_CCB.HO.2003 Jnl summary by jnl.GL PRC 81-120.031221_CCB.Dec03AuditPack.GL.V2" xfId="2098"/>
    <cellStyle name="_CCB.HO.2003 Jnl summary by jnl.GL PRC 81-120.031221_CCB.Dec03AuditPack.GL.V2_ICBC PBC-Draft 12-9" xfId="2099"/>
    <cellStyle name="_CCB.HO.2003 Jnl summary by jnl.GL PRC 81-120.031221_CCB.Dec03AuditPack.GL.V2_PBC-detail" xfId="2100"/>
    <cellStyle name="_CCB.HO.2003 Jnl summary by jnl.GL PRC 81-120.031221_CCB.Dec03AuditPack.GL.V2_U section modify ref_12.13" xfId="2101"/>
    <cellStyle name="_CCB.HO.2003 Jnl summary by jnl.GL PRC 81-120.031221_CCB.Dec03AuditPack.GL.V2_U section-3.22" xfId="2102"/>
    <cellStyle name="_CCB.HO.2003 Jnl summary by jnl.GL PRC 81-120.031221_CCB.Dec03AuditPack.GL.V2_U section-3.23" xfId="2103"/>
    <cellStyle name="_CCB.HO.2003 Jnl summary by jnl.GL PRC 81-120.031221_CCB.Dec03AuditPack.GL.V2_U100-PBC" xfId="2104"/>
    <cellStyle name="_CCB.HO.2003 Jnl summary by jnl.GL PRC 81-120.031221_ICBC PBC-Draft 12-9" xfId="2105"/>
    <cellStyle name="_CCB.HO.2003 Jnl summary by jnl.GL PRC 81-120.031221_PBC-detail" xfId="2106"/>
    <cellStyle name="_CCB.HO.2003 Jnl summary by jnl.GL PRC 81-120.031221_U section modify ref_12.13" xfId="2107"/>
    <cellStyle name="_CCB.HO.2003 Jnl summary by jnl.GL PRC 81-120.031221_U section-3.22" xfId="2108"/>
    <cellStyle name="_CCB.HO.2003 Jnl summary by jnl.GL PRC 81-120.031221_U section-3.23" xfId="2109"/>
    <cellStyle name="_CCB.HO.2003 Jnl summary by jnl.GL PRC 81-120.031221_U100-PBC" xfId="2110"/>
    <cellStyle name="_CCB.HO.2003 Jnl summary by jnl.Gl.specific for HO branch" xfId="2111"/>
    <cellStyle name="_CCB.HO.2003 Jnl summary by jnl.Gl.specific for HO branch_CCB.Dec03AuditPack.GL.V2" xfId="2112"/>
    <cellStyle name="_CCB.HO.2003 Jnl summary by jnl.Gl.specific for HO branch_CCB.Dec03AuditPack.GL.V2_ICBC PBC-Draft 12-9" xfId="2113"/>
    <cellStyle name="_CCB.HO.2003 Jnl summary by jnl.Gl.specific for HO branch_CCB.Dec03AuditPack.GL.V2_PBC-detail" xfId="2114"/>
    <cellStyle name="_CCB.HO.2003 Jnl summary by jnl.Gl.specific for HO branch_CCB.Dec03AuditPack.GL.V2_U section modify ref_12.13" xfId="2115"/>
    <cellStyle name="_CCB.HO.2003 Jnl summary by jnl.Gl.specific for HO branch_CCB.Dec03AuditPack.GL.V2_U section-3.22" xfId="2116"/>
    <cellStyle name="_CCB.HO.2003 Jnl summary by jnl.Gl.specific for HO branch_CCB.Dec03AuditPack.GL.V2_U section-3.23" xfId="2117"/>
    <cellStyle name="_CCB.HO.2003 Jnl summary by jnl.Gl.specific for HO branch_CCB.Dec03AuditPack.GL.V2_U100-PBC" xfId="2118"/>
    <cellStyle name="_CCB.HO.2003 Jnl summary by jnl.Gl.specific for HO branch_CCB.HO.2003 Jnl summary by jnl.GL PRC 60-80.031221" xfId="2119"/>
    <cellStyle name="_CCB.HO.2003 Jnl summary by jnl.Gl.specific for HO branch_CCB.HO.2003 Jnl summary by jnl.GL PRC 60-80.031221_CCB.Dec03AuditPack.GL.V2" xfId="2120"/>
    <cellStyle name="_CCB.HO.2003 Jnl summary by jnl.Gl.specific for HO branch_CCB.HO.2003 Jnl summary by jnl.GL PRC 60-80.031221_CCB.Dec03AuditPack.GL.V2_ICBC PBC-Draft 12-9" xfId="2121"/>
    <cellStyle name="_CCB.HO.2003 Jnl summary by jnl.Gl.specific for HO branch_CCB.HO.2003 Jnl summary by jnl.GL PRC 60-80.031221_CCB.Dec03AuditPack.GL.V2_PBC-detail" xfId="2122"/>
    <cellStyle name="_CCB.HO.2003 Jnl summary by jnl.Gl.specific for HO branch_CCB.HO.2003 Jnl summary by jnl.GL PRC 60-80.031221_CCB.Dec03AuditPack.GL.V2_U section modify ref_12.13" xfId="2123"/>
    <cellStyle name="_CCB.HO.2003 Jnl summary by jnl.Gl.specific for HO branch_CCB.HO.2003 Jnl summary by jnl.GL PRC 60-80.031221_CCB.Dec03AuditPack.GL.V2_U section-3.22" xfId="2124"/>
    <cellStyle name="_CCB.HO.2003 Jnl summary by jnl.Gl.specific for HO branch_CCB.HO.2003 Jnl summary by jnl.GL PRC 60-80.031221_CCB.Dec03AuditPack.GL.V2_U section-3.23" xfId="2125"/>
    <cellStyle name="_CCB.HO.2003 Jnl summary by jnl.Gl.specific for HO branch_CCB.HO.2003 Jnl summary by jnl.GL PRC 60-80.031221_CCB.Dec03AuditPack.GL.V2_U100-PBC" xfId="2126"/>
    <cellStyle name="_CCB.HO.2003 Jnl summary by jnl.Gl.specific for HO branch_CCB.HO.2003 Jnl summary by jnl.GL PRC 60-80.031221_ICBC PBC-Draft 12-9" xfId="2127"/>
    <cellStyle name="_CCB.HO.2003 Jnl summary by jnl.Gl.specific for HO branch_CCB.HO.2003 Jnl summary by jnl.GL PRC 60-80.031221_PBC-detail" xfId="2128"/>
    <cellStyle name="_CCB.HO.2003 Jnl summary by jnl.Gl.specific for HO branch_CCB.HO.2003 Jnl summary by jnl.GL PRC 60-80.031221_U section modify ref_12.13" xfId="2129"/>
    <cellStyle name="_CCB.HO.2003 Jnl summary by jnl.Gl.specific for HO branch_CCB.HO.2003 Jnl summary by jnl.GL PRC 60-80.031221_U section-3.22" xfId="2130"/>
    <cellStyle name="_CCB.HO.2003 Jnl summary by jnl.Gl.specific for HO branch_CCB.HO.2003 Jnl summary by jnl.GL PRC 60-80.031221_U section-3.23" xfId="2131"/>
    <cellStyle name="_CCB.HO.2003 Jnl summary by jnl.Gl.specific for HO branch_CCB.HO.2003 Jnl summary by jnl.GL PRC 60-80.031221_U100-PBC" xfId="2132"/>
    <cellStyle name="_CCB.HO.2003 Jnl summary by jnl.Gl.specific for HO branch_CCB.HO.2003 Jnl summary by jnl.GL PRC 60-80.031221rev" xfId="2133"/>
    <cellStyle name="_CCB.HO.2003 Jnl summary by jnl.Gl.specific for HO branch_CCB.HO.2003 Jnl summary by jnl.GL PRC 60-80.031221rev_CCB.Dec03AuditPack.GL.V2" xfId="2134"/>
    <cellStyle name="_CCB.HO.2003 Jnl summary by jnl.Gl.specific for HO branch_CCB.HO.2003 Jnl summary by jnl.GL PRC 60-80.031221rev_CCB.Dec03AuditPack.GL.V2_ICBC PBC-Draft 12-9" xfId="2135"/>
    <cellStyle name="_CCB.HO.2003 Jnl summary by jnl.Gl.specific for HO branch_CCB.HO.2003 Jnl summary by jnl.GL PRC 60-80.031221rev_CCB.Dec03AuditPack.GL.V2_PBC-detail" xfId="2136"/>
    <cellStyle name="_CCB.HO.2003 Jnl summary by jnl.Gl.specific for HO branch_CCB.HO.2003 Jnl summary by jnl.GL PRC 60-80.031221rev_CCB.Dec03AuditPack.GL.V2_U section modify ref_12.13" xfId="2137"/>
    <cellStyle name="_CCB.HO.2003 Jnl summary by jnl.Gl.specific for HO branch_CCB.HO.2003 Jnl summary by jnl.GL PRC 60-80.031221rev_CCB.Dec03AuditPack.GL.V2_U section-3.22" xfId="2138"/>
    <cellStyle name="_CCB.HO.2003 Jnl summary by jnl.Gl.specific for HO branch_CCB.HO.2003 Jnl summary by jnl.GL PRC 60-80.031221rev_CCB.Dec03AuditPack.GL.V2_U section-3.23" xfId="2139"/>
    <cellStyle name="_CCB.HO.2003 Jnl summary by jnl.Gl.specific for HO branch_CCB.HO.2003 Jnl summary by jnl.GL PRC 60-80.031221rev_CCB.Dec03AuditPack.GL.V2_U100-PBC" xfId="2140"/>
    <cellStyle name="_CCB.HO.2003 Jnl summary by jnl.Gl.specific for HO branch_CCB.HO.2003 Jnl summary by jnl.GL PRC 60-80.031221rev_ICBC PBC-Draft 12-9" xfId="2141"/>
    <cellStyle name="_CCB.HO.2003 Jnl summary by jnl.Gl.specific for HO branch_CCB.HO.2003 Jnl summary by jnl.GL PRC 60-80.031221rev_PBC-detail" xfId="2142"/>
    <cellStyle name="_CCB.HO.2003 Jnl summary by jnl.Gl.specific for HO branch_CCB.HO.2003 Jnl summary by jnl.GL PRC 60-80.031221rev_U section modify ref_12.13" xfId="2143"/>
    <cellStyle name="_CCB.HO.2003 Jnl summary by jnl.Gl.specific for HO branch_CCB.HO.2003 Jnl summary by jnl.GL PRC 60-80.031221rev_U section-3.22" xfId="2144"/>
    <cellStyle name="_CCB.HO.2003 Jnl summary by jnl.Gl.specific for HO branch_CCB.HO.2003 Jnl summary by jnl.GL PRC 60-80.031221rev_U section-3.23" xfId="2145"/>
    <cellStyle name="_CCB.HO.2003 Jnl summary by jnl.Gl.specific for HO branch_CCB.HO.2003 Jnl summary by jnl.GL PRC 60-80.031221rev_U100-PBC" xfId="2146"/>
    <cellStyle name="_CCB.HO.2003 Jnl summary by jnl.Gl.specific for HO branch_ICBC PBC-Draft 12-9" xfId="2147"/>
    <cellStyle name="_CCB.HO.2003 Jnl summary by jnl.Gl.specific for HO branch_PBC-detail" xfId="2148"/>
    <cellStyle name="_CCB.HO.2003 Jnl summary by jnl.Gl.specific for HO branch_U section modify ref_12.13" xfId="2149"/>
    <cellStyle name="_CCB.HO.2003 Jnl summary by jnl.Gl.specific for HO branch_U section-3.22" xfId="2150"/>
    <cellStyle name="_CCB.HO.2003 Jnl summary by jnl.Gl.specific for HO branch_U section-3.23" xfId="2151"/>
    <cellStyle name="_CCB.HO.2003 Jnl summary by jnl.Gl.specific for HO branch_U100-PBC" xfId="2152"/>
    <cellStyle name="_CCB.HO.NAV Recon.031108.AL" xfId="2153"/>
    <cellStyle name="_CCB.HO.NAV Recon.031108.AL_CCB.Dec03AuditPack.GL.V2" xfId="2154"/>
    <cellStyle name="_CCB.HO.NAV Recon.031108.AL_CCB.Dec03AuditPack.GL.V2_ICBC PBC-Draft 12-9" xfId="2155"/>
    <cellStyle name="_CCB.HO.NAV Recon.031108.AL_CCB.Dec03AuditPack.GL.V2_PBC-detail" xfId="2156"/>
    <cellStyle name="_CCB.HO.NAV Recon.031108.AL_CCB.Dec03AuditPack.GL.V2_U section modify ref_12.13" xfId="2157"/>
    <cellStyle name="_CCB.HO.NAV Recon.031108.AL_CCB.Dec03AuditPack.GL.V2_U section-3.22" xfId="2158"/>
    <cellStyle name="_CCB.HO.NAV Recon.031108.AL_CCB.Dec03AuditPack.GL.V2_U section-3.23" xfId="2159"/>
    <cellStyle name="_CCB.HO.NAV Recon.031108.AL_CCB.Dec03AuditPack.GL.V2_U100-PBC" xfId="2160"/>
    <cellStyle name="_CCB.HO.NAV Recon.031108.AL_ICBC PBC-Draft 12-9" xfId="2161"/>
    <cellStyle name="_CCB.HO.NAV Recon.031108.AL_PBC-detail" xfId="2162"/>
    <cellStyle name="_CCB.HO.NAV Recon.031108.AL_U section modify ref_12.13" xfId="2163"/>
    <cellStyle name="_CCB.HO.NAV Recon.031108.AL_U section-3.22" xfId="2164"/>
    <cellStyle name="_CCB.HO.NAV Recon.031108.AL_U section-3.23" xfId="2165"/>
    <cellStyle name="_CCB.HO.NAV Recon.031108.AL_U100-PBC" xfId="2166"/>
    <cellStyle name="_CCB.HO.NAV Recon.031208.AL" xfId="2167"/>
    <cellStyle name="_CCB.HO.NAV Recon.031208.AL_CCB.Dec03AuditPack.GL.V2" xfId="2168"/>
    <cellStyle name="_CCB.HO.NAV Recon.031208.AL_CCB.Dec03AuditPack.GL.V2_ICBC PBC-Draft 12-9" xfId="2169"/>
    <cellStyle name="_CCB.HO.NAV Recon.031208.AL_CCB.Dec03AuditPack.GL.V2_PBC-detail" xfId="2170"/>
    <cellStyle name="_CCB.HO.NAV Recon.031208.AL_CCB.Dec03AuditPack.GL.V2_U section modify ref_12.13" xfId="2171"/>
    <cellStyle name="_CCB.HO.NAV Recon.031208.AL_CCB.Dec03AuditPack.GL.V2_U section-3.22" xfId="2172"/>
    <cellStyle name="_CCB.HO.NAV Recon.031208.AL_CCB.Dec03AuditPack.GL.V2_U section-3.23" xfId="2173"/>
    <cellStyle name="_CCB.HO.NAV Recon.031208.AL_CCB.Dec03AuditPack.GL.V2_U100-PBC" xfId="2174"/>
    <cellStyle name="_CCB.HO.NAV Recon.031208.AL_ICBC PBC-Draft 12-9" xfId="2175"/>
    <cellStyle name="_CCB.HO.NAV Recon.031208.AL_PBC-detail" xfId="2176"/>
    <cellStyle name="_CCB.HO.NAV Recon.031208.AL_U section modify ref_12.13" xfId="2177"/>
    <cellStyle name="_CCB.HO.NAV Recon.031208.AL_U section-3.22" xfId="2178"/>
    <cellStyle name="_CCB.HO.NAV Recon.031208.AL_U section-3.23" xfId="2179"/>
    <cellStyle name="_CCB.HO.NAV Recon.031208.AL_U100-PBC" xfId="2180"/>
    <cellStyle name="_CCB.HO.NAV Recon.031208.EL" xfId="2181"/>
    <cellStyle name="_CCB.HO.NAV Recon.031208.EL_CCB.Dec03AuditPack.GL.V2" xfId="2182"/>
    <cellStyle name="_CCB.HO.NAV Recon.031208.EL_CCB.Dec03AuditPack.GL.V2_ICBC PBC-Draft 12-9" xfId="2183"/>
    <cellStyle name="_CCB.HO.NAV Recon.031208.EL_CCB.Dec03AuditPack.GL.V2_PBC-detail" xfId="2184"/>
    <cellStyle name="_CCB.HO.NAV Recon.031208.EL_CCB.Dec03AuditPack.GL.V2_U section modify ref_12.13" xfId="2185"/>
    <cellStyle name="_CCB.HO.NAV Recon.031208.EL_CCB.Dec03AuditPack.GL.V2_U section-3.22" xfId="2186"/>
    <cellStyle name="_CCB.HO.NAV Recon.031208.EL_CCB.Dec03AuditPack.GL.V2_U section-3.23" xfId="2187"/>
    <cellStyle name="_CCB.HO.NAV Recon.031208.EL_CCB.Dec03AuditPack.GL.V2_U100-PBC" xfId="2188"/>
    <cellStyle name="_CCB.HO.NAV Recon.031208.EL_ICBC PBC-Draft 12-9" xfId="2189"/>
    <cellStyle name="_CCB.HO.NAV Recon.031208.EL_PBC-detail" xfId="2190"/>
    <cellStyle name="_CCB.HO.NAV Recon.031208.EL_U section modify ref_12.13" xfId="2191"/>
    <cellStyle name="_CCB.HO.NAV Recon.031208.EL_U section-3.22" xfId="2192"/>
    <cellStyle name="_CCB.HO.NAV Recon.031208.EL_U section-3.23" xfId="2193"/>
    <cellStyle name="_CCB.HO.NAV Recon.031208.EL_U100-PBC" xfId="2194"/>
    <cellStyle name="_CCB.HO.NAV Recon.HL.031113.AL" xfId="2195"/>
    <cellStyle name="_CCB.HO.NAV Recon.HL.031113.AL_CCB.Dec03AuditPack.GL.V2" xfId="2196"/>
    <cellStyle name="_CCB.HO.NAV Recon.HL.031113.AL_CCB.Dec03AuditPack.GL.V2_ICBC PBC-Draft 12-9" xfId="2197"/>
    <cellStyle name="_CCB.HO.NAV Recon.HL.031113.AL_CCB.Dec03AuditPack.GL.V2_PBC-detail" xfId="2198"/>
    <cellStyle name="_CCB.HO.NAV Recon.HL.031113.AL_CCB.Dec03AuditPack.GL.V2_U section modify ref_12.13" xfId="2199"/>
    <cellStyle name="_CCB.HO.NAV Recon.HL.031113.AL_CCB.Dec03AuditPack.GL.V2_U section-3.22" xfId="2200"/>
    <cellStyle name="_CCB.HO.NAV Recon.HL.031113.AL_CCB.Dec03AuditPack.GL.V2_U section-3.23" xfId="2201"/>
    <cellStyle name="_CCB.HO.NAV Recon.HL.031113.AL_CCB.Dec03AuditPack.GL.V2_U100-PBC" xfId="2202"/>
    <cellStyle name="_CCB.HO.NAV Recon.HL.031113.AL_ICBC PBC-Draft 12-9" xfId="2203"/>
    <cellStyle name="_CCB.HO.NAV Recon.HL.031113.AL_PBC-detail" xfId="2204"/>
    <cellStyle name="_CCB.HO.NAV Recon.HL.031113.AL_U section modify ref_12.13" xfId="2205"/>
    <cellStyle name="_CCB.HO.NAV Recon.HL.031113.AL_U section-3.22" xfId="2206"/>
    <cellStyle name="_CCB.HO.NAV Recon.HL.031113.AL_U section-3.23" xfId="2207"/>
    <cellStyle name="_CCB.HO.NAV Recon.HL.031113.AL_U100-PBC" xfId="2208"/>
    <cellStyle name="_CCB.HO.New TB template.CCB PRC IAS Sorting.040223 trial run" xfId="2209"/>
    <cellStyle name="_CCB.HO.New TB template.CCB PRC IAS Sorting.040223 trial run_CCB.Dec03AuditPack.GL.V2" xfId="2210"/>
    <cellStyle name="_CCB.HO.New TB template.CCB PRC IAS Sorting.040223 trial run_CCB.Dec03AuditPack.GL.V2_ICBC PBC-Draft 12-9" xfId="2211"/>
    <cellStyle name="_CCB.HO.New TB template.CCB PRC IAS Sorting.040223 trial run_CCB.Dec03AuditPack.GL.V2_PBC-detail" xfId="2212"/>
    <cellStyle name="_CCB.HO.New TB template.CCB PRC IAS Sorting.040223 trial run_CCB.Dec03AuditPack.GL.V2_U section modify ref_12.13" xfId="2213"/>
    <cellStyle name="_CCB.HO.New TB template.CCB PRC IAS Sorting.040223 trial run_CCB.Dec03AuditPack.GL.V2_U section-3.22" xfId="2214"/>
    <cellStyle name="_CCB.HO.New TB template.CCB PRC IAS Sorting.040223 trial run_CCB.Dec03AuditPack.GL.V2_U section-3.23" xfId="2215"/>
    <cellStyle name="_CCB.HO.New TB template.CCB PRC IAS Sorting.040223 trial run_CCB.Dec03AuditPack.GL.V2_U100-PBC" xfId="2216"/>
    <cellStyle name="_CCB.HO.New TB template.CCB PRC IAS Sorting.040223 trial run_ICBC PBC-Draft 12-9" xfId="2217"/>
    <cellStyle name="_CCB.HO.New TB template.CCB PRC IAS Sorting.040223 trial run_PBC-detail" xfId="2218"/>
    <cellStyle name="_CCB.HO.New TB template.CCB PRC IAS Sorting.040223 trial run_U section modify ref_12.13" xfId="2219"/>
    <cellStyle name="_CCB.HO.New TB template.CCB PRC IAS Sorting.040223 trial run_U section-3.22" xfId="2220"/>
    <cellStyle name="_CCB.HO.New TB template.CCB PRC IAS Sorting.040223 trial run_U section-3.23" xfId="2221"/>
    <cellStyle name="_CCB.HO.New TB template.CCB PRC IAS Sorting.040223 trial run_U100-PBC" xfId="2222"/>
    <cellStyle name="_CCB.HO.New TB template.IAS Sorting.040210" xfId="2223"/>
    <cellStyle name="_CCB.HO.New TB template.IAS Sorting.040210_CCB.Dec03AuditPack.GL.V2" xfId="2224"/>
    <cellStyle name="_CCB.HO.New TB template.IAS Sorting.040210_CCB.Dec03AuditPack.GL.V2_ICBC PBC-Draft 12-9" xfId="2225"/>
    <cellStyle name="_CCB.HO.New TB template.IAS Sorting.040210_CCB.Dec03AuditPack.GL.V2_PBC-detail" xfId="2226"/>
    <cellStyle name="_CCB.HO.New TB template.IAS Sorting.040210_CCB.Dec03AuditPack.GL.V2_U section modify ref_12.13" xfId="2227"/>
    <cellStyle name="_CCB.HO.New TB template.IAS Sorting.040210_CCB.Dec03AuditPack.GL.V2_U section-3.22" xfId="2228"/>
    <cellStyle name="_CCB.HO.New TB template.IAS Sorting.040210_CCB.Dec03AuditPack.GL.V2_U section-3.23" xfId="2229"/>
    <cellStyle name="_CCB.HO.New TB template.IAS Sorting.040210_CCB.Dec03AuditPack.GL.V2_U100-PBC" xfId="2230"/>
    <cellStyle name="_CCB.HO.New TB template.IAS Sorting.040210_ICBC PBC-Draft 12-9" xfId="2231"/>
    <cellStyle name="_CCB.HO.New TB template.IAS Sorting.040210_PBC-detail" xfId="2232"/>
    <cellStyle name="_CCB.HO.New TB template.IAS Sorting.040210_U section modify ref_12.13" xfId="2233"/>
    <cellStyle name="_CCB.HO.New TB template.IAS Sorting.040210_U section-3.22" xfId="2234"/>
    <cellStyle name="_CCB.HO.New TB template.IAS Sorting.040210_U section-3.23" xfId="2235"/>
    <cellStyle name="_CCB.HO.New TB template.IAS Sorting.040210_U100-PBC" xfId="2236"/>
    <cellStyle name="_CCB.HO.New TB template.PRC Sorting.040210" xfId="2237"/>
    <cellStyle name="_CCB.HO.New TB template.PRC Sorting.040210_CCB.Dec03AuditPack.GL.V2" xfId="2238"/>
    <cellStyle name="_CCB.HO.New TB template.PRC Sorting.040210_CCB.Dec03AuditPack.GL.V2_ICBC PBC-Draft 12-9" xfId="2239"/>
    <cellStyle name="_CCB.HO.New TB template.PRC Sorting.040210_CCB.Dec03AuditPack.GL.V2_PBC-detail" xfId="2240"/>
    <cellStyle name="_CCB.HO.New TB template.PRC Sorting.040210_CCB.Dec03AuditPack.GL.V2_U section modify ref_12.13" xfId="2241"/>
    <cellStyle name="_CCB.HO.New TB template.PRC Sorting.040210_CCB.Dec03AuditPack.GL.V2_U section-3.22" xfId="2242"/>
    <cellStyle name="_CCB.HO.New TB template.PRC Sorting.040210_CCB.Dec03AuditPack.GL.V2_U section-3.23" xfId="2243"/>
    <cellStyle name="_CCB.HO.New TB template.PRC Sorting.040210_CCB.Dec03AuditPack.GL.V2_U100-PBC" xfId="2244"/>
    <cellStyle name="_CCB.HO.New TB template.PRC Sorting.040210_ICBC PBC-Draft 12-9" xfId="2245"/>
    <cellStyle name="_CCB.HO.New TB template.PRC Sorting.040210_PBC-detail" xfId="2246"/>
    <cellStyle name="_CCB.HO.New TB template.PRC Sorting.040210_U section modify ref_12.13" xfId="2247"/>
    <cellStyle name="_CCB.HO.New TB template.PRC Sorting.040210_U section-3.22" xfId="2248"/>
    <cellStyle name="_CCB.HO.New TB template.PRC Sorting.040210_U section-3.23" xfId="2249"/>
    <cellStyle name="_CCB.HO.New TB template.PRC Sorting.040210_U100-PBC" xfId="2250"/>
    <cellStyle name="_CCB.HO.Profit Recon.031108.AL" xfId="2251"/>
    <cellStyle name="_CCB.HO.Profit Recon.031108.AL_CCB.Dec03AuditPack.GL.V2" xfId="2252"/>
    <cellStyle name="_CCB.HO.Profit Recon.031108.AL_CCB.Dec03AuditPack.GL.V2_ICBC PBC-Draft 12-9" xfId="2253"/>
    <cellStyle name="_CCB.HO.Profit Recon.031108.AL_CCB.Dec03AuditPack.GL.V2_PBC-detail" xfId="2254"/>
    <cellStyle name="_CCB.HO.Profit Recon.031108.AL_CCB.Dec03AuditPack.GL.V2_U section modify ref_12.13" xfId="2255"/>
    <cellStyle name="_CCB.HO.Profit Recon.031108.AL_CCB.Dec03AuditPack.GL.V2_U section-3.22" xfId="2256"/>
    <cellStyle name="_CCB.HO.Profit Recon.031108.AL_CCB.Dec03AuditPack.GL.V2_U section-3.23" xfId="2257"/>
    <cellStyle name="_CCB.HO.Profit Recon.031108.AL_CCB.Dec03AuditPack.GL.V2_U100-PBC" xfId="2258"/>
    <cellStyle name="_CCB.HO.Profit Recon.031108.AL_ICBC PBC-Draft 12-9" xfId="2259"/>
    <cellStyle name="_CCB.HO.Profit Recon.031108.AL_PBC-detail" xfId="2260"/>
    <cellStyle name="_CCB.HO.Profit Recon.031108.AL_U section modify ref_12.13" xfId="2261"/>
    <cellStyle name="_CCB.HO.Profit Recon.031108.AL_U section-3.22" xfId="2262"/>
    <cellStyle name="_CCB.HO.Profit Recon.031108.AL_U section-3.23" xfId="2263"/>
    <cellStyle name="_CCB.HO.Profit Recon.031108.AL_U100-PBC" xfId="2264"/>
    <cellStyle name="_CCB.HO.Profit Recon.031208.AL" xfId="2265"/>
    <cellStyle name="_CCB.HO.Profit Recon.031208.AL_CCB.Dec03AuditPack.GL.V2" xfId="2266"/>
    <cellStyle name="_CCB.HO.Profit Recon.031208.AL_CCB.Dec03AuditPack.GL.V2_ICBC PBC-Draft 12-9" xfId="2267"/>
    <cellStyle name="_CCB.HO.Profit Recon.031208.AL_CCB.Dec03AuditPack.GL.V2_PBC-detail" xfId="2268"/>
    <cellStyle name="_CCB.HO.Profit Recon.031208.AL_CCB.Dec03AuditPack.GL.V2_U section modify ref_12.13" xfId="2269"/>
    <cellStyle name="_CCB.HO.Profit Recon.031208.AL_CCB.Dec03AuditPack.GL.V2_U section-3.22" xfId="2270"/>
    <cellStyle name="_CCB.HO.Profit Recon.031208.AL_CCB.Dec03AuditPack.GL.V2_U section-3.23" xfId="2271"/>
    <cellStyle name="_CCB.HO.Profit Recon.031208.AL_CCB.Dec03AuditPack.GL.V2_U100-PBC" xfId="2272"/>
    <cellStyle name="_CCB.HO.Profit Recon.031208.AL_ICBC PBC-Draft 12-9" xfId="2273"/>
    <cellStyle name="_CCB.HO.Profit Recon.031208.AL_PBC-detail" xfId="2274"/>
    <cellStyle name="_CCB.HO.Profit Recon.031208.AL_U section modify ref_12.13" xfId="2275"/>
    <cellStyle name="_CCB.HO.Profit Recon.031208.AL_U section-3.22" xfId="2276"/>
    <cellStyle name="_CCB.HO.Profit Recon.031208.AL_U section-3.23" xfId="2277"/>
    <cellStyle name="_CCB.HO.Profit Recon.031208.AL_U100-PBC" xfId="2278"/>
    <cellStyle name="_CCB.HO.Profit Recon.HL.031113.AL" xfId="2279"/>
    <cellStyle name="_CCB.HO.Profit Recon.HL.031113.AL_CCB.Dec03AuditPack.GL.V2" xfId="2280"/>
    <cellStyle name="_CCB.HO.Profit Recon.HL.031113.AL_CCB.Dec03AuditPack.GL.V2_ICBC PBC-Draft 12-9" xfId="2281"/>
    <cellStyle name="_CCB.HO.Profit Recon.HL.031113.AL_CCB.Dec03AuditPack.GL.V2_PBC-detail" xfId="2282"/>
    <cellStyle name="_CCB.HO.Profit Recon.HL.031113.AL_CCB.Dec03AuditPack.GL.V2_U section modify ref_12.13" xfId="2283"/>
    <cellStyle name="_CCB.HO.Profit Recon.HL.031113.AL_CCB.Dec03AuditPack.GL.V2_U section-3.22" xfId="2284"/>
    <cellStyle name="_CCB.HO.Profit Recon.HL.031113.AL_CCB.Dec03AuditPack.GL.V2_U section-3.23" xfId="2285"/>
    <cellStyle name="_CCB.HO.Profit Recon.HL.031113.AL_CCB.Dec03AuditPack.GL.V2_U100-PBC" xfId="2286"/>
    <cellStyle name="_CCB.HO.Profit Recon.HL.031113.AL_ICBC PBC-Draft 12-9" xfId="2287"/>
    <cellStyle name="_CCB.HO.Profit Recon.HL.031113.AL_PBC-detail" xfId="2288"/>
    <cellStyle name="_CCB.HO.Profit Recon.HL.031113.AL_U section modify ref_12.13" xfId="2289"/>
    <cellStyle name="_CCB.HO.Profit Recon.HL.031113.AL_U section-3.22" xfId="2290"/>
    <cellStyle name="_CCB.HO.Profit Recon.HL.031113.AL_U section-3.23" xfId="2291"/>
    <cellStyle name="_CCB.HO.Profit Recon.HL.031113.AL_U100-PBC" xfId="2292"/>
    <cellStyle name="_CCB.NX.Item 12.ProfitNAVRec.031121" xfId="2293"/>
    <cellStyle name="_CCB.NX.Item 12.ProfitNAVRec.031121_CCB.Dec03AuditPack.GL.V2" xfId="2294"/>
    <cellStyle name="_CCB.NX.Item 12.ProfitNAVRec.031121_CCB.Dec03AuditPack.GL.V2_ICBC PBC-Draft 12-9" xfId="2295"/>
    <cellStyle name="_CCB.NX.Item 12.ProfitNAVRec.031121_CCB.Dec03AuditPack.GL.V2_PBC-detail" xfId="2296"/>
    <cellStyle name="_CCB.NX.Item 12.ProfitNAVRec.031121_CCB.Dec03AuditPack.GL.V2_U section modify ref_12.13" xfId="2297"/>
    <cellStyle name="_CCB.NX.Item 12.ProfitNAVRec.031121_CCB.Dec03AuditPack.GL.V2_U section-3.22" xfId="2298"/>
    <cellStyle name="_CCB.NX.Item 12.ProfitNAVRec.031121_CCB.Dec03AuditPack.GL.V2_U section-3.23" xfId="2299"/>
    <cellStyle name="_CCB.NX.Item 12.ProfitNAVRec.031121_CCB.Dec03AuditPack.GL.V2_U100-PBC" xfId="2300"/>
    <cellStyle name="_CCB.NX.Item 12.ProfitNAVRec.031121_ICBC PBC-Draft 12-9" xfId="2301"/>
    <cellStyle name="_CCB.NX.Item 12.ProfitNAVRec.031121_PBC-detail" xfId="2302"/>
    <cellStyle name="_CCB.NX.Item 12.ProfitNAVRec.031121_U section modify ref_12.13" xfId="2303"/>
    <cellStyle name="_CCB.NX.Item 12.ProfitNAVRec.031121_U section-3.22" xfId="2304"/>
    <cellStyle name="_CCB.NX.Item 12.ProfitNAVRec.031121_U section-3.23" xfId="2305"/>
    <cellStyle name="_CCB.NX.Item 12.ProfitNAVRec.031121_U100-PBC" xfId="2306"/>
    <cellStyle name="_CCB.QH.Item12..ProfitNAVRecon.031206-HL.ML" xfId="2307"/>
    <cellStyle name="_CCB.QH.Item12..ProfitNAVRecon.031206-HL.ML_CCB.Dec03AuditPack.GL.V2" xfId="2308"/>
    <cellStyle name="_CCB.QH.Item12..ProfitNAVRecon.031206-HL.ML_CCB.Dec03AuditPack.GL.V2_ICBC PBC-Draft 12-9" xfId="2309"/>
    <cellStyle name="_CCB.QH.Item12..ProfitNAVRecon.031206-HL.ML_CCB.Dec03AuditPack.GL.V2_PBC-detail" xfId="2310"/>
    <cellStyle name="_CCB.QH.Item12..ProfitNAVRecon.031206-HL.ML_CCB.Dec03AuditPack.GL.V2_U section modify ref_12.13" xfId="2311"/>
    <cellStyle name="_CCB.QH.Item12..ProfitNAVRecon.031206-HL.ML_CCB.Dec03AuditPack.GL.V2_U section-3.22" xfId="2312"/>
    <cellStyle name="_CCB.QH.Item12..ProfitNAVRecon.031206-HL.ML_CCB.Dec03AuditPack.GL.V2_U section-3.23" xfId="2313"/>
    <cellStyle name="_CCB.QH.Item12..ProfitNAVRecon.031206-HL.ML_CCB.Dec03AuditPack.GL.V2_U100-PBC" xfId="2314"/>
    <cellStyle name="_CCB.QH.Item12..ProfitNAVRecon.031206-HL.ML_CCB.HB.Item12.Housing Loan.ProfitNAVRecon.031218.JZ" xfId="2315"/>
    <cellStyle name="_CCB.QH.Item12..ProfitNAVRecon.031206-HL.ML_CCB.HB.Item12.Housing Loan.ProfitNAVRecon.031218.JZ_CCB.Dec03AuditPack.GL.V2" xfId="2316"/>
    <cellStyle name="_CCB.QH.Item12..ProfitNAVRecon.031206-HL.ML_CCB.HB.Item12.Housing Loan.ProfitNAVRecon.031218.JZ_CCB.Dec03AuditPack.GL.V2_ICBC PBC-Draft 12-9" xfId="2317"/>
    <cellStyle name="_CCB.QH.Item12..ProfitNAVRecon.031206-HL.ML_CCB.HB.Item12.Housing Loan.ProfitNAVRecon.031218.JZ_CCB.Dec03AuditPack.GL.V2_PBC-detail" xfId="2318"/>
    <cellStyle name="_CCB.QH.Item12..ProfitNAVRecon.031206-HL.ML_CCB.HB.Item12.Housing Loan.ProfitNAVRecon.031218.JZ_CCB.Dec03AuditPack.GL.V2_U section modify ref_12.13" xfId="2319"/>
    <cellStyle name="_CCB.QH.Item12..ProfitNAVRecon.031206-HL.ML_CCB.HB.Item12.Housing Loan.ProfitNAVRecon.031218.JZ_CCB.Dec03AuditPack.GL.V2_U section-3.22" xfId="2320"/>
    <cellStyle name="_CCB.QH.Item12..ProfitNAVRecon.031206-HL.ML_CCB.HB.Item12.Housing Loan.ProfitNAVRecon.031218.JZ_CCB.Dec03AuditPack.GL.V2_U section-3.23" xfId="2321"/>
    <cellStyle name="_CCB.QH.Item12..ProfitNAVRecon.031206-HL.ML_CCB.HB.Item12.Housing Loan.ProfitNAVRecon.031218.JZ_CCB.Dec03AuditPack.GL.V2_U100-PBC" xfId="2322"/>
    <cellStyle name="_CCB.QH.Item12..ProfitNAVRecon.031206-HL.ML_CCB.HB.Item12.Housing Loan.ProfitNAVRecon.031218.JZ_ICBC PBC-Draft 12-9" xfId="2323"/>
    <cellStyle name="_CCB.QH.Item12..ProfitNAVRecon.031206-HL.ML_CCB.HB.Item12.Housing Loan.ProfitNAVRecon.031218.JZ_PBC-detail" xfId="2324"/>
    <cellStyle name="_CCB.QH.Item12..ProfitNAVRecon.031206-HL.ML_CCB.HB.Item12.Housing Loan.ProfitNAVRecon.031218.JZ_U section modify ref_12.13" xfId="2325"/>
    <cellStyle name="_CCB.QH.Item12..ProfitNAVRecon.031206-HL.ML_CCB.HB.Item12.Housing Loan.ProfitNAVRecon.031218.JZ_U section-3.22" xfId="2326"/>
    <cellStyle name="_CCB.QH.Item12..ProfitNAVRecon.031206-HL.ML_CCB.HB.Item12.Housing Loan.ProfitNAVRecon.031218.JZ_U section-3.23" xfId="2327"/>
    <cellStyle name="_CCB.QH.Item12..ProfitNAVRecon.031206-HL.ML_CCB.HB.Item12.Housing Loan.ProfitNAVRecon.031218.JZ_U100-PBC" xfId="2328"/>
    <cellStyle name="_CCB.QH.Item12..ProfitNAVRecon.031206-HL.ML_CCB.HEN.Item12.F.ProfitNAVRecon.HL.031214.KL" xfId="2329"/>
    <cellStyle name="_CCB.QH.Item12..ProfitNAVRecon.031206-HL.ML_CCB.HEN.Item12.F.ProfitNAVRecon.HL.031214.KL_CCB.Dec03AuditPack.GL.V2" xfId="2330"/>
    <cellStyle name="_CCB.QH.Item12..ProfitNAVRecon.031206-HL.ML_CCB.HEN.Item12.F.ProfitNAVRecon.HL.031214.KL_CCB.Dec03AuditPack.GL.V2_ICBC PBC-Draft 12-9" xfId="2331"/>
    <cellStyle name="_CCB.QH.Item12..ProfitNAVRecon.031206-HL.ML_CCB.HEN.Item12.F.ProfitNAVRecon.HL.031214.KL_CCB.Dec03AuditPack.GL.V2_PBC-detail" xfId="2332"/>
    <cellStyle name="_CCB.QH.Item12..ProfitNAVRecon.031206-HL.ML_CCB.HEN.Item12.F.ProfitNAVRecon.HL.031214.KL_CCB.Dec03AuditPack.GL.V2_U section modify ref_12.13" xfId="2333"/>
    <cellStyle name="_CCB.QH.Item12..ProfitNAVRecon.031206-HL.ML_CCB.HEN.Item12.F.ProfitNAVRecon.HL.031214.KL_CCB.Dec03AuditPack.GL.V2_U section-3.22" xfId="2334"/>
    <cellStyle name="_CCB.QH.Item12..ProfitNAVRecon.031206-HL.ML_CCB.HEN.Item12.F.ProfitNAVRecon.HL.031214.KL_CCB.Dec03AuditPack.GL.V2_U section-3.23" xfId="2335"/>
    <cellStyle name="_CCB.QH.Item12..ProfitNAVRecon.031206-HL.ML_CCB.HEN.Item12.F.ProfitNAVRecon.HL.031214.KL_CCB.Dec03AuditPack.GL.V2_U100-PBC" xfId="2336"/>
    <cellStyle name="_CCB.QH.Item12..ProfitNAVRecon.031206-HL.ML_CCB.HEN.Item12.F.ProfitNAVRecon.HL.031214.KL_ICBC PBC-Draft 12-9" xfId="2337"/>
    <cellStyle name="_CCB.QH.Item12..ProfitNAVRecon.031206-HL.ML_CCB.HEN.Item12.F.ProfitNAVRecon.HL.031214.KL_PBC-detail" xfId="2338"/>
    <cellStyle name="_CCB.QH.Item12..ProfitNAVRecon.031206-HL.ML_CCB.HEN.Item12.F.ProfitNAVRecon.HL.031214.KL_U section modify ref_12.13" xfId="2339"/>
    <cellStyle name="_CCB.QH.Item12..ProfitNAVRecon.031206-HL.ML_CCB.HEN.Item12.F.ProfitNAVRecon.HL.031214.KL_U section-3.22" xfId="2340"/>
    <cellStyle name="_CCB.QH.Item12..ProfitNAVRecon.031206-HL.ML_CCB.HEN.Item12.F.ProfitNAVRecon.HL.031214.KL_U section-3.23" xfId="2341"/>
    <cellStyle name="_CCB.QH.Item12..ProfitNAVRecon.031206-HL.ML_CCB.HEN.Item12.F.ProfitNAVRecon.HL.031214.KL_U100-PBC" xfId="2342"/>
    <cellStyle name="_CCB.QH.Item12..ProfitNAVRecon.031206-HL.ML_CCB.HO.NAV Recon.HL.031222.AL" xfId="2343"/>
    <cellStyle name="_CCB.QH.Item12..ProfitNAVRecon.031206-HL.ML_CCB.HO.NAV Recon.HL.031222.AL_CCB.Dec03AuditPack.GL.V2" xfId="2344"/>
    <cellStyle name="_CCB.QH.Item12..ProfitNAVRecon.031206-HL.ML_CCB.HO.NAV Recon.HL.031222.AL_CCB.Dec03AuditPack.GL.V2_ICBC PBC-Draft 12-9" xfId="2345"/>
    <cellStyle name="_CCB.QH.Item12..ProfitNAVRecon.031206-HL.ML_CCB.HO.NAV Recon.HL.031222.AL_CCB.Dec03AuditPack.GL.V2_PBC-detail" xfId="2346"/>
    <cellStyle name="_CCB.QH.Item12..ProfitNAVRecon.031206-HL.ML_CCB.HO.NAV Recon.HL.031222.AL_CCB.Dec03AuditPack.GL.V2_U section modify ref_12.13" xfId="2347"/>
    <cellStyle name="_CCB.QH.Item12..ProfitNAVRecon.031206-HL.ML_CCB.HO.NAV Recon.HL.031222.AL_CCB.Dec03AuditPack.GL.V2_U section-3.22" xfId="2348"/>
    <cellStyle name="_CCB.QH.Item12..ProfitNAVRecon.031206-HL.ML_CCB.HO.NAV Recon.HL.031222.AL_CCB.Dec03AuditPack.GL.V2_U section-3.23" xfId="2349"/>
    <cellStyle name="_CCB.QH.Item12..ProfitNAVRecon.031206-HL.ML_CCB.HO.NAV Recon.HL.031222.AL_CCB.Dec03AuditPack.GL.V2_U100-PBC" xfId="2350"/>
    <cellStyle name="_CCB.QH.Item12..ProfitNAVRecon.031206-HL.ML_CCB.HO.NAV Recon.HL.031222.AL_ICBC PBC-Draft 12-9" xfId="2351"/>
    <cellStyle name="_CCB.QH.Item12..ProfitNAVRecon.031206-HL.ML_CCB.HO.NAV Recon.HL.031222.AL_PBC-detail" xfId="2352"/>
    <cellStyle name="_CCB.QH.Item12..ProfitNAVRecon.031206-HL.ML_CCB.HO.NAV Recon.HL.031222.AL_U section modify ref_12.13" xfId="2353"/>
    <cellStyle name="_CCB.QH.Item12..ProfitNAVRecon.031206-HL.ML_CCB.HO.NAV Recon.HL.031222.AL_U section-3.22" xfId="2354"/>
    <cellStyle name="_CCB.QH.Item12..ProfitNAVRecon.031206-HL.ML_CCB.HO.NAV Recon.HL.031222.AL_U section-3.23" xfId="2355"/>
    <cellStyle name="_CCB.QH.Item12..ProfitNAVRecon.031206-HL.ML_CCB.HO.NAV Recon.HL.031222.AL_U100-PBC" xfId="2356"/>
    <cellStyle name="_CCB.QH.Item12..ProfitNAVRecon.031206-HL.ML_CCB.HO.Profit Recon.HL.031222.AL" xfId="2357"/>
    <cellStyle name="_CCB.QH.Item12..ProfitNAVRecon.031206-HL.ML_CCB.HO.Profit Recon.HL.031222.AL_CCB.Dec03AuditPack.GL.V2" xfId="2358"/>
    <cellStyle name="_CCB.QH.Item12..ProfitNAVRecon.031206-HL.ML_CCB.HO.Profit Recon.HL.031222.AL_CCB.Dec03AuditPack.GL.V2_ICBC PBC-Draft 12-9" xfId="2359"/>
    <cellStyle name="_CCB.QH.Item12..ProfitNAVRecon.031206-HL.ML_CCB.HO.Profit Recon.HL.031222.AL_CCB.Dec03AuditPack.GL.V2_PBC-detail" xfId="2360"/>
    <cellStyle name="_CCB.QH.Item12..ProfitNAVRecon.031206-HL.ML_CCB.HO.Profit Recon.HL.031222.AL_CCB.Dec03AuditPack.GL.V2_U section modify ref_12.13" xfId="2361"/>
    <cellStyle name="_CCB.QH.Item12..ProfitNAVRecon.031206-HL.ML_CCB.HO.Profit Recon.HL.031222.AL_CCB.Dec03AuditPack.GL.V2_U section-3.22" xfId="2362"/>
    <cellStyle name="_CCB.QH.Item12..ProfitNAVRecon.031206-HL.ML_CCB.HO.Profit Recon.HL.031222.AL_CCB.Dec03AuditPack.GL.V2_U section-3.23" xfId="2363"/>
    <cellStyle name="_CCB.QH.Item12..ProfitNAVRecon.031206-HL.ML_CCB.HO.Profit Recon.HL.031222.AL_CCB.Dec03AuditPack.GL.V2_U100-PBC" xfId="2364"/>
    <cellStyle name="_CCB.QH.Item12..ProfitNAVRecon.031206-HL.ML_CCB.HO.Profit Recon.HL.031222.AL_ICBC PBC-Draft 12-9" xfId="2365"/>
    <cellStyle name="_CCB.QH.Item12..ProfitNAVRecon.031206-HL.ML_CCB.HO.Profit Recon.HL.031222.AL_PBC-detail" xfId="2366"/>
    <cellStyle name="_CCB.QH.Item12..ProfitNAVRecon.031206-HL.ML_CCB.HO.Profit Recon.HL.031222.AL_U section modify ref_12.13" xfId="2367"/>
    <cellStyle name="_CCB.QH.Item12..ProfitNAVRecon.031206-HL.ML_CCB.HO.Profit Recon.HL.031222.AL_U section-3.22" xfId="2368"/>
    <cellStyle name="_CCB.QH.Item12..ProfitNAVRecon.031206-HL.ML_CCB.HO.Profit Recon.HL.031222.AL_U section-3.23" xfId="2369"/>
    <cellStyle name="_CCB.QH.Item12..ProfitNAVRecon.031206-HL.ML_CCB.HO.Profit Recon.HL.031222.AL_U100-PBC" xfId="2370"/>
    <cellStyle name="_CCB.QH.Item12..ProfitNAVRecon.031206-HL.ML_CCB.JL.Item12.new NAV.031223" xfId="2371"/>
    <cellStyle name="_CCB.QH.Item12..ProfitNAVRecon.031206-HL.ML_CCB.JL.Item12.new NAV.031223_CCB.Dec03AuditPack.GL.V2" xfId="2372"/>
    <cellStyle name="_CCB.QH.Item12..ProfitNAVRecon.031206-HL.ML_CCB.JL.Item12.new NAV.031223_CCB.Dec03AuditPack.GL.V2_ICBC PBC-Draft 12-9" xfId="2373"/>
    <cellStyle name="_CCB.QH.Item12..ProfitNAVRecon.031206-HL.ML_CCB.JL.Item12.new NAV.031223_CCB.Dec03AuditPack.GL.V2_PBC-detail" xfId="2374"/>
    <cellStyle name="_CCB.QH.Item12..ProfitNAVRecon.031206-HL.ML_CCB.JL.Item12.new NAV.031223_CCB.Dec03AuditPack.GL.V2_U section modify ref_12.13" xfId="2375"/>
    <cellStyle name="_CCB.QH.Item12..ProfitNAVRecon.031206-HL.ML_CCB.JL.Item12.new NAV.031223_CCB.Dec03AuditPack.GL.V2_U section-3.22" xfId="2376"/>
    <cellStyle name="_CCB.QH.Item12..ProfitNAVRecon.031206-HL.ML_CCB.JL.Item12.new NAV.031223_CCB.Dec03AuditPack.GL.V2_U section-3.23" xfId="2377"/>
    <cellStyle name="_CCB.QH.Item12..ProfitNAVRecon.031206-HL.ML_CCB.JL.Item12.new NAV.031223_CCB.Dec03AuditPack.GL.V2_U100-PBC" xfId="2378"/>
    <cellStyle name="_CCB.QH.Item12..ProfitNAVRecon.031206-HL.ML_CCB.JL.Item12.new NAV.031223_ICBC PBC-Draft 12-9" xfId="2379"/>
    <cellStyle name="_CCB.QH.Item12..ProfitNAVRecon.031206-HL.ML_CCB.JL.Item12.new NAV.031223_PBC-detail" xfId="2380"/>
    <cellStyle name="_CCB.QH.Item12..ProfitNAVRecon.031206-HL.ML_CCB.JL.Item12.new NAV.031223_U section modify ref_12.13" xfId="2381"/>
    <cellStyle name="_CCB.QH.Item12..ProfitNAVRecon.031206-HL.ML_CCB.JL.Item12.new NAV.031223_U section-3.22" xfId="2382"/>
    <cellStyle name="_CCB.QH.Item12..ProfitNAVRecon.031206-HL.ML_CCB.JL.Item12.new NAV.031223_U section-3.23" xfId="2383"/>
    <cellStyle name="_CCB.QH.Item12..ProfitNAVRecon.031206-HL.ML_CCB.JL.Item12.new NAV.031223_U100-PBC" xfId="2384"/>
    <cellStyle name="_CCB.QH.Item12..ProfitNAVRecon.031206-HL.ML_ICBC PBC-Draft 12-9" xfId="2385"/>
    <cellStyle name="_CCB.QH.Item12..ProfitNAVRecon.031206-HL.ML_PBC-detail" xfId="2386"/>
    <cellStyle name="_CCB.QH.Item12..ProfitNAVRecon.031206-HL.ML_U section modify ref_12.13" xfId="2387"/>
    <cellStyle name="_CCB.QH.Item12..ProfitNAVRecon.031206-HL.ML_U section-3.22" xfId="2388"/>
    <cellStyle name="_CCB.QH.Item12..ProfitNAVRecon.031206-HL.ML_U section-3.23" xfId="2389"/>
    <cellStyle name="_CCB.QH.Item12..ProfitNAVRecon.031206-HL.ML_U100-PBC" xfId="2390"/>
    <cellStyle name="_CCB.SX.Item12.F.ProfitNAVRecon.031212.MS" xfId="2391"/>
    <cellStyle name="_CCB.SX.Item12.F.ProfitNAVRecon.031212.MS_CCB.Dec03AuditPack.GL.V2" xfId="2392"/>
    <cellStyle name="_CCB.SX.Item12.F.ProfitNAVRecon.031212.MS_CCB.Dec03AuditPack.GL.V2_ICBC PBC-Draft 12-9" xfId="2393"/>
    <cellStyle name="_CCB.SX.Item12.F.ProfitNAVRecon.031212.MS_CCB.Dec03AuditPack.GL.V2_PBC-detail" xfId="2394"/>
    <cellStyle name="_CCB.SX.Item12.F.ProfitNAVRecon.031212.MS_CCB.Dec03AuditPack.GL.V2_U section modify ref_12.13" xfId="2395"/>
    <cellStyle name="_CCB.SX.Item12.F.ProfitNAVRecon.031212.MS_CCB.Dec03AuditPack.GL.V2_U section-3.22" xfId="2396"/>
    <cellStyle name="_CCB.SX.Item12.F.ProfitNAVRecon.031212.MS_CCB.Dec03AuditPack.GL.V2_U section-3.23" xfId="2397"/>
    <cellStyle name="_CCB.SX.Item12.F.ProfitNAVRecon.031212.MS_CCB.Dec03AuditPack.GL.V2_U100-PBC" xfId="2398"/>
    <cellStyle name="_CCB.SX.Item12.F.ProfitNAVRecon.031212.MS_ICBC PBC-Draft 12-9" xfId="2399"/>
    <cellStyle name="_CCB.SX.Item12.F.ProfitNAVRecon.031212.MS_PBC-detail" xfId="2400"/>
    <cellStyle name="_CCB.SX.Item12.F.ProfitNAVRecon.031212.MS_U section modify ref_12.13" xfId="2401"/>
    <cellStyle name="_CCB.SX.Item12.F.ProfitNAVRecon.031212.MS_U section-3.22" xfId="2402"/>
    <cellStyle name="_CCB.SX.Item12.F.ProfitNAVRecon.031212.MS_U section-3.23" xfId="2403"/>
    <cellStyle name="_CCB.SX.Item12.F.ProfitNAVRecon.031212.MS_U100-PBC" xfId="2404"/>
    <cellStyle name="_CCB.SZ.item1.journal list.031110.DY" xfId="2405"/>
    <cellStyle name="_CCB.SZ.item1.journal list.031110.DY_CCB.Dec03AuditPack.GL.V2" xfId="2406"/>
    <cellStyle name="_CCB.SZ.item1.journal list.031110.DY_CCB.Dec03AuditPack.GL.V2_ICBC PBC-Draft 12-9" xfId="2407"/>
    <cellStyle name="_CCB.SZ.item1.journal list.031110.DY_CCB.Dec03AuditPack.GL.V2_PBC-detail" xfId="2408"/>
    <cellStyle name="_CCB.SZ.item1.journal list.031110.DY_CCB.Dec03AuditPack.GL.V2_U section modify ref_12.13" xfId="2409"/>
    <cellStyle name="_CCB.SZ.item1.journal list.031110.DY_CCB.Dec03AuditPack.GL.V2_U section-3.22" xfId="2410"/>
    <cellStyle name="_CCB.SZ.item1.journal list.031110.DY_CCB.Dec03AuditPack.GL.V2_U section-3.23" xfId="2411"/>
    <cellStyle name="_CCB.SZ.item1.journal list.031110.DY_CCB.Dec03AuditPack.GL.V2_U100-PBC" xfId="2412"/>
    <cellStyle name="_CCB.SZ.item1.journal list.031110.DY_ICBC PBC-Draft 12-9" xfId="2413"/>
    <cellStyle name="_CCB.SZ.item1.journal list.031110.DY_PBC-detail" xfId="2414"/>
    <cellStyle name="_CCB.SZ.item1.journal list.031110.DY_U section modify ref_12.13" xfId="2415"/>
    <cellStyle name="_CCB.SZ.item1.journal list.031110.DY_U section-3.22" xfId="2416"/>
    <cellStyle name="_CCB.SZ.item1.journal list.031110.DY_U section-3.23" xfId="2417"/>
    <cellStyle name="_CCB.SZ.item1.journal list.031110.DY_U100-PBC" xfId="2418"/>
    <cellStyle name="_CCB.SZ.reporting Pack.031110.DY" xfId="2419"/>
    <cellStyle name="_CCB.SZ.reporting Pack.031110.DY_CCB.Dec03AuditPack.GL.V2" xfId="2420"/>
    <cellStyle name="_CCB.SZ.reporting Pack.031110.DY_CCB.Dec03AuditPack.GL.V2_ICBC PBC-Draft 12-9" xfId="2421"/>
    <cellStyle name="_CCB.SZ.reporting Pack.031110.DY_CCB.Dec03AuditPack.GL.V2_PBC-detail" xfId="2422"/>
    <cellStyle name="_CCB.SZ.reporting Pack.031110.DY_CCB.Dec03AuditPack.GL.V2_U section modify ref_12.13" xfId="2423"/>
    <cellStyle name="_CCB.SZ.reporting Pack.031110.DY_CCB.Dec03AuditPack.GL.V2_U section-3.22" xfId="2424"/>
    <cellStyle name="_CCB.SZ.reporting Pack.031110.DY_CCB.Dec03AuditPack.GL.V2_U section-3.23" xfId="2425"/>
    <cellStyle name="_CCB.SZ.reporting Pack.031110.DY_CCB.Dec03AuditPack.GL.V2_U100-PBC" xfId="2426"/>
    <cellStyle name="_CCB.SZ.reporting Pack.031110.DY_ICBC PBC-Draft 12-9" xfId="2427"/>
    <cellStyle name="_CCB.SZ.reporting Pack.031110.DY_PBC-detail" xfId="2428"/>
    <cellStyle name="_CCB.SZ.reporting Pack.031110.DY_U section modify ref_12.13" xfId="2429"/>
    <cellStyle name="_CCB.SZ.reporting Pack.031110.DY_U section-3.22" xfId="2430"/>
    <cellStyle name="_CCB.SZ.reporting Pack.031110.DY_U section-3.23" xfId="2431"/>
    <cellStyle name="_CCB.SZ.reporting Pack.031110.DY_U100-PBC" xfId="2432"/>
    <cellStyle name="_Chengdu-Jiwu- Reporting Package" xfId="2433"/>
    <cellStyle name="_Currency Concentration" xfId="2434"/>
    <cellStyle name="_Current account breakdown" xfId="2435"/>
    <cellStyle name="_current account-CDJW" xfId="2436"/>
    <cellStyle name="_current account-CDJW_H_equity investment" xfId="2437"/>
    <cellStyle name="_current account-CDJW_H_equity investment_Revised PBC 15-17" xfId="2438"/>
    <cellStyle name="_current account-CDJW_Revised PBC 15-17" xfId="2439"/>
    <cellStyle name="_current account--CD-updated-Dec 21" xfId="2440"/>
    <cellStyle name="_ET_STYLE_NoName_00_" xfId="2441"/>
    <cellStyle name="_ET_STYLE_NoName_00_ 2" xfId="2442"/>
    <cellStyle name="_ET_STYLE_NoName_00__Branch Template of U working paper(081031)" xfId="2443"/>
    <cellStyle name="_ET_STYLE_NoName_00__Copy of Book5 (2)" xfId="2444"/>
    <cellStyle name="_ET_STYLE_NoName_00__Sheet1" xfId="2445"/>
    <cellStyle name="_ET_STYLE_NoName_00__Worksheet in 5640M-3A 全行账外固定资产_20070911" xfId="2446"/>
    <cellStyle name="_ET_STYLE_NoName_00__Yield wp template(081031)" xfId="2447"/>
    <cellStyle name="_ET_STYLE_NoName_00__处置及低值易品汇总" xfId="2448"/>
    <cellStyle name="_ET_STYLE_NoName_00__处置及低值易品汇总_账外固定资产汇总调整20071009" xfId="2449"/>
    <cellStyle name="_ET_STYLE_NoName_00__处置及低值易品汇总_账外固定资产汇总调整20071009_Copy of Book5 (2)" xfId="2450"/>
    <cellStyle name="_ET_STYLE_NoName_00__待报废固定资产测试1024 D" xfId="2451"/>
    <cellStyle name="_ET_STYLE_NoName_00__附表（代理折算日均存款）" xfId="2452"/>
    <cellStyle name="_ET_STYLE_NoName_00__固定资产（出纳机具）盘亏报废明细表_4" xfId="2453"/>
    <cellStyle name="_ET_STYLE_NoName_00__逆回购" xfId="2454"/>
    <cellStyle name="_ET_STYLE_NoName_00__盘亏固定资产" xfId="2455"/>
    <cellStyle name="_ET_STYLE_NoName_00__盘亏固定资产_1" xfId="2456"/>
    <cellStyle name="_ET_STYLE_NoName_00__盘亏固定资产_1_Sheet1" xfId="2457"/>
    <cellStyle name="_ET_STYLE_NoName_00__盘亏固定资产_1_待报废固定资产测试1024 D" xfId="2458"/>
    <cellStyle name="_ET_STYLE_NoName_00__盘亏固定资产_1_全行待报废明细汇总1011" xfId="2459"/>
    <cellStyle name="_ET_STYLE_NoName_00__盘亏固定资产_1_全行待报废明细汇总1011 (version 1) (version 1)" xfId="2460"/>
    <cellStyle name="_ET_STYLE_NoName_00__盘亏固定资产_1_全行待报废明细汇总1011_全行待报废明细汇总1011 (version 1) (version 1)-zhb" xfId="2461"/>
    <cellStyle name="_ET_STYLE_NoName_00__盘亏固定资产_1_全行待报废明细汇总1011_全行待报废明细汇总1011 (version 1) (version 1)-zhb_Sheet1" xfId="2462"/>
    <cellStyle name="_ET_STYLE_NoName_00__盘亏固定资产_1_全行待报废明细汇总1011_全行待报废明细汇总1011 (version 1) (version 1)-zhb_待报废固定资产测试1024 D" xfId="2463"/>
    <cellStyle name="_ET_STYLE_NoName_00__盘亏固定资产_3" xfId="2464"/>
    <cellStyle name="_ET_STYLE_NoName_00__盘亏固定资产_3_Sheet1" xfId="2465"/>
    <cellStyle name="_ET_STYLE_NoName_00__盘亏固定资产_3_待报废固定资产测试1024 D" xfId="2466"/>
    <cellStyle name="_ET_STYLE_NoName_00__盘亏固定资产_3_全行待报废明细汇总1011" xfId="2467"/>
    <cellStyle name="_ET_STYLE_NoName_00__盘亏固定资产_3_全行待报废明细汇总1011 (version 1) (version 1)" xfId="2468"/>
    <cellStyle name="_ET_STYLE_NoName_00__盘亏固定资产_3_全行待报废明细汇总1011_全行待报废明细汇总1011 (version 1) (version 1)-zhb" xfId="2469"/>
    <cellStyle name="_ET_STYLE_NoName_00__盘亏固定资产_3_全行待报废明细汇总1011_全行待报废明细汇总1011 (version 1) (version 1)-zhb_Sheet1" xfId="2470"/>
    <cellStyle name="_ET_STYLE_NoName_00__盘亏固定资产_3_全行待报废明细汇总1011_全行待报废明细汇总1011 (version 1) (version 1)-zhb_待报废固定资产测试1024 D" xfId="2471"/>
    <cellStyle name="_ET_STYLE_NoName_00__盘亏固定资产_Sheet1" xfId="2472"/>
    <cellStyle name="_ET_STYLE_NoName_00__盘亏固定资产_待报废固定资产测试1024 D" xfId="2473"/>
    <cellStyle name="_ET_STYLE_NoName_00__盘亏固定资产_全行待报废明细汇总1011" xfId="2474"/>
    <cellStyle name="_ET_STYLE_NoName_00__盘亏固定资产_全行待报废明细汇总1011 (version 1) (version 1)" xfId="2475"/>
    <cellStyle name="_ET_STYLE_NoName_00__盘亏固定资产_全行待报废明细汇总1011_全行待报废明细汇总1011 (version 1) (version 1)-zhb" xfId="2476"/>
    <cellStyle name="_ET_STYLE_NoName_00__盘亏固定资产_全行待报废明细汇总1011_全行待报废明细汇总1011 (version 1) (version 1)-zhb_Sheet1" xfId="2477"/>
    <cellStyle name="_ET_STYLE_NoName_00__盘亏固定资产_全行待报废明细汇总1011_全行待报废明细汇总1011 (version 1) (version 1)-zhb_待报废固定资产测试1024 D" xfId="2478"/>
    <cellStyle name="_ET_STYLE_NoName_00__全行待报废明细汇总1011" xfId="2479"/>
    <cellStyle name="_ET_STYLE_NoName_00__全行待报废明细汇总1011 (version 1) (version 1)" xfId="2480"/>
    <cellStyle name="_ET_STYLE_NoName_00__全行待报废明细汇总1011_全行待报废明细汇总1011 (version 1) (version 1)-zhb" xfId="2481"/>
    <cellStyle name="_ET_STYLE_NoName_00__全行待报废明细汇总1011_全行待报废明细汇总1011 (version 1) (version 1)-zhb_Sheet1" xfId="2482"/>
    <cellStyle name="_ET_STYLE_NoName_00__全行待报废明细汇总1011_全行待报废明细汇总1011 (version 1) (version 1)-zhb_待报废固定资产测试1024 D" xfId="2483"/>
    <cellStyle name="_ET_STYLE_NoName_00__需报废资产" xfId="2484"/>
    <cellStyle name="_ET_STYLE_NoName_00__需报废资产_1" xfId="2485"/>
    <cellStyle name="_ET_STYLE_NoName_00__需报废资产_1_Sheet1" xfId="2486"/>
    <cellStyle name="_ET_STYLE_NoName_00__需报废资产_1_待报废固定资产测试1024 D" xfId="2487"/>
    <cellStyle name="_ET_STYLE_NoName_00__需报废资产_1_全行待报废明细汇总1011" xfId="2488"/>
    <cellStyle name="_ET_STYLE_NoName_00__需报废资产_1_全行待报废明细汇总1011 (version 1) (version 1)" xfId="2489"/>
    <cellStyle name="_ET_STYLE_NoName_00__需报废资产_1_全行待报废明细汇总1011_全行待报废明细汇总1011 (version 1) (version 1)-zhb" xfId="2490"/>
    <cellStyle name="_ET_STYLE_NoName_00__需报废资产_1_全行待报废明细汇总1011_全行待报废明细汇总1011 (version 1) (version 1)-zhb_Sheet1" xfId="2491"/>
    <cellStyle name="_ET_STYLE_NoName_00__需报废资产_1_全行待报废明细汇总1011_全行待报废明细汇总1011 (version 1) (version 1)-zhb_待报废固定资产测试1024 D" xfId="2492"/>
    <cellStyle name="_ET_STYLE_NoName_00__需报废资产_2" xfId="2493"/>
    <cellStyle name="_ET_STYLE_NoName_00__需报废资产_2_Sheet1" xfId="2494"/>
    <cellStyle name="_ET_STYLE_NoName_00__需报废资产_2_待报废固定资产测试1024 D" xfId="2495"/>
    <cellStyle name="_ET_STYLE_NoName_00__需报废资产_2_全行待报废明细汇总1011" xfId="2496"/>
    <cellStyle name="_ET_STYLE_NoName_00__需报废资产_2_全行待报废明细汇总1011 (version 1) (version 1)" xfId="2497"/>
    <cellStyle name="_ET_STYLE_NoName_00__需报废资产_2_全行待报废明细汇总1011_全行待报废明细汇总1011 (version 1) (version 1)-zhb" xfId="2498"/>
    <cellStyle name="_ET_STYLE_NoName_00__需报废资产_2_全行待报废明细汇总1011_全行待报废明细汇总1011 (version 1) (version 1)-zhb_Sheet1" xfId="2499"/>
    <cellStyle name="_ET_STYLE_NoName_00__需报废资产_2_全行待报废明细汇总1011_全行待报废明细汇总1011 (version 1) (version 1)-zhb_待报废固定资产测试1024 D" xfId="2500"/>
    <cellStyle name="_ET_STYLE_NoName_00__需报废资产_3" xfId="2501"/>
    <cellStyle name="_ET_STYLE_NoName_00__需报废资产_3_Sheet1" xfId="2502"/>
    <cellStyle name="_ET_STYLE_NoName_00__需报废资产_3_待报废固定资产测试1024 D" xfId="2503"/>
    <cellStyle name="_ET_STYLE_NoName_00__需报废资产_3_全行待报废明细汇总1011" xfId="2504"/>
    <cellStyle name="_ET_STYLE_NoName_00__需报废资产_3_全行待报废明细汇总1011 (version 1) (version 1)" xfId="2505"/>
    <cellStyle name="_ET_STYLE_NoName_00__需报废资产_3_全行待报废明细汇总1011_全行待报废明细汇总1011 (version 1) (version 1)-zhb" xfId="2506"/>
    <cellStyle name="_ET_STYLE_NoName_00__需报废资产_3_全行待报废明细汇总1011_全行待报废明细汇总1011 (version 1) (version 1)-zhb_Sheet1" xfId="2507"/>
    <cellStyle name="_ET_STYLE_NoName_00__需报废资产_3_全行待报废明细汇总1011_全行待报废明细汇总1011 (version 1) (version 1)-zhb_待报废固定资产测试1024 D" xfId="2508"/>
    <cellStyle name="_ET_STYLE_NoName_00__需报废资产_Sheet1" xfId="2509"/>
    <cellStyle name="_ET_STYLE_NoName_00__需报废资产_待报废固定资产测试1024 D" xfId="2510"/>
    <cellStyle name="_ET_STYLE_NoName_00__需报废资产_全行待报废明细汇总1011" xfId="2511"/>
    <cellStyle name="_ET_STYLE_NoName_00__需报废资产_全行待报废明细汇总1011 (version 1) (version 1)" xfId="2512"/>
    <cellStyle name="_ET_STYLE_NoName_00__需报废资产_全行待报废明细汇总1011_全行待报废明细汇总1011 (version 1) (version 1)-zhb" xfId="2513"/>
    <cellStyle name="_ET_STYLE_NoName_00__需报废资产_全行待报废明细汇总1011_全行待报废明细汇总1011 (version 1) (version 1)-zhb_Sheet1" xfId="2514"/>
    <cellStyle name="_ET_STYLE_NoName_00__需报废资产_全行待报废明细汇总1011_全行待报废明细汇总1011 (version 1) (version 1)-zhb_待报废固定资产测试1024 D" xfId="2515"/>
    <cellStyle name="_ET_STYLE_NoName_00__账外固定资产0904" xfId="2516"/>
    <cellStyle name="_ET_STYLE_NoName_00__账外固定资产0904_账外固定资产汇总调整20071009" xfId="2517"/>
    <cellStyle name="_ET_STYLE_NoName_00__账外固定资产0904_账外固定资产汇总调整20071009_Copy of Book5 (2)" xfId="2518"/>
    <cellStyle name="_ET_STYLE_NoName_00__整体贡献度" xfId="2519"/>
    <cellStyle name="_ET_STYLE_NoName_00__指标完成率" xfId="2520"/>
    <cellStyle name="_F - Inventories" xfId="2521"/>
    <cellStyle name="_F - Inventories_COMBINED DETAILS-2" xfId="2522"/>
    <cellStyle name="_F - Inventories_H conso working-bonds details-2005630-v2" xfId="2523"/>
    <cellStyle name="_H_equity investment" xfId="2524"/>
    <cellStyle name="_HO CB OJE核对0529" xfId="2525"/>
    <cellStyle name="_IAS Adjustments011231" xfId="2526"/>
    <cellStyle name="_IAS Adjustments011231_Branch Template of U working paper(081031)" xfId="2527"/>
    <cellStyle name="_IAS Adjustments011231_CCB.Dec03AuditPack.GL.V2" xfId="2528"/>
    <cellStyle name="_IAS Adjustments011231_CCB.Dec03AuditPack.GL.V2_Branch Template of U working paper(081031)" xfId="2529"/>
    <cellStyle name="_IAS Adjustments011231_CCB.Dec03AuditPack.GL.V2_ICBC PBC-Draft 12-9" xfId="2530"/>
    <cellStyle name="_IAS Adjustments011231_CCB.Dec03AuditPack.GL.V2_PBC-detail" xfId="2531"/>
    <cellStyle name="_IAS Adjustments011231_CCB.Dec03AuditPack.GL.V2_U section modify ref_12.13" xfId="2532"/>
    <cellStyle name="_IAS Adjustments011231_CCB.Dec03AuditPack.GL.V2_U section-3.22" xfId="2533"/>
    <cellStyle name="_IAS Adjustments011231_CCB.Dec03AuditPack.GL.V2_U section-3.23" xfId="2534"/>
    <cellStyle name="_IAS Adjustments011231_CCB.Dec03AuditPack.GL.V2_U100-PBC" xfId="2535"/>
    <cellStyle name="_IAS Adjustments011231_CCB.Dec03AuditPack.GL.V2_Yield wp template(081031)" xfId="2536"/>
    <cellStyle name="_IAS Adjustments011231_CCB.GLAudit Package.040114" xfId="2537"/>
    <cellStyle name="_IAS Adjustments011231_CCB.GLAudit Package.040114_Branch Template of U working paper(081031)" xfId="2538"/>
    <cellStyle name="_IAS Adjustments011231_CCB.GLAudit Package.040114_CCB.Dec03AuditPack.GL.V2" xfId="2539"/>
    <cellStyle name="_IAS Adjustments011231_CCB.GLAudit Package.040114_CCB.Dec03AuditPack.GL.V2_Branch Template of U working paper(081031)" xfId="2540"/>
    <cellStyle name="_IAS Adjustments011231_CCB.GLAudit Package.040114_CCB.Dec03AuditPack.GL.V2_ICBC PBC-Draft 12-9" xfId="2541"/>
    <cellStyle name="_IAS Adjustments011231_CCB.GLAudit Package.040114_CCB.Dec03AuditPack.GL.V2_PBC-detail" xfId="2542"/>
    <cellStyle name="_IAS Adjustments011231_CCB.GLAudit Package.040114_CCB.Dec03AuditPack.GL.V2_U section modify ref_12.13" xfId="2543"/>
    <cellStyle name="_IAS Adjustments011231_CCB.GLAudit Package.040114_CCB.Dec03AuditPack.GL.V2_U section-3.22" xfId="2544"/>
    <cellStyle name="_IAS Adjustments011231_CCB.GLAudit Package.040114_CCB.Dec03AuditPack.GL.V2_U section-3.23" xfId="2545"/>
    <cellStyle name="_IAS Adjustments011231_CCB.GLAudit Package.040114_CCB.Dec03AuditPack.GL.V2_U100-PBC" xfId="2546"/>
    <cellStyle name="_IAS Adjustments011231_CCB.GLAudit Package.040114_CCB.Dec03AuditPack.GL.V2_Yield wp template(081031)" xfId="2547"/>
    <cellStyle name="_IAS Adjustments011231_CCB.GLAudit Package.040114_ICBC PBC-Draft 12-9" xfId="2548"/>
    <cellStyle name="_IAS Adjustments011231_CCB.GLAudit Package.040114_PBC-detail" xfId="2549"/>
    <cellStyle name="_IAS Adjustments011231_CCB.GLAudit Package.040114_U section modify ref_12.13" xfId="2550"/>
    <cellStyle name="_IAS Adjustments011231_CCB.GLAudit Package.040114_U section-3.22" xfId="2551"/>
    <cellStyle name="_IAS Adjustments011231_CCB.GLAudit Package.040114_U section-3.23" xfId="2552"/>
    <cellStyle name="_IAS Adjustments011231_CCB.GLAudit Package.040114_U100-PBC" xfId="2553"/>
    <cellStyle name="_IAS Adjustments011231_CCB.GLAudit Package.040114_Yield wp template(081031)" xfId="2554"/>
    <cellStyle name="_IAS Adjustments011231_CCB.HO.New TB template.CCB PRC IAS Sorting.040223 trial run" xfId="2555"/>
    <cellStyle name="_IAS Adjustments011231_CCB.HO.New TB template.CCB PRC IAS Sorting.040223 trial run_Branch Template of U working paper(081031)" xfId="2556"/>
    <cellStyle name="_IAS Adjustments011231_CCB.HO.New TB template.CCB PRC IAS Sorting.040223 trial run_CCB.Dec03AuditPack.GL.V2" xfId="2557"/>
    <cellStyle name="_IAS Adjustments011231_CCB.HO.New TB template.CCB PRC IAS Sorting.040223 trial run_CCB.Dec03AuditPack.GL.V2_Branch Template of U working paper(081031)" xfId="2558"/>
    <cellStyle name="_IAS Adjustments011231_CCB.HO.New TB template.CCB PRC IAS Sorting.040223 trial run_CCB.Dec03AuditPack.GL.V2_ICBC PBC-Draft 12-9" xfId="2559"/>
    <cellStyle name="_IAS Adjustments011231_CCB.HO.New TB template.CCB PRC IAS Sorting.040223 trial run_CCB.Dec03AuditPack.GL.V2_PBC-detail" xfId="2560"/>
    <cellStyle name="_IAS Adjustments011231_CCB.HO.New TB template.CCB PRC IAS Sorting.040223 trial run_CCB.Dec03AuditPack.GL.V2_U section modify ref_12.13" xfId="2561"/>
    <cellStyle name="_IAS Adjustments011231_CCB.HO.New TB template.CCB PRC IAS Sorting.040223 trial run_CCB.Dec03AuditPack.GL.V2_U section-3.22" xfId="2562"/>
    <cellStyle name="_IAS Adjustments011231_CCB.HO.New TB template.CCB PRC IAS Sorting.040223 trial run_CCB.Dec03AuditPack.GL.V2_U section-3.23" xfId="2563"/>
    <cellStyle name="_IAS Adjustments011231_CCB.HO.New TB template.CCB PRC IAS Sorting.040223 trial run_CCB.Dec03AuditPack.GL.V2_U100-PBC" xfId="2564"/>
    <cellStyle name="_IAS Adjustments011231_CCB.HO.New TB template.CCB PRC IAS Sorting.040223 trial run_CCB.Dec03AuditPack.GL.V2_Yield wp template(081031)" xfId="2565"/>
    <cellStyle name="_IAS Adjustments011231_CCB.HO.New TB template.CCB PRC IAS Sorting.040223 trial run_ICBC PBC-Draft 12-9" xfId="2566"/>
    <cellStyle name="_IAS Adjustments011231_CCB.HO.New TB template.CCB PRC IAS Sorting.040223 trial run_PBC-detail" xfId="2567"/>
    <cellStyle name="_IAS Adjustments011231_CCB.HO.New TB template.CCB PRC IAS Sorting.040223 trial run_U section modify ref_12.13" xfId="2568"/>
    <cellStyle name="_IAS Adjustments011231_CCB.HO.New TB template.CCB PRC IAS Sorting.040223 trial run_U section-3.22" xfId="2569"/>
    <cellStyle name="_IAS Adjustments011231_CCB.HO.New TB template.CCB PRC IAS Sorting.040223 trial run_U section-3.23" xfId="2570"/>
    <cellStyle name="_IAS Adjustments011231_CCB.HO.New TB template.CCB PRC IAS Sorting.040223 trial run_U100-PBC" xfId="2571"/>
    <cellStyle name="_IAS Adjustments011231_CCB.HO.New TB template.CCB PRC IAS Sorting.040223 trial run_Yield wp template(081031)" xfId="2572"/>
    <cellStyle name="_IAS Adjustments011231_CCB.HO.New TB template.IAS Sorting.040210" xfId="2573"/>
    <cellStyle name="_IAS Adjustments011231_CCB.HO.New TB template.IAS Sorting.040210_Branch Template of U working paper(081031)" xfId="2574"/>
    <cellStyle name="_IAS Adjustments011231_CCB.HO.New TB template.IAS Sorting.040210_CCB.Dec03AuditPack.GL.V2" xfId="2575"/>
    <cellStyle name="_IAS Adjustments011231_CCB.HO.New TB template.IAS Sorting.040210_CCB.Dec03AuditPack.GL.V2_Branch Template of U working paper(081031)" xfId="2576"/>
    <cellStyle name="_IAS Adjustments011231_CCB.HO.New TB template.IAS Sorting.040210_CCB.Dec03AuditPack.GL.V2_ICBC PBC-Draft 12-9" xfId="2577"/>
    <cellStyle name="_IAS Adjustments011231_CCB.HO.New TB template.IAS Sorting.040210_CCB.Dec03AuditPack.GL.V2_PBC-detail" xfId="2578"/>
    <cellStyle name="_IAS Adjustments011231_CCB.HO.New TB template.IAS Sorting.040210_CCB.Dec03AuditPack.GL.V2_U section modify ref_12.13" xfId="2579"/>
    <cellStyle name="_IAS Adjustments011231_CCB.HO.New TB template.IAS Sorting.040210_CCB.Dec03AuditPack.GL.V2_U section-3.22" xfId="2580"/>
    <cellStyle name="_IAS Adjustments011231_CCB.HO.New TB template.IAS Sorting.040210_CCB.Dec03AuditPack.GL.V2_U section-3.23" xfId="2581"/>
    <cellStyle name="_IAS Adjustments011231_CCB.HO.New TB template.IAS Sorting.040210_CCB.Dec03AuditPack.GL.V2_U100-PBC" xfId="2582"/>
    <cellStyle name="_IAS Adjustments011231_CCB.HO.New TB template.IAS Sorting.040210_CCB.Dec03AuditPack.GL.V2_Yield wp template(081031)" xfId="2583"/>
    <cellStyle name="_IAS Adjustments011231_CCB.HO.New TB template.IAS Sorting.040210_ICBC PBC-Draft 12-9" xfId="2584"/>
    <cellStyle name="_IAS Adjustments011231_CCB.HO.New TB template.IAS Sorting.040210_PBC-detail" xfId="2585"/>
    <cellStyle name="_IAS Adjustments011231_CCB.HO.New TB template.IAS Sorting.040210_U section modify ref_12.13" xfId="2586"/>
    <cellStyle name="_IAS Adjustments011231_CCB.HO.New TB template.IAS Sorting.040210_U section-3.22" xfId="2587"/>
    <cellStyle name="_IAS Adjustments011231_CCB.HO.New TB template.IAS Sorting.040210_U section-3.23" xfId="2588"/>
    <cellStyle name="_IAS Adjustments011231_CCB.HO.New TB template.IAS Sorting.040210_U100-PBC" xfId="2589"/>
    <cellStyle name="_IAS Adjustments011231_CCB.HO.New TB template.IAS Sorting.040210_Yield wp template(081031)" xfId="2590"/>
    <cellStyle name="_IAS Adjustments011231_CCB.HO.New TB template.PRC Sorting.040210" xfId="2591"/>
    <cellStyle name="_IAS Adjustments011231_CCB.HO.New TB template.PRC Sorting.040210_Branch Template of U working paper(081031)" xfId="2592"/>
    <cellStyle name="_IAS Adjustments011231_CCB.HO.New TB template.PRC Sorting.040210_CCB.Dec03AuditPack.GL.V2" xfId="2593"/>
    <cellStyle name="_IAS Adjustments011231_CCB.HO.New TB template.PRC Sorting.040210_CCB.Dec03AuditPack.GL.V2_Branch Template of U working paper(081031)" xfId="2594"/>
    <cellStyle name="_IAS Adjustments011231_CCB.HO.New TB template.PRC Sorting.040210_CCB.Dec03AuditPack.GL.V2_ICBC PBC-Draft 12-9" xfId="2595"/>
    <cellStyle name="_IAS Adjustments011231_CCB.HO.New TB template.PRC Sorting.040210_CCB.Dec03AuditPack.GL.V2_PBC-detail" xfId="2596"/>
    <cellStyle name="_IAS Adjustments011231_CCB.HO.New TB template.PRC Sorting.040210_CCB.Dec03AuditPack.GL.V2_U section modify ref_12.13" xfId="2597"/>
    <cellStyle name="_IAS Adjustments011231_CCB.HO.New TB template.PRC Sorting.040210_CCB.Dec03AuditPack.GL.V2_U section-3.22" xfId="2598"/>
    <cellStyle name="_IAS Adjustments011231_CCB.HO.New TB template.PRC Sorting.040210_CCB.Dec03AuditPack.GL.V2_U section-3.23" xfId="2599"/>
    <cellStyle name="_IAS Adjustments011231_CCB.HO.New TB template.PRC Sorting.040210_CCB.Dec03AuditPack.GL.V2_U100-PBC" xfId="2600"/>
    <cellStyle name="_IAS Adjustments011231_CCB.HO.New TB template.PRC Sorting.040210_CCB.Dec03AuditPack.GL.V2_Yield wp template(081031)" xfId="2601"/>
    <cellStyle name="_IAS Adjustments011231_CCB.HO.New TB template.PRC Sorting.040210_ICBC PBC-Draft 12-9" xfId="2602"/>
    <cellStyle name="_IAS Adjustments011231_CCB.HO.New TB template.PRC Sorting.040210_PBC-detail" xfId="2603"/>
    <cellStyle name="_IAS Adjustments011231_CCB.HO.New TB template.PRC Sorting.040210_U section modify ref_12.13" xfId="2604"/>
    <cellStyle name="_IAS Adjustments011231_CCB.HO.New TB template.PRC Sorting.040210_U section-3.22" xfId="2605"/>
    <cellStyle name="_IAS Adjustments011231_CCB.HO.New TB template.PRC Sorting.040210_U section-3.23" xfId="2606"/>
    <cellStyle name="_IAS Adjustments011231_CCB.HO.New TB template.PRC Sorting.040210_U100-PBC" xfId="2607"/>
    <cellStyle name="_IAS Adjustments011231_CCB.HO.New TB template.PRC Sorting.040210_Yield wp template(081031)" xfId="2608"/>
    <cellStyle name="_IAS Adjustments011231_ICBC PBC-Draft 12-9" xfId="2609"/>
    <cellStyle name="_IAS Adjustments011231_PBC-detail" xfId="2610"/>
    <cellStyle name="_IAS Adjustments011231_U section modify ref_12.13" xfId="2611"/>
    <cellStyle name="_IAS Adjustments011231_U section-3.22" xfId="2612"/>
    <cellStyle name="_IAS Adjustments011231_U section-3.23" xfId="2613"/>
    <cellStyle name="_IAS Adjustments011231_U100-PBC" xfId="2614"/>
    <cellStyle name="_IAS Adjustments011231_Yield wp template(081031)" xfId="2615"/>
    <cellStyle name="_IAS Adjustments021231" xfId="2616"/>
    <cellStyle name="_IAS Adjustments021231_Branch Template of U working paper(081031)" xfId="2617"/>
    <cellStyle name="_IAS Adjustments021231_CCB.Dec03AuditPack.GL.V2" xfId="2618"/>
    <cellStyle name="_IAS Adjustments021231_CCB.Dec03AuditPack.GL.V2_Branch Template of U working paper(081031)" xfId="2619"/>
    <cellStyle name="_IAS Adjustments021231_CCB.Dec03AuditPack.GL.V2_ICBC PBC-Draft 12-9" xfId="2620"/>
    <cellStyle name="_IAS Adjustments021231_CCB.Dec03AuditPack.GL.V2_PBC-detail" xfId="2621"/>
    <cellStyle name="_IAS Adjustments021231_CCB.Dec03AuditPack.GL.V2_U section modify ref_12.13" xfId="2622"/>
    <cellStyle name="_IAS Adjustments021231_CCB.Dec03AuditPack.GL.V2_U section-3.22" xfId="2623"/>
    <cellStyle name="_IAS Adjustments021231_CCB.Dec03AuditPack.GL.V2_U section-3.23" xfId="2624"/>
    <cellStyle name="_IAS Adjustments021231_CCB.Dec03AuditPack.GL.V2_U100-PBC" xfId="2625"/>
    <cellStyle name="_IAS Adjustments021231_CCB.Dec03AuditPack.GL.V2_Yield wp template(081031)" xfId="2626"/>
    <cellStyle name="_IAS Adjustments021231_CCB.GLAudit Package.040114" xfId="2627"/>
    <cellStyle name="_IAS Adjustments021231_CCB.GLAudit Package.040114_Branch Template of U working paper(081031)" xfId="2628"/>
    <cellStyle name="_IAS Adjustments021231_CCB.GLAudit Package.040114_CCB.Dec03AuditPack.GL.V2" xfId="2629"/>
    <cellStyle name="_IAS Adjustments021231_CCB.GLAudit Package.040114_CCB.Dec03AuditPack.GL.V2_Branch Template of U working paper(081031)" xfId="2630"/>
    <cellStyle name="_IAS Adjustments021231_CCB.GLAudit Package.040114_CCB.Dec03AuditPack.GL.V2_ICBC PBC-Draft 12-9" xfId="2631"/>
    <cellStyle name="_IAS Adjustments021231_CCB.GLAudit Package.040114_CCB.Dec03AuditPack.GL.V2_PBC-detail" xfId="2632"/>
    <cellStyle name="_IAS Adjustments021231_CCB.GLAudit Package.040114_CCB.Dec03AuditPack.GL.V2_U section modify ref_12.13" xfId="2633"/>
    <cellStyle name="_IAS Adjustments021231_CCB.GLAudit Package.040114_CCB.Dec03AuditPack.GL.V2_U section-3.22" xfId="2634"/>
    <cellStyle name="_IAS Adjustments021231_CCB.GLAudit Package.040114_CCB.Dec03AuditPack.GL.V2_U section-3.23" xfId="2635"/>
    <cellStyle name="_IAS Adjustments021231_CCB.GLAudit Package.040114_CCB.Dec03AuditPack.GL.V2_U100-PBC" xfId="2636"/>
    <cellStyle name="_IAS Adjustments021231_CCB.GLAudit Package.040114_CCB.Dec03AuditPack.GL.V2_Yield wp template(081031)" xfId="2637"/>
    <cellStyle name="_IAS Adjustments021231_CCB.GLAudit Package.040114_ICBC PBC-Draft 12-9" xfId="2638"/>
    <cellStyle name="_IAS Adjustments021231_CCB.GLAudit Package.040114_PBC-detail" xfId="2639"/>
    <cellStyle name="_IAS Adjustments021231_CCB.GLAudit Package.040114_U section modify ref_12.13" xfId="2640"/>
    <cellStyle name="_IAS Adjustments021231_CCB.GLAudit Package.040114_U section-3.22" xfId="2641"/>
    <cellStyle name="_IAS Adjustments021231_CCB.GLAudit Package.040114_U section-3.23" xfId="2642"/>
    <cellStyle name="_IAS Adjustments021231_CCB.GLAudit Package.040114_U100-PBC" xfId="2643"/>
    <cellStyle name="_IAS Adjustments021231_CCB.GLAudit Package.040114_Yield wp template(081031)" xfId="2644"/>
    <cellStyle name="_IAS Adjustments021231_CCB.HO.New TB template.CCB PRC IAS Sorting.040223 trial run" xfId="2645"/>
    <cellStyle name="_IAS Adjustments021231_CCB.HO.New TB template.CCB PRC IAS Sorting.040223 trial run_Branch Template of U working paper(081031)" xfId="2646"/>
    <cellStyle name="_IAS Adjustments021231_CCB.HO.New TB template.CCB PRC IAS Sorting.040223 trial run_CCB.Dec03AuditPack.GL.V2" xfId="2647"/>
    <cellStyle name="_IAS Adjustments021231_CCB.HO.New TB template.CCB PRC IAS Sorting.040223 trial run_CCB.Dec03AuditPack.GL.V2_Branch Template of U working paper(081031)" xfId="2648"/>
    <cellStyle name="_IAS Adjustments021231_CCB.HO.New TB template.CCB PRC IAS Sorting.040223 trial run_CCB.Dec03AuditPack.GL.V2_ICBC PBC-Draft 12-9" xfId="2649"/>
    <cellStyle name="_IAS Adjustments021231_CCB.HO.New TB template.CCB PRC IAS Sorting.040223 trial run_CCB.Dec03AuditPack.GL.V2_PBC-detail" xfId="2650"/>
    <cellStyle name="_IAS Adjustments021231_CCB.HO.New TB template.CCB PRC IAS Sorting.040223 trial run_CCB.Dec03AuditPack.GL.V2_U section modify ref_12.13" xfId="2651"/>
    <cellStyle name="_IAS Adjustments021231_CCB.HO.New TB template.CCB PRC IAS Sorting.040223 trial run_CCB.Dec03AuditPack.GL.V2_U section-3.22" xfId="2652"/>
    <cellStyle name="_IAS Adjustments021231_CCB.HO.New TB template.CCB PRC IAS Sorting.040223 trial run_CCB.Dec03AuditPack.GL.V2_U section-3.23" xfId="2653"/>
    <cellStyle name="_IAS Adjustments021231_CCB.HO.New TB template.CCB PRC IAS Sorting.040223 trial run_CCB.Dec03AuditPack.GL.V2_U100-PBC" xfId="2654"/>
    <cellStyle name="_IAS Adjustments021231_CCB.HO.New TB template.CCB PRC IAS Sorting.040223 trial run_CCB.Dec03AuditPack.GL.V2_Yield wp template(081031)" xfId="2655"/>
    <cellStyle name="_IAS Adjustments021231_CCB.HO.New TB template.CCB PRC IAS Sorting.040223 trial run_ICBC PBC-Draft 12-9" xfId="2656"/>
    <cellStyle name="_IAS Adjustments021231_CCB.HO.New TB template.CCB PRC IAS Sorting.040223 trial run_PBC-detail" xfId="2657"/>
    <cellStyle name="_IAS Adjustments021231_CCB.HO.New TB template.CCB PRC IAS Sorting.040223 trial run_U section modify ref_12.13" xfId="2658"/>
    <cellStyle name="_IAS Adjustments021231_CCB.HO.New TB template.CCB PRC IAS Sorting.040223 trial run_U section-3.22" xfId="2659"/>
    <cellStyle name="_IAS Adjustments021231_CCB.HO.New TB template.CCB PRC IAS Sorting.040223 trial run_U section-3.23" xfId="2660"/>
    <cellStyle name="_IAS Adjustments021231_CCB.HO.New TB template.CCB PRC IAS Sorting.040223 trial run_U100-PBC" xfId="2661"/>
    <cellStyle name="_IAS Adjustments021231_CCB.HO.New TB template.CCB PRC IAS Sorting.040223 trial run_Yield wp template(081031)" xfId="2662"/>
    <cellStyle name="_IAS Adjustments021231_CCB.HO.New TB template.IAS Sorting.040210" xfId="2663"/>
    <cellStyle name="_IAS Adjustments021231_CCB.HO.New TB template.IAS Sorting.040210_Branch Template of U working paper(081031)" xfId="2664"/>
    <cellStyle name="_IAS Adjustments021231_CCB.HO.New TB template.IAS Sorting.040210_CCB.Dec03AuditPack.GL.V2" xfId="2665"/>
    <cellStyle name="_IAS Adjustments021231_CCB.HO.New TB template.IAS Sorting.040210_CCB.Dec03AuditPack.GL.V2_Branch Template of U working paper(081031)" xfId="2666"/>
    <cellStyle name="_IAS Adjustments021231_CCB.HO.New TB template.IAS Sorting.040210_CCB.Dec03AuditPack.GL.V2_ICBC PBC-Draft 12-9" xfId="2667"/>
    <cellStyle name="_IAS Adjustments021231_CCB.HO.New TB template.IAS Sorting.040210_CCB.Dec03AuditPack.GL.V2_PBC-detail" xfId="2668"/>
    <cellStyle name="_IAS Adjustments021231_CCB.HO.New TB template.IAS Sorting.040210_CCB.Dec03AuditPack.GL.V2_U section modify ref_12.13" xfId="2669"/>
    <cellStyle name="_IAS Adjustments021231_CCB.HO.New TB template.IAS Sorting.040210_CCB.Dec03AuditPack.GL.V2_U section-3.22" xfId="2670"/>
    <cellStyle name="_IAS Adjustments021231_CCB.HO.New TB template.IAS Sorting.040210_CCB.Dec03AuditPack.GL.V2_U section-3.23" xfId="2671"/>
    <cellStyle name="_IAS Adjustments021231_CCB.HO.New TB template.IAS Sorting.040210_CCB.Dec03AuditPack.GL.V2_U100-PBC" xfId="2672"/>
    <cellStyle name="_IAS Adjustments021231_CCB.HO.New TB template.IAS Sorting.040210_CCB.Dec03AuditPack.GL.V2_Yield wp template(081031)" xfId="2673"/>
    <cellStyle name="_IAS Adjustments021231_CCB.HO.New TB template.IAS Sorting.040210_ICBC PBC-Draft 12-9" xfId="2674"/>
    <cellStyle name="_IAS Adjustments021231_CCB.HO.New TB template.IAS Sorting.040210_PBC-detail" xfId="2675"/>
    <cellStyle name="_IAS Adjustments021231_CCB.HO.New TB template.IAS Sorting.040210_U section modify ref_12.13" xfId="2676"/>
    <cellStyle name="_IAS Adjustments021231_CCB.HO.New TB template.IAS Sorting.040210_U section-3.22" xfId="2677"/>
    <cellStyle name="_IAS Adjustments021231_CCB.HO.New TB template.IAS Sorting.040210_U section-3.23" xfId="2678"/>
    <cellStyle name="_IAS Adjustments021231_CCB.HO.New TB template.IAS Sorting.040210_U100-PBC" xfId="2679"/>
    <cellStyle name="_IAS Adjustments021231_CCB.HO.New TB template.IAS Sorting.040210_Yield wp template(081031)" xfId="2680"/>
    <cellStyle name="_IAS Adjustments021231_CCB.HO.New TB template.PRC Sorting.040210" xfId="2681"/>
    <cellStyle name="_IAS Adjustments021231_CCB.HO.New TB template.PRC Sorting.040210_Branch Template of U working paper(081031)" xfId="2682"/>
    <cellStyle name="_IAS Adjustments021231_CCB.HO.New TB template.PRC Sorting.040210_CCB.Dec03AuditPack.GL.V2" xfId="2683"/>
    <cellStyle name="_IAS Adjustments021231_CCB.HO.New TB template.PRC Sorting.040210_CCB.Dec03AuditPack.GL.V2_Branch Template of U working paper(081031)" xfId="2684"/>
    <cellStyle name="_IAS Adjustments021231_CCB.HO.New TB template.PRC Sorting.040210_CCB.Dec03AuditPack.GL.V2_ICBC PBC-Draft 12-9" xfId="2685"/>
    <cellStyle name="_IAS Adjustments021231_CCB.HO.New TB template.PRC Sorting.040210_CCB.Dec03AuditPack.GL.V2_PBC-detail" xfId="2686"/>
    <cellStyle name="_IAS Adjustments021231_CCB.HO.New TB template.PRC Sorting.040210_CCB.Dec03AuditPack.GL.V2_U section modify ref_12.13" xfId="2687"/>
    <cellStyle name="_IAS Adjustments021231_CCB.HO.New TB template.PRC Sorting.040210_CCB.Dec03AuditPack.GL.V2_U section-3.22" xfId="2688"/>
    <cellStyle name="_IAS Adjustments021231_CCB.HO.New TB template.PRC Sorting.040210_CCB.Dec03AuditPack.GL.V2_U section-3.23" xfId="2689"/>
    <cellStyle name="_IAS Adjustments021231_CCB.HO.New TB template.PRC Sorting.040210_CCB.Dec03AuditPack.GL.V2_U100-PBC" xfId="2690"/>
    <cellStyle name="_IAS Adjustments021231_CCB.HO.New TB template.PRC Sorting.040210_CCB.Dec03AuditPack.GL.V2_Yield wp template(081031)" xfId="2691"/>
    <cellStyle name="_IAS Adjustments021231_CCB.HO.New TB template.PRC Sorting.040210_ICBC PBC-Draft 12-9" xfId="2692"/>
    <cellStyle name="_IAS Adjustments021231_CCB.HO.New TB template.PRC Sorting.040210_PBC-detail" xfId="2693"/>
    <cellStyle name="_IAS Adjustments021231_CCB.HO.New TB template.PRC Sorting.040210_U section modify ref_12.13" xfId="2694"/>
    <cellStyle name="_IAS Adjustments021231_CCB.HO.New TB template.PRC Sorting.040210_U section-3.22" xfId="2695"/>
    <cellStyle name="_IAS Adjustments021231_CCB.HO.New TB template.PRC Sorting.040210_U section-3.23" xfId="2696"/>
    <cellStyle name="_IAS Adjustments021231_CCB.HO.New TB template.PRC Sorting.040210_U100-PBC" xfId="2697"/>
    <cellStyle name="_IAS Adjustments021231_CCB.HO.New TB template.PRC Sorting.040210_Yield wp template(081031)" xfId="2698"/>
    <cellStyle name="_IAS Adjustments021231_ICBC PBC-Draft 12-9" xfId="2699"/>
    <cellStyle name="_IAS Adjustments021231_PBC-detail" xfId="2700"/>
    <cellStyle name="_IAS Adjustments021231_U section modify ref_12.13" xfId="2701"/>
    <cellStyle name="_IAS Adjustments021231_U section-3.22" xfId="2702"/>
    <cellStyle name="_IAS Adjustments021231_U section-3.23" xfId="2703"/>
    <cellStyle name="_IAS Adjustments021231_U100-PBC" xfId="2704"/>
    <cellStyle name="_IAS Adjustments021231_Yield wp template(081031)" xfId="2705"/>
    <cellStyle name="_IAS Adjustments030630" xfId="2706"/>
    <cellStyle name="_IAS Adjustments030630_Branch Template of U working paper(081031)" xfId="2707"/>
    <cellStyle name="_IAS Adjustments030630_CCB.Dec03AuditPack.GL.V2" xfId="2708"/>
    <cellStyle name="_IAS Adjustments030630_CCB.Dec03AuditPack.GL.V2_Branch Template of U working paper(081031)" xfId="2709"/>
    <cellStyle name="_IAS Adjustments030630_CCB.Dec03AuditPack.GL.V2_ICBC PBC-Draft 12-9" xfId="2710"/>
    <cellStyle name="_IAS Adjustments030630_CCB.Dec03AuditPack.GL.V2_PBC-detail" xfId="2711"/>
    <cellStyle name="_IAS Adjustments030630_CCB.Dec03AuditPack.GL.V2_U section modify ref_12.13" xfId="2712"/>
    <cellStyle name="_IAS Adjustments030630_CCB.Dec03AuditPack.GL.V2_U section-3.22" xfId="2713"/>
    <cellStyle name="_IAS Adjustments030630_CCB.Dec03AuditPack.GL.V2_U section-3.23" xfId="2714"/>
    <cellStyle name="_IAS Adjustments030630_CCB.Dec03AuditPack.GL.V2_U100-PBC" xfId="2715"/>
    <cellStyle name="_IAS Adjustments030630_CCB.Dec03AuditPack.GL.V2_Yield wp template(081031)" xfId="2716"/>
    <cellStyle name="_IAS Adjustments030630_CCB.GLAudit Package.040114" xfId="2717"/>
    <cellStyle name="_IAS Adjustments030630_CCB.GLAudit Package.040114_Branch Template of U working paper(081031)" xfId="2718"/>
    <cellStyle name="_IAS Adjustments030630_CCB.GLAudit Package.040114_CCB.Dec03AuditPack.GL.V2" xfId="2719"/>
    <cellStyle name="_IAS Adjustments030630_CCB.GLAudit Package.040114_CCB.Dec03AuditPack.GL.V2_Branch Template of U working paper(081031)" xfId="2720"/>
    <cellStyle name="_IAS Adjustments030630_CCB.GLAudit Package.040114_CCB.Dec03AuditPack.GL.V2_ICBC PBC-Draft 12-9" xfId="2721"/>
    <cellStyle name="_IAS Adjustments030630_CCB.GLAudit Package.040114_CCB.Dec03AuditPack.GL.V2_PBC-detail" xfId="2722"/>
    <cellStyle name="_IAS Adjustments030630_CCB.GLAudit Package.040114_CCB.Dec03AuditPack.GL.V2_U section modify ref_12.13" xfId="2723"/>
    <cellStyle name="_IAS Adjustments030630_CCB.GLAudit Package.040114_CCB.Dec03AuditPack.GL.V2_U section-3.22" xfId="2724"/>
    <cellStyle name="_IAS Adjustments030630_CCB.GLAudit Package.040114_CCB.Dec03AuditPack.GL.V2_U section-3.23" xfId="2725"/>
    <cellStyle name="_IAS Adjustments030630_CCB.GLAudit Package.040114_CCB.Dec03AuditPack.GL.V2_U100-PBC" xfId="2726"/>
    <cellStyle name="_IAS Adjustments030630_CCB.GLAudit Package.040114_CCB.Dec03AuditPack.GL.V2_Yield wp template(081031)" xfId="2727"/>
    <cellStyle name="_IAS Adjustments030630_CCB.GLAudit Package.040114_ICBC PBC-Draft 12-9" xfId="2728"/>
    <cellStyle name="_IAS Adjustments030630_CCB.GLAudit Package.040114_PBC-detail" xfId="2729"/>
    <cellStyle name="_IAS Adjustments030630_CCB.GLAudit Package.040114_U section modify ref_12.13" xfId="2730"/>
    <cellStyle name="_IAS Adjustments030630_CCB.GLAudit Package.040114_U section-3.22" xfId="2731"/>
    <cellStyle name="_IAS Adjustments030630_CCB.GLAudit Package.040114_U section-3.23" xfId="2732"/>
    <cellStyle name="_IAS Adjustments030630_CCB.GLAudit Package.040114_U100-PBC" xfId="2733"/>
    <cellStyle name="_IAS Adjustments030630_CCB.GLAudit Package.040114_Yield wp template(081031)" xfId="2734"/>
    <cellStyle name="_IAS Adjustments030630_CCB.HO.New TB template.CCB PRC IAS Sorting.040223 trial run" xfId="2735"/>
    <cellStyle name="_IAS Adjustments030630_CCB.HO.New TB template.CCB PRC IAS Sorting.040223 trial run_Branch Template of U working paper(081031)" xfId="2736"/>
    <cellStyle name="_IAS Adjustments030630_CCB.HO.New TB template.CCB PRC IAS Sorting.040223 trial run_CCB.Dec03AuditPack.GL.V2" xfId="2737"/>
    <cellStyle name="_IAS Adjustments030630_CCB.HO.New TB template.CCB PRC IAS Sorting.040223 trial run_CCB.Dec03AuditPack.GL.V2_Branch Template of U working paper(081031)" xfId="2738"/>
    <cellStyle name="_IAS Adjustments030630_CCB.HO.New TB template.CCB PRC IAS Sorting.040223 trial run_CCB.Dec03AuditPack.GL.V2_ICBC PBC-Draft 12-9" xfId="2739"/>
    <cellStyle name="_IAS Adjustments030630_CCB.HO.New TB template.CCB PRC IAS Sorting.040223 trial run_CCB.Dec03AuditPack.GL.V2_PBC-detail" xfId="2740"/>
    <cellStyle name="_IAS Adjustments030630_CCB.HO.New TB template.CCB PRC IAS Sorting.040223 trial run_CCB.Dec03AuditPack.GL.V2_U section modify ref_12.13" xfId="2741"/>
    <cellStyle name="_IAS Adjustments030630_CCB.HO.New TB template.CCB PRC IAS Sorting.040223 trial run_CCB.Dec03AuditPack.GL.V2_U section-3.22" xfId="2742"/>
    <cellStyle name="_IAS Adjustments030630_CCB.HO.New TB template.CCB PRC IAS Sorting.040223 trial run_CCB.Dec03AuditPack.GL.V2_U section-3.23" xfId="2743"/>
    <cellStyle name="_IAS Adjustments030630_CCB.HO.New TB template.CCB PRC IAS Sorting.040223 trial run_CCB.Dec03AuditPack.GL.V2_U100-PBC" xfId="2744"/>
    <cellStyle name="_IAS Adjustments030630_CCB.HO.New TB template.CCB PRC IAS Sorting.040223 trial run_CCB.Dec03AuditPack.GL.V2_Yield wp template(081031)" xfId="2745"/>
    <cellStyle name="_IAS Adjustments030630_CCB.HO.New TB template.CCB PRC IAS Sorting.040223 trial run_ICBC PBC-Draft 12-9" xfId="2746"/>
    <cellStyle name="_IAS Adjustments030630_CCB.HO.New TB template.CCB PRC IAS Sorting.040223 trial run_PBC-detail" xfId="2747"/>
    <cellStyle name="_IAS Adjustments030630_CCB.HO.New TB template.CCB PRC IAS Sorting.040223 trial run_U section modify ref_12.13" xfId="2748"/>
    <cellStyle name="_IAS Adjustments030630_CCB.HO.New TB template.CCB PRC IAS Sorting.040223 trial run_U section-3.22" xfId="2749"/>
    <cellStyle name="_IAS Adjustments030630_CCB.HO.New TB template.CCB PRC IAS Sorting.040223 trial run_U section-3.23" xfId="2750"/>
    <cellStyle name="_IAS Adjustments030630_CCB.HO.New TB template.CCB PRC IAS Sorting.040223 trial run_U100-PBC" xfId="2751"/>
    <cellStyle name="_IAS Adjustments030630_CCB.HO.New TB template.CCB PRC IAS Sorting.040223 trial run_Yield wp template(081031)" xfId="2752"/>
    <cellStyle name="_IAS Adjustments030630_CCB.HO.New TB template.IAS Sorting.040210" xfId="2753"/>
    <cellStyle name="_IAS Adjustments030630_CCB.HO.New TB template.IAS Sorting.040210_Branch Template of U working paper(081031)" xfId="2754"/>
    <cellStyle name="_IAS Adjustments030630_CCB.HO.New TB template.IAS Sorting.040210_CCB.Dec03AuditPack.GL.V2" xfId="2755"/>
    <cellStyle name="_IAS Adjustments030630_CCB.HO.New TB template.IAS Sorting.040210_CCB.Dec03AuditPack.GL.V2_Branch Template of U working paper(081031)" xfId="2756"/>
    <cellStyle name="_IAS Adjustments030630_CCB.HO.New TB template.IAS Sorting.040210_CCB.Dec03AuditPack.GL.V2_ICBC PBC-Draft 12-9" xfId="2757"/>
    <cellStyle name="_IAS Adjustments030630_CCB.HO.New TB template.IAS Sorting.040210_CCB.Dec03AuditPack.GL.V2_PBC-detail" xfId="2758"/>
    <cellStyle name="_IAS Adjustments030630_CCB.HO.New TB template.IAS Sorting.040210_CCB.Dec03AuditPack.GL.V2_U section modify ref_12.13" xfId="2759"/>
    <cellStyle name="_IAS Adjustments030630_CCB.HO.New TB template.IAS Sorting.040210_CCB.Dec03AuditPack.GL.V2_U section-3.22" xfId="2760"/>
    <cellStyle name="_IAS Adjustments030630_CCB.HO.New TB template.IAS Sorting.040210_CCB.Dec03AuditPack.GL.V2_U section-3.23" xfId="2761"/>
    <cellStyle name="_IAS Adjustments030630_CCB.HO.New TB template.IAS Sorting.040210_CCB.Dec03AuditPack.GL.V2_U100-PBC" xfId="2762"/>
    <cellStyle name="_IAS Adjustments030630_CCB.HO.New TB template.IAS Sorting.040210_CCB.Dec03AuditPack.GL.V2_Yield wp template(081031)" xfId="2763"/>
    <cellStyle name="_IAS Adjustments030630_CCB.HO.New TB template.IAS Sorting.040210_ICBC PBC-Draft 12-9" xfId="2764"/>
    <cellStyle name="_IAS Adjustments030630_CCB.HO.New TB template.IAS Sorting.040210_PBC-detail" xfId="2765"/>
    <cellStyle name="_IAS Adjustments030630_CCB.HO.New TB template.IAS Sorting.040210_U section modify ref_12.13" xfId="2766"/>
    <cellStyle name="_IAS Adjustments030630_CCB.HO.New TB template.IAS Sorting.040210_U section-3.22" xfId="2767"/>
    <cellStyle name="_IAS Adjustments030630_CCB.HO.New TB template.IAS Sorting.040210_U section-3.23" xfId="2768"/>
    <cellStyle name="_IAS Adjustments030630_CCB.HO.New TB template.IAS Sorting.040210_U100-PBC" xfId="2769"/>
    <cellStyle name="_IAS Adjustments030630_CCB.HO.New TB template.IAS Sorting.040210_Yield wp template(081031)" xfId="2770"/>
    <cellStyle name="_IAS Adjustments030630_CCB.HO.New TB template.PRC Sorting.040210" xfId="2771"/>
    <cellStyle name="_IAS Adjustments030630_CCB.HO.New TB template.PRC Sorting.040210_Branch Template of U working paper(081031)" xfId="2772"/>
    <cellStyle name="_IAS Adjustments030630_CCB.HO.New TB template.PRC Sorting.040210_CCB.Dec03AuditPack.GL.V2" xfId="2773"/>
    <cellStyle name="_IAS Adjustments030630_CCB.HO.New TB template.PRC Sorting.040210_CCB.Dec03AuditPack.GL.V2_Branch Template of U working paper(081031)" xfId="2774"/>
    <cellStyle name="_IAS Adjustments030630_CCB.HO.New TB template.PRC Sorting.040210_CCB.Dec03AuditPack.GL.V2_ICBC PBC-Draft 12-9" xfId="2775"/>
    <cellStyle name="_IAS Adjustments030630_CCB.HO.New TB template.PRC Sorting.040210_CCB.Dec03AuditPack.GL.V2_PBC-detail" xfId="2776"/>
    <cellStyle name="_IAS Adjustments030630_CCB.HO.New TB template.PRC Sorting.040210_CCB.Dec03AuditPack.GL.V2_U section modify ref_12.13" xfId="2777"/>
    <cellStyle name="_IAS Adjustments030630_CCB.HO.New TB template.PRC Sorting.040210_CCB.Dec03AuditPack.GL.V2_U section-3.22" xfId="2778"/>
    <cellStyle name="_IAS Adjustments030630_CCB.HO.New TB template.PRC Sorting.040210_CCB.Dec03AuditPack.GL.V2_U section-3.23" xfId="2779"/>
    <cellStyle name="_IAS Adjustments030630_CCB.HO.New TB template.PRC Sorting.040210_CCB.Dec03AuditPack.GL.V2_U100-PBC" xfId="2780"/>
    <cellStyle name="_IAS Adjustments030630_CCB.HO.New TB template.PRC Sorting.040210_CCB.Dec03AuditPack.GL.V2_Yield wp template(081031)" xfId="2781"/>
    <cellStyle name="_IAS Adjustments030630_CCB.HO.New TB template.PRC Sorting.040210_ICBC PBC-Draft 12-9" xfId="2782"/>
    <cellStyle name="_IAS Adjustments030630_CCB.HO.New TB template.PRC Sorting.040210_PBC-detail" xfId="2783"/>
    <cellStyle name="_IAS Adjustments030630_CCB.HO.New TB template.PRC Sorting.040210_U section modify ref_12.13" xfId="2784"/>
    <cellStyle name="_IAS Adjustments030630_CCB.HO.New TB template.PRC Sorting.040210_U section-3.22" xfId="2785"/>
    <cellStyle name="_IAS Adjustments030630_CCB.HO.New TB template.PRC Sorting.040210_U section-3.23" xfId="2786"/>
    <cellStyle name="_IAS Adjustments030630_CCB.HO.New TB template.PRC Sorting.040210_U100-PBC" xfId="2787"/>
    <cellStyle name="_IAS Adjustments030630_CCB.HO.New TB template.PRC Sorting.040210_Yield wp template(081031)" xfId="2788"/>
    <cellStyle name="_IAS Adjustments030630_ICBC PBC-Draft 12-9" xfId="2789"/>
    <cellStyle name="_IAS Adjustments030630_PBC-detail" xfId="2790"/>
    <cellStyle name="_IAS Adjustments030630_U section modify ref_12.13" xfId="2791"/>
    <cellStyle name="_IAS Adjustments030630_U section-3.22" xfId="2792"/>
    <cellStyle name="_IAS Adjustments030630_U section-3.23" xfId="2793"/>
    <cellStyle name="_IAS Adjustments030630_U100-PBC" xfId="2794"/>
    <cellStyle name="_IAS Adjustments030630_Yield wp template(081031)" xfId="2795"/>
    <cellStyle name="_ICBC PBC-Draft 12-9" xfId="2796"/>
    <cellStyle name="_ICBC Shandong Branch_U section_20071231_1.27" xfId="2797"/>
    <cellStyle name="_ICBC Shandong Branch_U section_20071231_1.27_Yield wp template(081031)" xfId="2798"/>
    <cellStyle name="_ICBC Shandong Branch_U section_20080630" xfId="2799"/>
    <cellStyle name="_ICBC Shandong Branch_U section_20080630_Lee reviewed" xfId="2800"/>
    <cellStyle name="_Jiwu-EGNP" xfId="2801"/>
    <cellStyle name="_Jiwu-EGNP_H_equity investment" xfId="2802"/>
    <cellStyle name="_Jiwu-EGNP_H_equity investment_Revised PBC 15-17" xfId="2803"/>
    <cellStyle name="_Jiwu-EGNP_Revised PBC 15-17" xfId="2804"/>
    <cellStyle name="_N100" xfId="2805"/>
    <cellStyle name="_N100_Branch Template of U working paper(081031)" xfId="2806"/>
    <cellStyle name="_N100_Yield wp template(081031)" xfId="2807"/>
    <cellStyle name="_N4表－航材" xfId="2808"/>
    <cellStyle name="_N4表－航材_Book7" xfId="2809"/>
    <cellStyle name="_N4表－航材_Book7_H_equity investment" xfId="2810"/>
    <cellStyle name="_N4表－航材_Book7_H_equity investment_Revised PBC 15-17" xfId="2811"/>
    <cellStyle name="_N4表－航材_Book7_Revised PBC 15-17" xfId="2812"/>
    <cellStyle name="_N4表－航材_H_equity investment" xfId="2813"/>
    <cellStyle name="_N4表－航材_H_equity investment_Revised PBC 15-17" xfId="2814"/>
    <cellStyle name="_N4表－航材_Revised PBC 15-17" xfId="2815"/>
    <cellStyle name="_OBT 50划分" xfId="2816"/>
    <cellStyle name="_OBT1113" xfId="2817"/>
    <cellStyle name="_OBT调整汇总-6月22日by王安静" xfId="2818"/>
    <cellStyle name="_OJE汇总(辅助）" xfId="2819"/>
    <cellStyle name="_OR_others_to trissie_2005.1.11" xfId="2820"/>
    <cellStyle name="_OR_others_to trissie_2005.1.11_H_equity investment" xfId="2821"/>
    <cellStyle name="_OR_others_to trissie_2005.1.11_H_equity investment_Revised PBC 15-17" xfId="2822"/>
    <cellStyle name="_OR_others_to trissie_2005.1.11_Revised PBC 15-17" xfId="2823"/>
    <cellStyle name="_OR-04Q2-WP_7-SEP" xfId="2824"/>
    <cellStyle name="_OR-04Q2-WP_7-SEP_H_equity investment" xfId="2825"/>
    <cellStyle name="_OR-04Q2-WP_7-SEP_H_equity investment_Revised PBC 15-17" xfId="2826"/>
    <cellStyle name="_OR-04Q2-WP_7-SEP_OR-Aug" xfId="2827"/>
    <cellStyle name="_OR-04Q2-WP_7-SEP_OR-Aug_H_equity investment" xfId="2828"/>
    <cellStyle name="_OR-04Q2-WP_7-SEP_OR-Aug_H_equity investment_Revised PBC 15-17" xfId="2829"/>
    <cellStyle name="_OR-04Q2-WP_7-SEP_OR-Aug_OR-9.30" xfId="2830"/>
    <cellStyle name="_OR-04Q2-WP_7-SEP_OR-Aug_OR-9.30_H_equity investment" xfId="2831"/>
    <cellStyle name="_OR-04Q2-WP_7-SEP_OR-Aug_OR-9.30_H_equity investment_Revised PBC 15-17" xfId="2832"/>
    <cellStyle name="_OR-04Q2-WP_7-SEP_OR-Aug_OR-9.30_Revised PBC 15-17" xfId="2833"/>
    <cellStyle name="_OR-04Q2-WP_7-SEP_OR-Aug_Revised PBC 15-17" xfId="2834"/>
    <cellStyle name="_OR-04Q2-WP_7-SEP_Revised PBC 15-17" xfId="2835"/>
    <cellStyle name="_OR-9.30" xfId="2836"/>
    <cellStyle name="_OR-9.30_H_equity investment" xfId="2837"/>
    <cellStyle name="_OR-9.30_H_equity investment_Revised PBC 15-17" xfId="2838"/>
    <cellStyle name="_OR-9.30_Revised PBC 15-17" xfId="2839"/>
    <cellStyle name="_P100" xfId="2840"/>
    <cellStyle name="_P1-其他应付款-北京" xfId="2841"/>
    <cellStyle name="_P1-其他应付款-北京_H_equity investment" xfId="2842"/>
    <cellStyle name="_P1-其他应付款-北京_H_equity investment_Revised PBC 15-17" xfId="2843"/>
    <cellStyle name="_P1-其他应付款-北京_OR-9.30" xfId="2844"/>
    <cellStyle name="_P1-其他应付款-北京_OR-9.30_H_equity investment" xfId="2845"/>
    <cellStyle name="_P1-其他应付款-北京_OR-9.30_H_equity investment_Revised PBC 15-17" xfId="2846"/>
    <cellStyle name="_P1-其他应付款-北京_OR-9.30_Revised PBC 15-17" xfId="2847"/>
    <cellStyle name="_P1-其他应付款-北京_Revised PBC 15-17" xfId="2848"/>
    <cellStyle name="_PBC content" xfId="2849"/>
    <cellStyle name="_PBC content_Branch Template of U working paper(081031)" xfId="2850"/>
    <cellStyle name="_PBC content_Yield wp template(081031)" xfId="2851"/>
    <cellStyle name="_PBC-B" xfId="2852"/>
    <cellStyle name="_PBC-Ben" xfId="2853"/>
    <cellStyle name="_PBC-Ben_2003.06.30(Air China - Payables &amp; LT Deferred Assets)" xfId="2854"/>
    <cellStyle name="_PBC-Ben_2003.06.30(Air China - Payables &amp; LT Deferred Assets)_200409其他应收、其他应付、工资、福利、保险" xfId="2855"/>
    <cellStyle name="_PBC-Ben_2003.06.30(Air China - Payables &amp; LT Deferred Assets)_200409其他应收、其他应付、工资、福利、保险_H_equity investment" xfId="2856"/>
    <cellStyle name="_PBC-Ben_2003.06.30(Air China - Payables &amp; LT Deferred Assets)_200409其他应收、其他应付、工资、福利、保险_H_equity investment_Revised PBC 15-17" xfId="2857"/>
    <cellStyle name="_PBC-Ben_2003.06.30(Air China - Payables &amp; LT Deferred Assets)_200409其他应收、其他应付、工资、福利、保险_Revised PBC 15-17" xfId="2858"/>
    <cellStyle name="_PBC-Ben_2003.06.30(Air China - Payables &amp; LT Deferred Assets)_Book7" xfId="2859"/>
    <cellStyle name="_PBC-Ben_2003.06.30(Air China - Payables &amp; LT Deferred Assets)_Book7_H_equity investment" xfId="2860"/>
    <cellStyle name="_PBC-Ben_2003.06.30(Air China - Payables &amp; LT Deferred Assets)_Book7_H_equity investment_Revised PBC 15-17" xfId="2861"/>
    <cellStyle name="_PBC-Ben_2003.06.30(Air China - Payables &amp; LT Deferred Assets)_Book7_Revised PBC 15-17" xfId="2862"/>
    <cellStyle name="_PBC-Ben_2003.06.30(Air China - Payables &amp; LT Deferred Assets)_FA---032q" xfId="2863"/>
    <cellStyle name="_PBC-Ben_2003.06.30(Air China - Payables &amp; LT Deferred Assets)_FA---032q_FA---032q-8.21" xfId="2864"/>
    <cellStyle name="_PBC-Ben_2003.06.30(Air China - Payables &amp; LT Deferred Assets)_FA---032q_FA---032q-8.21_H" xfId="2865"/>
    <cellStyle name="_PBC-Ben_2003.06.30(Air China - Payables &amp; LT Deferred Assets)_FA---032q_FA---032q-8.21_H_H_equity investment" xfId="2866"/>
    <cellStyle name="_PBC-Ben_2003.06.30(Air China - Payables &amp; LT Deferred Assets)_FA---032q_FA---032q-8.21_H_H_equity investment_Revised PBC 15-17" xfId="2867"/>
    <cellStyle name="_PBC-Ben_2003.06.30(Air China - Payables &amp; LT Deferred Assets)_FA---032q_FA---032q-8.21_H_Revised PBC 15-17" xfId="2868"/>
    <cellStyle name="_PBC-Ben_2003.06.30(Air China - Payables &amp; LT Deferred Assets)_FA---032q_FA---032q-8.21_H_Sep 4.15 morning" xfId="2869"/>
    <cellStyle name="_PBC-Ben_2003.06.30(Air China - Payables &amp; LT Deferred Assets)_FA---032q_FA---032q-8.21_H_Sep 4.15 morning_H_equity investment" xfId="2870"/>
    <cellStyle name="_PBC-Ben_2003.06.30(Air China - Payables &amp; LT Deferred Assets)_FA---032q_FA---032q-8.21_H_Sep 4.15 morning_H_equity investment_Revised PBC 15-17" xfId="2871"/>
    <cellStyle name="_PBC-Ben_2003.06.30(Air China - Payables &amp; LT Deferred Assets)_FA---032q_FA---032q-8.21_H_Sep 4.15 morning_Revised PBC 15-17" xfId="2872"/>
    <cellStyle name="_PBC-Ben_2003.06.30(Air China - Payables &amp; LT Deferred Assets)_FA---032q_FA---032q-8.21_H3240_ASSO BASIC INFO_evening" xfId="2873"/>
    <cellStyle name="_PBC-Ben_2003.06.30(Air China - Payables &amp; LT Deferred Assets)_FA---032q_FA---032q-8.21_H3240_ASSO BASIC INFO_evening_H_equity investment" xfId="2874"/>
    <cellStyle name="_PBC-Ben_2003.06.30(Air China - Payables &amp; LT Deferred Assets)_FA---032q_FA---032q-8.21_H3240_ASSO BASIC INFO_evening_H_equity investment_Revised PBC 15-17" xfId="2875"/>
    <cellStyle name="_PBC-Ben_2003.06.30(Air China - Payables &amp; LT Deferred Assets)_FA---032q_FA---032q-8.21_H3240_ASSO BASIC INFO_evening_Revised PBC 15-17" xfId="2876"/>
    <cellStyle name="_PBC-Ben_2003.06.30(Air China - Payables &amp; LT Deferred Assets)_FA---032q_FA---032q-8.21_Revised PBC 15-17" xfId="2877"/>
    <cellStyle name="_PBC-Ben_2003.06.30(Air China - Payables &amp; LT Deferred Assets)_FA---032q_FA---032q-8.21_SPREADSHEET 2004.3.16  afternoon" xfId="2878"/>
    <cellStyle name="_PBC-Ben_2003.06.30(Air China - Payables &amp; LT Deferred Assets)_FA---032q_FA---032q-8.21_SPREADSHEET 2004.3.16  afternoon_H_equity investment" xfId="2879"/>
    <cellStyle name="_PBC-Ben_2003.06.30(Air China - Payables &amp; LT Deferred Assets)_FA---032q_FA---032q-8.21_SPREADSHEET 2004.3.16  afternoon_H_equity investment_Revised PBC 15-17" xfId="2880"/>
    <cellStyle name="_PBC-Ben_2003.06.30(Air China - Payables &amp; LT Deferred Assets)_FA---032q_FA---032q-8.21_SPREADSHEET 2004.3.16  afternoon_Revised PBC 15-17" xfId="2881"/>
    <cellStyle name="_PBC-Ben_2003.06.30(Air China - Payables &amp; LT Deferred Assets)_FA---032q_FA---032q-8.21_SPREADSHEET 2004.3.17evening" xfId="2882"/>
    <cellStyle name="_PBC-Ben_2003.06.30(Air China - Payables &amp; LT Deferred Assets)_FA---032q_FA---032q-8.21_SPREADSHEET 2004.3.17evening_H_equity investment" xfId="2883"/>
    <cellStyle name="_PBC-Ben_2003.06.30(Air China - Payables &amp; LT Deferred Assets)_FA---032q_FA---032q-8.21_SPREADSHEET 2004.3.17evening_H_equity investment_Revised PBC 15-17" xfId="2884"/>
    <cellStyle name="_PBC-Ben_2003.06.30(Air China - Payables &amp; LT Deferred Assets)_FA---032q_FA---032q-8.21_SPREADSHEET 2004.3.17evening_Revised PBC 15-17" xfId="2885"/>
    <cellStyle name="_PBC-Ben_2003.06.30(Air China - Payables &amp; LT Deferred Assets)_FA---032q_H" xfId="2886"/>
    <cellStyle name="_PBC-Ben_2003.06.30(Air China - Payables &amp; LT Deferred Assets)_FA---032q_H_H_equity investment" xfId="2887"/>
    <cellStyle name="_PBC-Ben_2003.06.30(Air China - Payables &amp; LT Deferred Assets)_FA---032q_H_H_equity investment_Revised PBC 15-17" xfId="2888"/>
    <cellStyle name="_PBC-Ben_2003.06.30(Air China - Payables &amp; LT Deferred Assets)_FA---032q_H_Revised PBC 15-17" xfId="2889"/>
    <cellStyle name="_PBC-Ben_2003.06.30(Air China - Payables &amp; LT Deferred Assets)_FA---032q_H_Sep 4.15 morning" xfId="2890"/>
    <cellStyle name="_PBC-Ben_2003.06.30(Air China - Payables &amp; LT Deferred Assets)_FA---032q_H_Sep 4.15 morning_H_equity investment" xfId="2891"/>
    <cellStyle name="_PBC-Ben_2003.06.30(Air China - Payables &amp; LT Deferred Assets)_FA---032q_H_Sep 4.15 morning_H_equity investment_Revised PBC 15-17" xfId="2892"/>
    <cellStyle name="_PBC-Ben_2003.06.30(Air China - Payables &amp; LT Deferred Assets)_FA---032q_H_Sep 4.15 morning_Revised PBC 15-17" xfId="2893"/>
    <cellStyle name="_PBC-Ben_2003.06.30(Air China - Payables &amp; LT Deferred Assets)_FA---032q_H3240_ASSO BASIC INFO_evening" xfId="2894"/>
    <cellStyle name="_PBC-Ben_2003.06.30(Air China - Payables &amp; LT Deferred Assets)_FA---032q_H3240_ASSO BASIC INFO_evening_H_equity investment" xfId="2895"/>
    <cellStyle name="_PBC-Ben_2003.06.30(Air China - Payables &amp; LT Deferred Assets)_FA---032q_H3240_ASSO BASIC INFO_evening_H_equity investment_Revised PBC 15-17" xfId="2896"/>
    <cellStyle name="_PBC-Ben_2003.06.30(Air China - Payables &amp; LT Deferred Assets)_FA---032q_H3240_ASSO BASIC INFO_evening_Revised PBC 15-17" xfId="2897"/>
    <cellStyle name="_PBC-Ben_2003.06.30(Air China - Payables &amp; LT Deferred Assets)_FA---032q_Revised PBC 15-17" xfId="2898"/>
    <cellStyle name="_PBC-Ben_2003.06.30(Air China - Payables &amp; LT Deferred Assets)_FA---032q_SPREADSHEET 2004.3.16  afternoon" xfId="2899"/>
    <cellStyle name="_PBC-Ben_2003.06.30(Air China - Payables &amp; LT Deferred Assets)_FA---032q_SPREADSHEET 2004.3.16  afternoon_H_equity investment" xfId="2900"/>
    <cellStyle name="_PBC-Ben_2003.06.30(Air China - Payables &amp; LT Deferred Assets)_FA---032q_SPREADSHEET 2004.3.16  afternoon_H_equity investment_Revised PBC 15-17" xfId="2901"/>
    <cellStyle name="_PBC-Ben_2003.06.30(Air China - Payables &amp; LT Deferred Assets)_FA---032q_SPREADSHEET 2004.3.16  afternoon_Revised PBC 15-17" xfId="2902"/>
    <cellStyle name="_PBC-Ben_2003.06.30(Air China - Payables &amp; LT Deferred Assets)_FA---032q_SPREADSHEET 2004.3.17evening" xfId="2903"/>
    <cellStyle name="_PBC-Ben_2003.06.30(Air China - Payables &amp; LT Deferred Assets)_FA---032q_SPREADSHEET 2004.3.17evening_H_equity investment" xfId="2904"/>
    <cellStyle name="_PBC-Ben_2003.06.30(Air China - Payables &amp; LT Deferred Assets)_FA---032q_SPREADSHEET 2004.3.17evening_H_equity investment_Revised PBC 15-17" xfId="2905"/>
    <cellStyle name="_PBC-Ben_2003.06.30(Air China - Payables &amp; LT Deferred Assets)_FA---032q_SPREADSHEET 2004.3.17evening_Revised PBC 15-17" xfId="2906"/>
    <cellStyle name="_PBC-Ben_2003.06.30(Air China - Payables &amp; LT Deferred Assets)_FA---032q_WP K032q  823" xfId="2907"/>
    <cellStyle name="_PBC-Ben_2003.06.30(Air China - Payables &amp; LT Deferred Assets)_FA---032q_WP K032q  823_H" xfId="2908"/>
    <cellStyle name="_PBC-Ben_2003.06.30(Air China - Payables &amp; LT Deferred Assets)_FA---032q_WP K032q  823_H_H_equity investment" xfId="2909"/>
    <cellStyle name="_PBC-Ben_2003.06.30(Air China - Payables &amp; LT Deferred Assets)_FA---032q_WP K032q  823_H_H_equity investment_Revised PBC 15-17" xfId="2910"/>
    <cellStyle name="_PBC-Ben_2003.06.30(Air China - Payables &amp; LT Deferred Assets)_FA---032q_WP K032q  823_H_Revised PBC 15-17" xfId="2911"/>
    <cellStyle name="_PBC-Ben_2003.06.30(Air China - Payables &amp; LT Deferred Assets)_FA---032q_WP K032q  823_H_Sep 4.15 morning" xfId="2912"/>
    <cellStyle name="_PBC-Ben_2003.06.30(Air China - Payables &amp; LT Deferred Assets)_FA---032q_WP K032q  823_H_Sep 4.15 morning_H_equity investment" xfId="2913"/>
    <cellStyle name="_PBC-Ben_2003.06.30(Air China - Payables &amp; LT Deferred Assets)_FA---032q_WP K032q  823_H_Sep 4.15 morning_H_equity investment_Revised PBC 15-17" xfId="2914"/>
    <cellStyle name="_PBC-Ben_2003.06.30(Air China - Payables &amp; LT Deferred Assets)_FA---032q_WP K032q  823_H_Sep 4.15 morning_Revised PBC 15-17" xfId="2915"/>
    <cellStyle name="_PBC-Ben_2003.06.30(Air China - Payables &amp; LT Deferred Assets)_FA---032q_WP K032q  823_H3240_ASSO BASIC INFO_evening" xfId="2916"/>
    <cellStyle name="_PBC-Ben_2003.06.30(Air China - Payables &amp; LT Deferred Assets)_FA---032q_WP K032q  823_H3240_ASSO BASIC INFO_evening_H_equity investment" xfId="2917"/>
    <cellStyle name="_PBC-Ben_2003.06.30(Air China - Payables &amp; LT Deferred Assets)_FA---032q_WP K032q  823_H3240_ASSO BASIC INFO_evening_H_equity investment_Revised PBC 15-17" xfId="2918"/>
    <cellStyle name="_PBC-Ben_2003.06.30(Air China - Payables &amp; LT Deferred Assets)_FA---032q_WP K032q  823_H3240_ASSO BASIC INFO_evening_Revised PBC 15-17" xfId="2919"/>
    <cellStyle name="_PBC-Ben_2003.06.30(Air China - Payables &amp; LT Deferred Assets)_FA---032q_WP K032q  823_Revised PBC 15-17" xfId="2920"/>
    <cellStyle name="_PBC-Ben_2003.06.30(Air China - Payables &amp; LT Deferred Assets)_FA---032q_WP K032q  823_SPREADSHEET 2004.3.16  afternoon" xfId="2921"/>
    <cellStyle name="_PBC-Ben_2003.06.30(Air China - Payables &amp; LT Deferred Assets)_FA---032q_WP K032q  823_SPREADSHEET 2004.3.16  afternoon_H_equity investment" xfId="2922"/>
    <cellStyle name="_PBC-Ben_2003.06.30(Air China - Payables &amp; LT Deferred Assets)_FA---032q_WP K032q  823_SPREADSHEET 2004.3.16  afternoon_H_equity investment_Revised PBC 15-17" xfId="2923"/>
    <cellStyle name="_PBC-Ben_2003.06.30(Air China - Payables &amp; LT Deferred Assets)_FA---032q_WP K032q  823_SPREADSHEET 2004.3.16  afternoon_Revised PBC 15-17" xfId="2924"/>
    <cellStyle name="_PBC-Ben_2003.06.30(Air China - Payables &amp; LT Deferred Assets)_FA---032q_WP K032q  823_SPREADSHEET 2004.3.17evening" xfId="2925"/>
    <cellStyle name="_PBC-Ben_2003.06.30(Air China - Payables &amp; LT Deferred Assets)_FA---032q_WP K032q  823_SPREADSHEET 2004.3.17evening_H_equity investment" xfId="2926"/>
    <cellStyle name="_PBC-Ben_2003.06.30(Air China - Payables &amp; LT Deferred Assets)_FA---032q_WP K032q  823_SPREADSHEET 2004.3.17evening_H_equity investment_Revised PBC 15-17" xfId="2927"/>
    <cellStyle name="_PBC-Ben_2003.06.30(Air China - Payables &amp; LT Deferred Assets)_FA---032q_WP K032q  823_SPREADSHEET 2004.3.17evening_Revised PBC 15-17" xfId="2928"/>
    <cellStyle name="_PBC-Ben_2003.06.30(Air China - Payables &amp; LT Deferred Assets)_H" xfId="2929"/>
    <cellStyle name="_PBC-Ben_2003.06.30(Air China - Payables &amp; LT Deferred Assets)_H_H_equity investment" xfId="2930"/>
    <cellStyle name="_PBC-Ben_2003.06.30(Air China - Payables &amp; LT Deferred Assets)_H_H_equity investment_Revised PBC 15-17" xfId="2931"/>
    <cellStyle name="_PBC-Ben_2003.06.30(Air China - Payables &amp; LT Deferred Assets)_H_Revised PBC 15-17" xfId="2932"/>
    <cellStyle name="_PBC-Ben_2003.06.30(Air China - Payables &amp; LT Deferred Assets)_H_Sep 4.15 morning" xfId="2933"/>
    <cellStyle name="_PBC-Ben_2003.06.30(Air China - Payables &amp; LT Deferred Assets)_H_Sep 4.15 morning_H_equity investment" xfId="2934"/>
    <cellStyle name="_PBC-Ben_2003.06.30(Air China - Payables &amp; LT Deferred Assets)_H_Sep 4.15 morning_H_equity investment_Revised PBC 15-17" xfId="2935"/>
    <cellStyle name="_PBC-Ben_2003.06.30(Air China - Payables &amp; LT Deferred Assets)_H_Sep 4.15 morning_Revised PBC 15-17" xfId="2936"/>
    <cellStyle name="_PBC-Ben_2003.06.30(Air China - Payables &amp; LT Deferred Assets)_H3240_ASSO BASIC INFO_evening" xfId="2937"/>
    <cellStyle name="_PBC-Ben_2003.06.30(Air China - Payables &amp; LT Deferred Assets)_H3240_ASSO BASIC INFO_evening_H_equity investment" xfId="2938"/>
    <cellStyle name="_PBC-Ben_2003.06.30(Air China - Payables &amp; LT Deferred Assets)_H3240_ASSO BASIC INFO_evening_H_equity investment_Revised PBC 15-17" xfId="2939"/>
    <cellStyle name="_PBC-Ben_2003.06.30(Air China - Payables &amp; LT Deferred Assets)_H3240_ASSO BASIC INFO_evening_Revised PBC 15-17" xfId="2940"/>
    <cellStyle name="_PBC-Ben_2003.06.30(Air China - Payables &amp; LT Deferred Assets)_N4表－航材" xfId="2941"/>
    <cellStyle name="_PBC-Ben_2003.06.30(Air China - Payables &amp; LT Deferred Assets)_N4表－航材_Book7" xfId="2942"/>
    <cellStyle name="_PBC-Ben_2003.06.30(Air China - Payables &amp; LT Deferred Assets)_N4表－航材_Book7_H_equity investment" xfId="2943"/>
    <cellStyle name="_PBC-Ben_2003.06.30(Air China - Payables &amp; LT Deferred Assets)_N4表－航材_Book7_H_equity investment_Revised PBC 15-17" xfId="2944"/>
    <cellStyle name="_PBC-Ben_2003.06.30(Air China - Payables &amp; LT Deferred Assets)_N4表－航材_Book7_Revised PBC 15-17" xfId="2945"/>
    <cellStyle name="_PBC-Ben_2003.06.30(Air China - Payables &amp; LT Deferred Assets)_N4表－航材_H_equity investment" xfId="2946"/>
    <cellStyle name="_PBC-Ben_2003.06.30(Air China - Payables &amp; LT Deferred Assets)_N4表－航材_H_equity investment_Revised PBC 15-17" xfId="2947"/>
    <cellStyle name="_PBC-Ben_2003.06.30(Air China - Payables &amp; LT Deferred Assets)_N4表－航材_Revised PBC 15-17" xfId="2948"/>
    <cellStyle name="_PBC-Ben_2003.06.30(Air China - Payables &amp; LT Deferred Assets)_OR-04Q2-WP_7-SEP" xfId="2949"/>
    <cellStyle name="_PBC-Ben_2003.06.30(Air China - Payables &amp; LT Deferred Assets)_OR-04Q2-WP_7-SEP_H_equity investment" xfId="2950"/>
    <cellStyle name="_PBC-Ben_2003.06.30(Air China - Payables &amp; LT Deferred Assets)_OR-04Q2-WP_7-SEP_H_equity investment_Revised PBC 15-17" xfId="2951"/>
    <cellStyle name="_PBC-Ben_2003.06.30(Air China - Payables &amp; LT Deferred Assets)_OR-04Q2-WP_7-SEP_OR-Aug" xfId="2952"/>
    <cellStyle name="_PBC-Ben_2003.06.30(Air China - Payables &amp; LT Deferred Assets)_OR-04Q2-WP_7-SEP_OR-Aug_H_equity investment" xfId="2953"/>
    <cellStyle name="_PBC-Ben_2003.06.30(Air China - Payables &amp; LT Deferred Assets)_OR-04Q2-WP_7-SEP_OR-Aug_H_equity investment_Revised PBC 15-17" xfId="2954"/>
    <cellStyle name="_PBC-Ben_2003.06.30(Air China - Payables &amp; LT Deferred Assets)_OR-04Q2-WP_7-SEP_OR-Aug_OR-9.30" xfId="2955"/>
    <cellStyle name="_PBC-Ben_2003.06.30(Air China - Payables &amp; LT Deferred Assets)_OR-04Q2-WP_7-SEP_OR-Aug_OR-9.30_H_equity investment" xfId="2956"/>
    <cellStyle name="_PBC-Ben_2003.06.30(Air China - Payables &amp; LT Deferred Assets)_OR-04Q2-WP_7-SEP_OR-Aug_OR-9.30_H_equity investment_Revised PBC 15-17" xfId="2957"/>
    <cellStyle name="_PBC-Ben_2003.06.30(Air China - Payables &amp; LT Deferred Assets)_OR-04Q2-WP_7-SEP_OR-Aug_OR-9.30_Revised PBC 15-17" xfId="2958"/>
    <cellStyle name="_PBC-Ben_2003.06.30(Air China - Payables &amp; LT Deferred Assets)_OR-04Q2-WP_7-SEP_OR-Aug_Revised PBC 15-17" xfId="2959"/>
    <cellStyle name="_PBC-Ben_2003.06.30(Air China - Payables &amp; LT Deferred Assets)_OR-04Q2-WP_7-SEP_Revised PBC 15-17" xfId="2960"/>
    <cellStyle name="_PBC-Ben_2003.06.30(Air China - Payables &amp; LT Deferred Assets)_OR-9.30" xfId="2961"/>
    <cellStyle name="_PBC-Ben_2003.06.30(Air China - Payables &amp; LT Deferred Assets)_OR-9.30_H_equity investment" xfId="2962"/>
    <cellStyle name="_PBC-Ben_2003.06.30(Air China - Payables &amp; LT Deferred Assets)_OR-9.30_H_equity investment_Revised PBC 15-17" xfId="2963"/>
    <cellStyle name="_PBC-Ben_2003.06.30(Air China - Payables &amp; LT Deferred Assets)_OR-9.30_Revised PBC 15-17" xfId="2964"/>
    <cellStyle name="_PBC-Ben_2003.06.30(Air China - Payables &amp; LT Deferred Assets)_P1-其他应付款-北京" xfId="2965"/>
    <cellStyle name="_PBC-Ben_2003.06.30(Air China - Payables &amp; LT Deferred Assets)_P1-其他应付款-北京_H_equity investment" xfId="2966"/>
    <cellStyle name="_PBC-Ben_2003.06.30(Air China - Payables &amp; LT Deferred Assets)_P1-其他应付款-北京_H_equity investment_Revised PBC 15-17" xfId="2967"/>
    <cellStyle name="_PBC-Ben_2003.06.30(Air China - Payables &amp; LT Deferred Assets)_P1-其他应付款-北京_OR-9.30" xfId="2968"/>
    <cellStyle name="_PBC-Ben_2003.06.30(Air China - Payables &amp; LT Deferred Assets)_P1-其他应付款-北京_OR-9.30_H_equity investment" xfId="2969"/>
    <cellStyle name="_PBC-Ben_2003.06.30(Air China - Payables &amp; LT Deferred Assets)_P1-其他应付款-北京_OR-9.30_H_equity investment_Revised PBC 15-17" xfId="2970"/>
    <cellStyle name="_PBC-Ben_2003.06.30(Air China - Payables &amp; LT Deferred Assets)_P1-其他应付款-北京_OR-9.30_Revised PBC 15-17" xfId="2971"/>
    <cellStyle name="_PBC-Ben_2003.06.30(Air China - Payables &amp; LT Deferred Assets)_P1-其他应付款-北京_Revised PBC 15-17" xfId="2972"/>
    <cellStyle name="_PBC-Ben_2003.06.30(Air China - Payables &amp; LT Deferred Assets)_Revised PBC 15-17" xfId="2973"/>
    <cellStyle name="_PBC-Ben_2003.06.30(Air China - Payables &amp; LT Deferred Assets)_SPREADSHEET 2004.3.16  afternoon" xfId="2974"/>
    <cellStyle name="_PBC-Ben_2003.06.30(Air China - Payables &amp; LT Deferred Assets)_SPREADSHEET 2004.3.16  afternoon_H_equity investment" xfId="2975"/>
    <cellStyle name="_PBC-Ben_2003.06.30(Air China - Payables &amp; LT Deferred Assets)_SPREADSHEET 2004.3.16  afternoon_H_equity investment_Revised PBC 15-17" xfId="2976"/>
    <cellStyle name="_PBC-Ben_2003.06.30(Air China - Payables &amp; LT Deferred Assets)_SPREADSHEET 2004.3.16  afternoon_Revised PBC 15-17" xfId="2977"/>
    <cellStyle name="_PBC-Ben_2003.06.30(Air China - Payables &amp; LT Deferred Assets)_SPREADSHEET 2004.3.17evening" xfId="2978"/>
    <cellStyle name="_PBC-Ben_2003.06.30(Air China - Payables &amp; LT Deferred Assets)_SPREADSHEET 2004.3.17evening_H_equity investment" xfId="2979"/>
    <cellStyle name="_PBC-Ben_2003.06.30(Air China - Payables &amp; LT Deferred Assets)_SPREADSHEET 2004.3.17evening_H_equity investment_Revised PBC 15-17" xfId="2980"/>
    <cellStyle name="_PBC-Ben_2003.06.30(Air China - Payables &amp; LT Deferred Assets)_SPREADSHEET 2004.3.17evening_Revised PBC 15-17" xfId="2981"/>
    <cellStyle name="_PBC-Ben_2003.06.30(Air China - Payables &amp; LT Deferred Assets)_报安永 (2004-6)综合" xfId="2982"/>
    <cellStyle name="_PBC-Ben_2003.06.30(Air China - Payables &amp; LT Deferred Assets)_报安永 (2004-6)综合_Book7" xfId="2983"/>
    <cellStyle name="_PBC-Ben_2003.06.30(Air China - Payables &amp; LT Deferred Assets)_报安永 (2004-6)综合_Book7_H_equity investment" xfId="2984"/>
    <cellStyle name="_PBC-Ben_2003.06.30(Air China - Payables &amp; LT Deferred Assets)_报安永 (2004-6)综合_Book7_H_equity investment_Revised PBC 15-17" xfId="2985"/>
    <cellStyle name="_PBC-Ben_2003.06.30(Air China - Payables &amp; LT Deferred Assets)_报安永 (2004-6)综合_Book7_Revised PBC 15-17" xfId="2986"/>
    <cellStyle name="_PBC-Ben_2003.06.30(Air China - Payables &amp; LT Deferred Assets)_报安永 (2004-6)综合_H_equity investment" xfId="2987"/>
    <cellStyle name="_PBC-Ben_2003.06.30(Air China - Payables &amp; LT Deferred Assets)_报安永 (2004-6)综合_H_equity investment_Revised PBC 15-17" xfId="2988"/>
    <cellStyle name="_PBC-Ben_2003.06.30(Air China - Payables &amp; LT Deferred Assets)_报安永 (2004-6)综合_Revised PBC 15-17" xfId="2989"/>
    <cellStyle name="_PBC-Ben_200409其他应收、其他应付、工资、福利、保险" xfId="2990"/>
    <cellStyle name="_PBC-Ben_200409其他应收、其他应付、工资、福利、保险_H_equity investment" xfId="2991"/>
    <cellStyle name="_PBC-Ben_200409其他应收、其他应付、工资、福利、保险_H_equity investment_Revised PBC 15-17" xfId="2992"/>
    <cellStyle name="_PBC-Ben_200409其他应收、其他应付、工资、福利、保险_Revised PBC 15-17" xfId="2993"/>
    <cellStyle name="_PBC-Ben_Book7" xfId="2994"/>
    <cellStyle name="_PBC-Ben_Book7_H_equity investment" xfId="2995"/>
    <cellStyle name="_PBC-Ben_Book7_H_equity investment_Revised PBC 15-17" xfId="2996"/>
    <cellStyle name="_PBC-Ben_Book7_Revised PBC 15-17" xfId="2997"/>
    <cellStyle name="_PBC-Ben_FA---032q" xfId="2998"/>
    <cellStyle name="_PBC-Ben_FA---032q_FA---032q-8.21" xfId="2999"/>
    <cellStyle name="_PBC-Ben_FA---032q_FA---032q-8.21_H" xfId="3000"/>
    <cellStyle name="_PBC-Ben_FA---032q_FA---032q-8.21_H_H_equity investment" xfId="3001"/>
    <cellStyle name="_PBC-Ben_FA---032q_FA---032q-8.21_H_H_equity investment_Revised PBC 15-17" xfId="3002"/>
    <cellStyle name="_PBC-Ben_FA---032q_FA---032q-8.21_H_Revised PBC 15-17" xfId="3003"/>
    <cellStyle name="_PBC-Ben_FA---032q_FA---032q-8.21_H_Sep 4.15 morning" xfId="3004"/>
    <cellStyle name="_PBC-Ben_FA---032q_FA---032q-8.21_H_Sep 4.15 morning_H_equity investment" xfId="3005"/>
    <cellStyle name="_PBC-Ben_FA---032q_FA---032q-8.21_H_Sep 4.15 morning_H_equity investment_Revised PBC 15-17" xfId="3006"/>
    <cellStyle name="_PBC-Ben_FA---032q_FA---032q-8.21_H_Sep 4.15 morning_Revised PBC 15-17" xfId="3007"/>
    <cellStyle name="_PBC-Ben_FA---032q_FA---032q-8.21_H3240_ASSO BASIC INFO_evening" xfId="3008"/>
    <cellStyle name="_PBC-Ben_FA---032q_FA---032q-8.21_H3240_ASSO BASIC INFO_evening_H_equity investment" xfId="3009"/>
    <cellStyle name="_PBC-Ben_FA---032q_FA---032q-8.21_H3240_ASSO BASIC INFO_evening_H_equity investment_Revised PBC 15-17" xfId="3010"/>
    <cellStyle name="_PBC-Ben_FA---032q_FA---032q-8.21_H3240_ASSO BASIC INFO_evening_Revised PBC 15-17" xfId="3011"/>
    <cellStyle name="_PBC-Ben_FA---032q_FA---032q-8.21_Revised PBC 15-17" xfId="3012"/>
    <cellStyle name="_PBC-Ben_FA---032q_FA---032q-8.21_SPREADSHEET 2004.3.16  afternoon" xfId="3013"/>
    <cellStyle name="_PBC-Ben_FA---032q_FA---032q-8.21_SPREADSHEET 2004.3.16  afternoon_H_equity investment" xfId="3014"/>
    <cellStyle name="_PBC-Ben_FA---032q_FA---032q-8.21_SPREADSHEET 2004.3.16  afternoon_H_equity investment_Revised PBC 15-17" xfId="3015"/>
    <cellStyle name="_PBC-Ben_FA---032q_FA---032q-8.21_SPREADSHEET 2004.3.16  afternoon_Revised PBC 15-17" xfId="3016"/>
    <cellStyle name="_PBC-Ben_FA---032q_FA---032q-8.21_SPREADSHEET 2004.3.17evening" xfId="3017"/>
    <cellStyle name="_PBC-Ben_FA---032q_FA---032q-8.21_SPREADSHEET 2004.3.17evening_H_equity investment" xfId="3018"/>
    <cellStyle name="_PBC-Ben_FA---032q_FA---032q-8.21_SPREADSHEET 2004.3.17evening_H_equity investment_Revised PBC 15-17" xfId="3019"/>
    <cellStyle name="_PBC-Ben_FA---032q_FA---032q-8.21_SPREADSHEET 2004.3.17evening_Revised PBC 15-17" xfId="3020"/>
    <cellStyle name="_PBC-Ben_FA---032q_H" xfId="3021"/>
    <cellStyle name="_PBC-Ben_FA---032q_H_H_equity investment" xfId="3022"/>
    <cellStyle name="_PBC-Ben_FA---032q_H_H_equity investment_Revised PBC 15-17" xfId="3023"/>
    <cellStyle name="_PBC-Ben_FA---032q_H_Revised PBC 15-17" xfId="3024"/>
    <cellStyle name="_PBC-Ben_FA---032q_H_Sep 4.15 morning" xfId="3025"/>
    <cellStyle name="_PBC-Ben_FA---032q_H_Sep 4.15 morning_H_equity investment" xfId="3026"/>
    <cellStyle name="_PBC-Ben_FA---032q_H_Sep 4.15 morning_H_equity investment_Revised PBC 15-17" xfId="3027"/>
    <cellStyle name="_PBC-Ben_FA---032q_H_Sep 4.15 morning_Revised PBC 15-17" xfId="3028"/>
    <cellStyle name="_PBC-Ben_FA---032q_H3240_ASSO BASIC INFO_evening" xfId="3029"/>
    <cellStyle name="_PBC-Ben_FA---032q_H3240_ASSO BASIC INFO_evening_H_equity investment" xfId="3030"/>
    <cellStyle name="_PBC-Ben_FA---032q_H3240_ASSO BASIC INFO_evening_H_equity investment_Revised PBC 15-17" xfId="3031"/>
    <cellStyle name="_PBC-Ben_FA---032q_H3240_ASSO BASIC INFO_evening_H_equity investment_Revised PBC 15-17 2" xfId="3032"/>
    <cellStyle name="_PBC-Ben_FA---032q_H3240_ASSO BASIC INFO_evening_H_equity investment_Revised PBC 15-17 2 2" xfId="3033"/>
    <cellStyle name="_PBC-Ben_FA---032q_H3240_ASSO BASIC INFO_evening_H_equity investment_Revised PBC 15-17_U section standard wp-secipic-level 1-20091231-1110" xfId="3034"/>
    <cellStyle name="_PBC-Ben_FA---032q_H3240_ASSO BASIC INFO_evening_H_equity investment_Revised PBC 15-17_U section standard wp-secipic-level 1-20091231-1110 2" xfId="3035"/>
    <cellStyle name="_PBC-Ben_FA---032q_H3240_ASSO BASIC INFO_evening_H_equity investment_Revised PBC 15-17_U section standard wp-secipic-level 1-20091231-1110_因素变动分析表" xfId="3036"/>
    <cellStyle name="_PBC-Ben_FA---032q_H3240_ASSO BASIC INFO_evening_H_equity investment_Revised PBC 15-17_U section standard wp-secipic-level 1-20091231-1110_因素变动分析表 2" xfId="3037"/>
    <cellStyle name="_PBC-Ben_FA---032q_H3240_ASSO BASIC INFO_evening_H_equity investment_Revised PBC 15-17_月度分析用表" xfId="3038"/>
    <cellStyle name="_PBC-Ben_FA---032q_H3240_ASSO BASIC INFO_evening_Revised PBC 15-17" xfId="3039"/>
    <cellStyle name="_PBC-Ben_FA---032q_Revised PBC 15-17" xfId="3040"/>
    <cellStyle name="_PBC-Ben_FA---032q_SPREADSHEET 2004.3.16  afternoon" xfId="3041"/>
    <cellStyle name="_PBC-Ben_FA---032q_SPREADSHEET 2004.3.16  afternoon_H_equity investment" xfId="3042"/>
    <cellStyle name="_PBC-Ben_FA---032q_SPREADSHEET 2004.3.16  afternoon_H_equity investment_Revised PBC 15-17" xfId="3043"/>
    <cellStyle name="_PBC-Ben_FA---032q_SPREADSHEET 2004.3.16  afternoon_Revised PBC 15-17" xfId="3044"/>
    <cellStyle name="_PBC-Ben_FA---032q_SPREADSHEET 2004.3.17evening" xfId="3045"/>
    <cellStyle name="_PBC-Ben_FA---032q_SPREADSHEET 2004.3.17evening_H_equity investment" xfId="3046"/>
    <cellStyle name="_PBC-Ben_FA---032q_SPREADSHEET 2004.3.17evening_H_equity investment_Revised PBC 15-17" xfId="3047"/>
    <cellStyle name="_PBC-Ben_FA---032q_SPREADSHEET 2004.3.17evening_Revised PBC 15-17" xfId="3048"/>
    <cellStyle name="_PBC-Ben_FA---032q_WP K032q  823" xfId="3049"/>
    <cellStyle name="_PBC-Ben_FA---032q_WP K032q  823_H" xfId="3050"/>
    <cellStyle name="_PBC-Ben_FA---032q_WP K032q  823_H_H_equity investment" xfId="3051"/>
    <cellStyle name="_PBC-Ben_FA---032q_WP K032q  823_H_H_equity investment_Revised PBC 15-17" xfId="3052"/>
    <cellStyle name="_PBC-Ben_FA---032q_WP K032q  823_H_Revised PBC 15-17" xfId="3053"/>
    <cellStyle name="_PBC-Ben_FA---032q_WP K032q  823_H_Sep 4.15 morning" xfId="3054"/>
    <cellStyle name="_PBC-Ben_FA---032q_WP K032q  823_H_Sep 4.15 morning_H_equity investment" xfId="3055"/>
    <cellStyle name="_PBC-Ben_FA---032q_WP K032q  823_H_Sep 4.15 morning_H_equity investment_Revised PBC 15-17" xfId="3056"/>
    <cellStyle name="_PBC-Ben_FA---032q_WP K032q  823_H_Sep 4.15 morning_Revised PBC 15-17" xfId="3057"/>
    <cellStyle name="_PBC-Ben_FA---032q_WP K032q  823_H3240_ASSO BASIC INFO_evening" xfId="3058"/>
    <cellStyle name="_PBC-Ben_FA---032q_WP K032q  823_H3240_ASSO BASIC INFO_evening_H_equity investment" xfId="3059"/>
    <cellStyle name="_PBC-Ben_FA---032q_WP K032q  823_H3240_ASSO BASIC INFO_evening_H_equity investment_Revised PBC 15-17" xfId="3060"/>
    <cellStyle name="_PBC-Ben_FA---032q_WP K032q  823_H3240_ASSO BASIC INFO_evening_Revised PBC 15-17" xfId="3061"/>
    <cellStyle name="_PBC-Ben_FA---032q_WP K032q  823_Revised PBC 15-17" xfId="3062"/>
    <cellStyle name="_PBC-Ben_FA---032q_WP K032q  823_SPREADSHEET 2004.3.16  afternoon" xfId="3063"/>
    <cellStyle name="_PBC-Ben_FA---032q_WP K032q  823_SPREADSHEET 2004.3.16  afternoon_H_equity investment" xfId="3064"/>
    <cellStyle name="_PBC-Ben_FA---032q_WP K032q  823_SPREADSHEET 2004.3.16  afternoon_H_equity investment_Revised PBC 15-17" xfId="3065"/>
    <cellStyle name="_PBC-Ben_FA---032q_WP K032q  823_SPREADSHEET 2004.3.16  afternoon_Revised PBC 15-17" xfId="3066"/>
    <cellStyle name="_PBC-Ben_FA---032q_WP K032q  823_SPREADSHEET 2004.3.17evening" xfId="3067"/>
    <cellStyle name="_PBC-Ben_FA---032q_WP K032q  823_SPREADSHEET 2004.3.17evening_H_equity investment" xfId="3068"/>
    <cellStyle name="_PBC-Ben_FA---032q_WP K032q  823_SPREADSHEET 2004.3.17evening_H_equity investment_Revised PBC 15-17" xfId="3069"/>
    <cellStyle name="_PBC-Ben_FA---032q_WP K032q  823_SPREADSHEET 2004.3.17evening_Revised PBC 15-17" xfId="3070"/>
    <cellStyle name="_PBC-Ben_H" xfId="3071"/>
    <cellStyle name="_PBC-Ben_H_H_equity investment" xfId="3072"/>
    <cellStyle name="_PBC-Ben_H_H_equity investment_Revised PBC 15-17" xfId="3073"/>
    <cellStyle name="_PBC-Ben_H_Revised PBC 15-17" xfId="3074"/>
    <cellStyle name="_PBC-Ben_H_Sep 4.15 morning" xfId="3075"/>
    <cellStyle name="_PBC-Ben_H_Sep 4.15 morning_H_equity investment" xfId="3076"/>
    <cellStyle name="_PBC-Ben_H_Sep 4.15 morning_H_equity investment_Revised PBC 15-17" xfId="3077"/>
    <cellStyle name="_PBC-Ben_H_Sep 4.15 morning_Revised PBC 15-17" xfId="3078"/>
    <cellStyle name="_PBC-Ben_H3240_ASSO BASIC INFO_evening" xfId="3079"/>
    <cellStyle name="_PBC-Ben_H3240_ASSO BASIC INFO_evening_H_equity investment" xfId="3080"/>
    <cellStyle name="_PBC-Ben_H3240_ASSO BASIC INFO_evening_H_equity investment_Revised PBC 15-17" xfId="3081"/>
    <cellStyle name="_PBC-Ben_H3240_ASSO BASIC INFO_evening_Revised PBC 15-17" xfId="3082"/>
    <cellStyle name="_PBC-Ben_OR-04Q2-WP_7-SEP" xfId="3083"/>
    <cellStyle name="_PBC-Ben_OR-04Q2-WP_7-SEP_H_equity investment" xfId="3084"/>
    <cellStyle name="_PBC-Ben_OR-04Q2-WP_7-SEP_H_equity investment_Revised PBC 15-17" xfId="3085"/>
    <cellStyle name="_PBC-Ben_OR-04Q2-WP_7-SEP_OR-Aug" xfId="3086"/>
    <cellStyle name="_PBC-Ben_OR-04Q2-WP_7-SEP_OR-Aug_H_equity investment" xfId="3087"/>
    <cellStyle name="_PBC-Ben_OR-04Q2-WP_7-SEP_OR-Aug_H_equity investment_Revised PBC 15-17" xfId="3088"/>
    <cellStyle name="_PBC-Ben_OR-04Q2-WP_7-SEP_OR-Aug_OR-9.30" xfId="3089"/>
    <cellStyle name="_PBC-Ben_OR-04Q2-WP_7-SEP_OR-Aug_OR-9.30_H_equity investment" xfId="3090"/>
    <cellStyle name="_PBC-Ben_OR-04Q2-WP_7-SEP_OR-Aug_OR-9.30_H_equity investment_Revised PBC 15-17" xfId="3091"/>
    <cellStyle name="_PBC-Ben_OR-04Q2-WP_7-SEP_OR-Aug_OR-9.30_Revised PBC 15-17" xfId="3092"/>
    <cellStyle name="_PBC-Ben_OR-04Q2-WP_7-SEP_OR-Aug_Revised PBC 15-17" xfId="3093"/>
    <cellStyle name="_PBC-Ben_OR-04Q2-WP_7-SEP_Revised PBC 15-17" xfId="3094"/>
    <cellStyle name="_PBC-Ben_OR-9.30" xfId="3095"/>
    <cellStyle name="_PBC-Ben_OR-9.30_H_equity investment" xfId="3096"/>
    <cellStyle name="_PBC-Ben_OR-9.30_H_equity investment_Revised PBC 15-17" xfId="3097"/>
    <cellStyle name="_PBC-Ben_OR-9.30_Revised PBC 15-17" xfId="3098"/>
    <cellStyle name="_PBC-Ben_Revised PBC 15-17" xfId="3099"/>
    <cellStyle name="_PBC-Ben_SPREADSHEET 2004.3.16  afternoon" xfId="3100"/>
    <cellStyle name="_PBC-Ben_SPREADSHEET 2004.3.16  afternoon_H_equity investment" xfId="3101"/>
    <cellStyle name="_PBC-Ben_SPREADSHEET 2004.3.16  afternoon_H_equity investment_Revised PBC 15-17" xfId="3102"/>
    <cellStyle name="_PBC-Ben_SPREADSHEET 2004.3.16  afternoon_Revised PBC 15-17" xfId="3103"/>
    <cellStyle name="_PBC-Ben_SPREADSHEET 2004.3.17evening" xfId="3104"/>
    <cellStyle name="_PBC-Ben_SPREADSHEET 2004.3.17evening_H_equity investment" xfId="3105"/>
    <cellStyle name="_PBC-Ben_SPREADSHEET 2004.3.17evening_H_equity investment_Revised PBC 15-17" xfId="3106"/>
    <cellStyle name="_PBC-Ben_SPREADSHEET 2004.3.17evening_Revised PBC 15-17" xfId="3107"/>
    <cellStyle name="_PBC-detail" xfId="3108"/>
    <cellStyle name="_PBC目录-071231-1218" xfId="3109"/>
    <cellStyle name="_PRC Adjustments 011231" xfId="3110"/>
    <cellStyle name="_PRC Adjustments 011231_Branch Template of U working paper(081031)" xfId="3111"/>
    <cellStyle name="_PRC Adjustments 011231_CCB.Dec03AuditPack.GL.V2" xfId="3112"/>
    <cellStyle name="_PRC Adjustments 011231_CCB.Dec03AuditPack.GL.V2_Branch Template of U working paper(081031)" xfId="3113"/>
    <cellStyle name="_PRC Adjustments 011231_CCB.Dec03AuditPack.GL.V2_ICBC PBC-Draft 12-9" xfId="3114"/>
    <cellStyle name="_PRC Adjustments 011231_CCB.Dec03AuditPack.GL.V2_PBC-detail" xfId="3115"/>
    <cellStyle name="_PRC Adjustments 011231_CCB.Dec03AuditPack.GL.V2_U section modify ref_12.13" xfId="3116"/>
    <cellStyle name="_PRC Adjustments 011231_CCB.Dec03AuditPack.GL.V2_U section-3.22" xfId="3117"/>
    <cellStyle name="_PRC Adjustments 011231_CCB.Dec03AuditPack.GL.V2_U section-3.23" xfId="3118"/>
    <cellStyle name="_PRC Adjustments 011231_CCB.Dec03AuditPack.GL.V2_U100-PBC" xfId="3119"/>
    <cellStyle name="_PRC Adjustments 011231_CCB.Dec03AuditPack.GL.V2_Yield wp template(081031)" xfId="3120"/>
    <cellStyle name="_PRC Adjustments 011231_CCB.GLAudit Package.040114" xfId="3121"/>
    <cellStyle name="_PRC Adjustments 011231_CCB.GLAudit Package.040114_Branch Template of U working paper(081031)" xfId="3122"/>
    <cellStyle name="_PRC Adjustments 011231_CCB.GLAudit Package.040114_CCB.Dec03AuditPack.GL.V2" xfId="3123"/>
    <cellStyle name="_PRC Adjustments 011231_CCB.GLAudit Package.040114_CCB.Dec03AuditPack.GL.V2_Branch Template of U working paper(081031)" xfId="3124"/>
    <cellStyle name="_PRC Adjustments 011231_CCB.GLAudit Package.040114_CCB.Dec03AuditPack.GL.V2_ICBC PBC-Draft 12-9" xfId="3125"/>
    <cellStyle name="_PRC Adjustments 011231_CCB.GLAudit Package.040114_CCB.Dec03AuditPack.GL.V2_PBC-detail" xfId="3126"/>
    <cellStyle name="_PRC Adjustments 011231_CCB.GLAudit Package.040114_CCB.Dec03AuditPack.GL.V2_U section modify ref_12.13" xfId="3127"/>
    <cellStyle name="_PRC Adjustments 011231_CCB.GLAudit Package.040114_CCB.Dec03AuditPack.GL.V2_U section-3.22" xfId="3128"/>
    <cellStyle name="_PRC Adjustments 011231_CCB.GLAudit Package.040114_CCB.Dec03AuditPack.GL.V2_U section-3.23" xfId="3129"/>
    <cellStyle name="_PRC Adjustments 011231_CCB.GLAudit Package.040114_CCB.Dec03AuditPack.GL.V2_U100-PBC" xfId="3130"/>
    <cellStyle name="_PRC Adjustments 011231_CCB.GLAudit Package.040114_CCB.Dec03AuditPack.GL.V2_Yield wp template(081031)" xfId="3131"/>
    <cellStyle name="_PRC Adjustments 011231_CCB.GLAudit Package.040114_ICBC PBC-Draft 12-9" xfId="3132"/>
    <cellStyle name="_PRC Adjustments 011231_CCB.GLAudit Package.040114_PBC-detail" xfId="3133"/>
    <cellStyle name="_PRC Adjustments 011231_CCB.GLAudit Package.040114_U section modify ref_12.13" xfId="3134"/>
    <cellStyle name="_PRC Adjustments 011231_CCB.GLAudit Package.040114_U section-3.22" xfId="3135"/>
    <cellStyle name="_PRC Adjustments 011231_CCB.GLAudit Package.040114_U section-3.23" xfId="3136"/>
    <cellStyle name="_PRC Adjustments 011231_CCB.GLAudit Package.040114_U100-PBC" xfId="3137"/>
    <cellStyle name="_PRC Adjustments 011231_CCB.GLAudit Package.040114_Yield wp template(081031)" xfId="3138"/>
    <cellStyle name="_PRC Adjustments 011231_CCB.HO.New TB template.CCB PRC IAS Sorting.040223 trial run" xfId="3139"/>
    <cellStyle name="_PRC Adjustments 011231_CCB.HO.New TB template.CCB PRC IAS Sorting.040223 trial run_Branch Template of U working paper(081031)" xfId="3140"/>
    <cellStyle name="_PRC Adjustments 011231_CCB.HO.New TB template.CCB PRC IAS Sorting.040223 trial run_CCB.Dec03AuditPack.GL.V2" xfId="3141"/>
    <cellStyle name="_PRC Adjustments 011231_CCB.HO.New TB template.CCB PRC IAS Sorting.040223 trial run_CCB.Dec03AuditPack.GL.V2_Branch Template of U working paper(081031)" xfId="3142"/>
    <cellStyle name="_PRC Adjustments 011231_CCB.HO.New TB template.CCB PRC IAS Sorting.040223 trial run_CCB.Dec03AuditPack.GL.V2_ICBC PBC-Draft 12-9" xfId="3143"/>
    <cellStyle name="_PRC Adjustments 011231_CCB.HO.New TB template.CCB PRC IAS Sorting.040223 trial run_CCB.Dec03AuditPack.GL.V2_PBC-detail" xfId="3144"/>
    <cellStyle name="_PRC Adjustments 011231_CCB.HO.New TB template.CCB PRC IAS Sorting.040223 trial run_CCB.Dec03AuditPack.GL.V2_U section modify ref_12.13" xfId="3145"/>
    <cellStyle name="_PRC Adjustments 011231_CCB.HO.New TB template.CCB PRC IAS Sorting.040223 trial run_CCB.Dec03AuditPack.GL.V2_U section-3.22" xfId="3146"/>
    <cellStyle name="_PRC Adjustments 011231_CCB.HO.New TB template.CCB PRC IAS Sorting.040223 trial run_CCB.Dec03AuditPack.GL.V2_U section-3.23" xfId="3147"/>
    <cellStyle name="_PRC Adjustments 011231_CCB.HO.New TB template.CCB PRC IAS Sorting.040223 trial run_CCB.Dec03AuditPack.GL.V2_U100-PBC" xfId="3148"/>
    <cellStyle name="_PRC Adjustments 011231_CCB.HO.New TB template.CCB PRC IAS Sorting.040223 trial run_CCB.Dec03AuditPack.GL.V2_Yield wp template(081031)" xfId="3149"/>
    <cellStyle name="_PRC Adjustments 011231_CCB.HO.New TB template.CCB PRC IAS Sorting.040223 trial run_ICBC PBC-Draft 12-9" xfId="3150"/>
    <cellStyle name="_PRC Adjustments 011231_CCB.HO.New TB template.CCB PRC IAS Sorting.040223 trial run_PBC-detail" xfId="3151"/>
    <cellStyle name="_PRC Adjustments 011231_CCB.HO.New TB template.CCB PRC IAS Sorting.040223 trial run_U section modify ref_12.13" xfId="3152"/>
    <cellStyle name="_PRC Adjustments 011231_CCB.HO.New TB template.CCB PRC IAS Sorting.040223 trial run_U section-3.22" xfId="3153"/>
    <cellStyle name="_PRC Adjustments 011231_CCB.HO.New TB template.CCB PRC IAS Sorting.040223 trial run_U section-3.23" xfId="3154"/>
    <cellStyle name="_PRC Adjustments 011231_CCB.HO.New TB template.CCB PRC IAS Sorting.040223 trial run_U100-PBC" xfId="3155"/>
    <cellStyle name="_PRC Adjustments 011231_CCB.HO.New TB template.CCB PRC IAS Sorting.040223 trial run_Yield wp template(081031)" xfId="3156"/>
    <cellStyle name="_PRC Adjustments 011231_CCB.HO.New TB template.IAS Sorting.040210" xfId="3157"/>
    <cellStyle name="_PRC Adjustments 011231_CCB.HO.New TB template.IAS Sorting.040210_Branch Template of U working paper(081031)" xfId="3158"/>
    <cellStyle name="_PRC Adjustments 011231_CCB.HO.New TB template.IAS Sorting.040210_CCB.Dec03AuditPack.GL.V2" xfId="3159"/>
    <cellStyle name="_PRC Adjustments 011231_CCB.HO.New TB template.IAS Sorting.040210_CCB.Dec03AuditPack.GL.V2_Branch Template of U working paper(081031)" xfId="3160"/>
    <cellStyle name="_PRC Adjustments 011231_CCB.HO.New TB template.IAS Sorting.040210_CCB.Dec03AuditPack.GL.V2_ICBC PBC-Draft 12-9" xfId="3161"/>
    <cellStyle name="_PRC Adjustments 011231_CCB.HO.New TB template.IAS Sorting.040210_CCB.Dec03AuditPack.GL.V2_PBC-detail" xfId="3162"/>
    <cellStyle name="_PRC Adjustments 011231_CCB.HO.New TB template.IAS Sorting.040210_CCB.Dec03AuditPack.GL.V2_U section modify ref_12.13" xfId="3163"/>
    <cellStyle name="_PRC Adjustments 011231_CCB.HO.New TB template.IAS Sorting.040210_CCB.Dec03AuditPack.GL.V2_U section-3.22" xfId="3164"/>
    <cellStyle name="_PRC Adjustments 011231_CCB.HO.New TB template.IAS Sorting.040210_CCB.Dec03AuditPack.GL.V2_U section-3.23" xfId="3165"/>
    <cellStyle name="_PRC Adjustments 011231_CCB.HO.New TB template.IAS Sorting.040210_CCB.Dec03AuditPack.GL.V2_U100-PBC" xfId="3166"/>
    <cellStyle name="_PRC Adjustments 011231_CCB.HO.New TB template.IAS Sorting.040210_CCB.Dec03AuditPack.GL.V2_Yield wp template(081031)" xfId="3167"/>
    <cellStyle name="_PRC Adjustments 011231_CCB.HO.New TB template.IAS Sorting.040210_ICBC PBC-Draft 12-9" xfId="3168"/>
    <cellStyle name="_PRC Adjustments 011231_CCB.HO.New TB template.IAS Sorting.040210_PBC-detail" xfId="3169"/>
    <cellStyle name="_PRC Adjustments 011231_CCB.HO.New TB template.IAS Sorting.040210_U section modify ref_12.13" xfId="3170"/>
    <cellStyle name="_PRC Adjustments 011231_CCB.HO.New TB template.IAS Sorting.040210_U section-3.22" xfId="3171"/>
    <cellStyle name="_PRC Adjustments 011231_CCB.HO.New TB template.IAS Sorting.040210_U section-3.23" xfId="3172"/>
    <cellStyle name="_PRC Adjustments 011231_CCB.HO.New TB template.IAS Sorting.040210_U100-PBC" xfId="3173"/>
    <cellStyle name="_PRC Adjustments 011231_CCB.HO.New TB template.IAS Sorting.040210_Yield wp template(081031)" xfId="3174"/>
    <cellStyle name="_PRC Adjustments 011231_CCB.HO.New TB template.PRC Sorting.040210" xfId="3175"/>
    <cellStyle name="_PRC Adjustments 011231_CCB.HO.New TB template.PRC Sorting.040210_Branch Template of U working paper(081031)" xfId="3176"/>
    <cellStyle name="_PRC Adjustments 011231_CCB.HO.New TB template.PRC Sorting.040210_CCB.Dec03AuditPack.GL.V2" xfId="3177"/>
    <cellStyle name="_PRC Adjustments 011231_CCB.HO.New TB template.PRC Sorting.040210_CCB.Dec03AuditPack.GL.V2_Branch Template of U working paper(081031)" xfId="3178"/>
    <cellStyle name="_PRC Adjustments 011231_CCB.HO.New TB template.PRC Sorting.040210_CCB.Dec03AuditPack.GL.V2_ICBC PBC-Draft 12-9" xfId="3179"/>
    <cellStyle name="_PRC Adjustments 011231_CCB.HO.New TB template.PRC Sorting.040210_CCB.Dec03AuditPack.GL.V2_PBC-detail" xfId="3180"/>
    <cellStyle name="_PRC Adjustments 011231_CCB.HO.New TB template.PRC Sorting.040210_CCB.Dec03AuditPack.GL.V2_U section modify ref_12.13" xfId="3181"/>
    <cellStyle name="_PRC Adjustments 011231_CCB.HO.New TB template.PRC Sorting.040210_CCB.Dec03AuditPack.GL.V2_U section-3.22" xfId="3182"/>
    <cellStyle name="_PRC Adjustments 011231_CCB.HO.New TB template.PRC Sorting.040210_CCB.Dec03AuditPack.GL.V2_U section-3.23" xfId="3183"/>
    <cellStyle name="_PRC Adjustments 011231_CCB.HO.New TB template.PRC Sorting.040210_CCB.Dec03AuditPack.GL.V2_U100-PBC" xfId="3184"/>
    <cellStyle name="_PRC Adjustments 011231_CCB.HO.New TB template.PRC Sorting.040210_CCB.Dec03AuditPack.GL.V2_Yield wp template(081031)" xfId="3185"/>
    <cellStyle name="_PRC Adjustments 011231_CCB.HO.New TB template.PRC Sorting.040210_ICBC PBC-Draft 12-9" xfId="3186"/>
    <cellStyle name="_PRC Adjustments 011231_CCB.HO.New TB template.PRC Sorting.040210_PBC-detail" xfId="3187"/>
    <cellStyle name="_PRC Adjustments 011231_CCB.HO.New TB template.PRC Sorting.040210_U section modify ref_12.13" xfId="3188"/>
    <cellStyle name="_PRC Adjustments 011231_CCB.HO.New TB template.PRC Sorting.040210_U section-3.22" xfId="3189"/>
    <cellStyle name="_PRC Adjustments 011231_CCB.HO.New TB template.PRC Sorting.040210_U section-3.23" xfId="3190"/>
    <cellStyle name="_PRC Adjustments 011231_CCB.HO.New TB template.PRC Sorting.040210_U100-PBC" xfId="3191"/>
    <cellStyle name="_PRC Adjustments 011231_CCB.HO.New TB template.PRC Sorting.040210_Yield wp template(081031)" xfId="3192"/>
    <cellStyle name="_PRC Adjustments 011231_ICBC PBC-Draft 12-9" xfId="3193"/>
    <cellStyle name="_PRC Adjustments 011231_PBC-detail" xfId="3194"/>
    <cellStyle name="_PRC Adjustments 011231_U section modify ref_12.13" xfId="3195"/>
    <cellStyle name="_PRC Adjustments 011231_U section-3.22" xfId="3196"/>
    <cellStyle name="_PRC Adjustments 011231_U section-3.23" xfId="3197"/>
    <cellStyle name="_PRC Adjustments 011231_U100-PBC" xfId="3198"/>
    <cellStyle name="_PRC Adjustments 011231_Yield wp template(081031)" xfId="3199"/>
    <cellStyle name="_PRC Adjustments 021231" xfId="3200"/>
    <cellStyle name="_PRC Adjustments 021231_Branch Template of U working paper(081031)" xfId="3201"/>
    <cellStyle name="_PRC Adjustments 021231_CCB.Dec03AuditPack.GL.V2" xfId="3202"/>
    <cellStyle name="_PRC Adjustments 021231_CCB.Dec03AuditPack.GL.V2_Branch Template of U working paper(081031)" xfId="3203"/>
    <cellStyle name="_PRC Adjustments 021231_CCB.Dec03AuditPack.GL.V2_ICBC PBC-Draft 12-9" xfId="3204"/>
    <cellStyle name="_PRC Adjustments 021231_CCB.Dec03AuditPack.GL.V2_PBC-detail" xfId="3205"/>
    <cellStyle name="_PRC Adjustments 021231_CCB.Dec03AuditPack.GL.V2_U section modify ref_12.13" xfId="3206"/>
    <cellStyle name="_PRC Adjustments 021231_CCB.Dec03AuditPack.GL.V2_U section-3.22" xfId="3207"/>
    <cellStyle name="_PRC Adjustments 021231_CCB.Dec03AuditPack.GL.V2_U section-3.23" xfId="3208"/>
    <cellStyle name="_PRC Adjustments 021231_CCB.Dec03AuditPack.GL.V2_U100-PBC" xfId="3209"/>
    <cellStyle name="_PRC Adjustments 021231_CCB.Dec03AuditPack.GL.V2_Yield wp template(081031)" xfId="3210"/>
    <cellStyle name="_PRC Adjustments 021231_CCB.GLAudit Package.040114" xfId="3211"/>
    <cellStyle name="_PRC Adjustments 021231_CCB.GLAudit Package.040114_Branch Template of U working paper(081031)" xfId="3212"/>
    <cellStyle name="_PRC Adjustments 021231_CCB.GLAudit Package.040114_CCB.Dec03AuditPack.GL.V2" xfId="3213"/>
    <cellStyle name="_PRC Adjustments 021231_CCB.GLAudit Package.040114_CCB.Dec03AuditPack.GL.V2_Branch Template of U working paper(081031)" xfId="3214"/>
    <cellStyle name="_PRC Adjustments 021231_CCB.GLAudit Package.040114_CCB.Dec03AuditPack.GL.V2_ICBC PBC-Draft 12-9" xfId="3215"/>
    <cellStyle name="_PRC Adjustments 021231_CCB.GLAudit Package.040114_CCB.Dec03AuditPack.GL.V2_PBC-detail" xfId="3216"/>
    <cellStyle name="_PRC Adjustments 021231_CCB.GLAudit Package.040114_CCB.Dec03AuditPack.GL.V2_U section modify ref_12.13" xfId="3217"/>
    <cellStyle name="_PRC Adjustments 021231_CCB.GLAudit Package.040114_CCB.Dec03AuditPack.GL.V2_U section-3.22" xfId="3218"/>
    <cellStyle name="_PRC Adjustments 021231_CCB.GLAudit Package.040114_CCB.Dec03AuditPack.GL.V2_U section-3.23" xfId="3219"/>
    <cellStyle name="_PRC Adjustments 021231_CCB.GLAudit Package.040114_CCB.Dec03AuditPack.GL.V2_U100-PBC" xfId="3220"/>
    <cellStyle name="_PRC Adjustments 021231_CCB.GLAudit Package.040114_CCB.Dec03AuditPack.GL.V2_Yield wp template(081031)" xfId="3221"/>
    <cellStyle name="_PRC Adjustments 021231_CCB.GLAudit Package.040114_ICBC PBC-Draft 12-9" xfId="3222"/>
    <cellStyle name="_PRC Adjustments 021231_CCB.GLAudit Package.040114_PBC-detail" xfId="3223"/>
    <cellStyle name="_PRC Adjustments 021231_CCB.GLAudit Package.040114_U section modify ref_12.13" xfId="3224"/>
    <cellStyle name="_PRC Adjustments 021231_CCB.GLAudit Package.040114_U section-3.22" xfId="3225"/>
    <cellStyle name="_PRC Adjustments 021231_CCB.GLAudit Package.040114_U section-3.23" xfId="3226"/>
    <cellStyle name="_PRC Adjustments 021231_CCB.GLAudit Package.040114_U100-PBC" xfId="3227"/>
    <cellStyle name="_PRC Adjustments 021231_CCB.GLAudit Package.040114_Yield wp template(081031)" xfId="3228"/>
    <cellStyle name="_PRC Adjustments 021231_CCB.HO.New TB template.CCB PRC IAS Sorting.040223 trial run" xfId="3229"/>
    <cellStyle name="_PRC Adjustments 021231_CCB.HO.New TB template.CCB PRC IAS Sorting.040223 trial run_Branch Template of U working paper(081031)" xfId="3230"/>
    <cellStyle name="_PRC Adjustments 021231_CCB.HO.New TB template.CCB PRC IAS Sorting.040223 trial run_CCB.Dec03AuditPack.GL.V2" xfId="3231"/>
    <cellStyle name="_PRC Adjustments 021231_CCB.HO.New TB template.CCB PRC IAS Sorting.040223 trial run_CCB.Dec03AuditPack.GL.V2_Branch Template of U working paper(081031)" xfId="3232"/>
    <cellStyle name="_PRC Adjustments 021231_CCB.HO.New TB template.CCB PRC IAS Sorting.040223 trial run_CCB.Dec03AuditPack.GL.V2_ICBC PBC-Draft 12-9" xfId="3233"/>
    <cellStyle name="_PRC Adjustments 021231_CCB.HO.New TB template.CCB PRC IAS Sorting.040223 trial run_CCB.Dec03AuditPack.GL.V2_PBC-detail" xfId="3234"/>
    <cellStyle name="_PRC Adjustments 021231_CCB.HO.New TB template.CCB PRC IAS Sorting.040223 trial run_CCB.Dec03AuditPack.GL.V2_U section modify ref_12.13" xfId="3235"/>
    <cellStyle name="_PRC Adjustments 021231_CCB.HO.New TB template.CCB PRC IAS Sorting.040223 trial run_CCB.Dec03AuditPack.GL.V2_U section-3.22" xfId="3236"/>
    <cellStyle name="_PRC Adjustments 021231_CCB.HO.New TB template.CCB PRC IAS Sorting.040223 trial run_CCB.Dec03AuditPack.GL.V2_U section-3.23" xfId="3237"/>
    <cellStyle name="_PRC Adjustments 021231_CCB.HO.New TB template.CCB PRC IAS Sorting.040223 trial run_CCB.Dec03AuditPack.GL.V2_U100-PBC" xfId="3238"/>
    <cellStyle name="_PRC Adjustments 021231_CCB.HO.New TB template.CCB PRC IAS Sorting.040223 trial run_CCB.Dec03AuditPack.GL.V2_Yield wp template(081031)" xfId="3239"/>
    <cellStyle name="_PRC Adjustments 021231_CCB.HO.New TB template.CCB PRC IAS Sorting.040223 trial run_ICBC PBC-Draft 12-9" xfId="3240"/>
    <cellStyle name="_PRC Adjustments 021231_CCB.HO.New TB template.CCB PRC IAS Sorting.040223 trial run_PBC-detail" xfId="3241"/>
    <cellStyle name="_PRC Adjustments 021231_CCB.HO.New TB template.CCB PRC IAS Sorting.040223 trial run_U section modify ref_12.13" xfId="3242"/>
    <cellStyle name="_PRC Adjustments 021231_CCB.HO.New TB template.CCB PRC IAS Sorting.040223 trial run_U section-3.22" xfId="3243"/>
    <cellStyle name="_PRC Adjustments 021231_CCB.HO.New TB template.CCB PRC IAS Sorting.040223 trial run_U section-3.23" xfId="3244"/>
    <cellStyle name="_PRC Adjustments 021231_CCB.HO.New TB template.CCB PRC IAS Sorting.040223 trial run_U100-PBC" xfId="3245"/>
    <cellStyle name="_PRC Adjustments 021231_CCB.HO.New TB template.CCB PRC IAS Sorting.040223 trial run_Yield wp template(081031)" xfId="3246"/>
    <cellStyle name="_PRC Adjustments 021231_CCB.HO.New TB template.IAS Sorting.040210" xfId="3247"/>
    <cellStyle name="_PRC Adjustments 021231_CCB.HO.New TB template.IAS Sorting.040210_Branch Template of U working paper(081031)" xfId="3248"/>
    <cellStyle name="_PRC Adjustments 021231_CCB.HO.New TB template.IAS Sorting.040210_CCB.Dec03AuditPack.GL.V2" xfId="3249"/>
    <cellStyle name="_PRC Adjustments 021231_CCB.HO.New TB template.IAS Sorting.040210_CCB.Dec03AuditPack.GL.V2_Branch Template of U working paper(081031)" xfId="3250"/>
    <cellStyle name="_PRC Adjustments 021231_CCB.HO.New TB template.IAS Sorting.040210_CCB.Dec03AuditPack.GL.V2_ICBC PBC-Draft 12-9" xfId="3251"/>
    <cellStyle name="_PRC Adjustments 021231_CCB.HO.New TB template.IAS Sorting.040210_CCB.Dec03AuditPack.GL.V2_PBC-detail" xfId="3252"/>
    <cellStyle name="_PRC Adjustments 021231_CCB.HO.New TB template.IAS Sorting.040210_CCB.Dec03AuditPack.GL.V2_U section modify ref_12.13" xfId="3253"/>
    <cellStyle name="_PRC Adjustments 021231_CCB.HO.New TB template.IAS Sorting.040210_CCB.Dec03AuditPack.GL.V2_U section-3.22" xfId="3254"/>
    <cellStyle name="_PRC Adjustments 021231_CCB.HO.New TB template.IAS Sorting.040210_CCB.Dec03AuditPack.GL.V2_U section-3.23" xfId="3255"/>
    <cellStyle name="_PRC Adjustments 021231_CCB.HO.New TB template.IAS Sorting.040210_CCB.Dec03AuditPack.GL.V2_U100-PBC" xfId="3256"/>
    <cellStyle name="_PRC Adjustments 021231_CCB.HO.New TB template.IAS Sorting.040210_CCB.Dec03AuditPack.GL.V2_Yield wp template(081031)" xfId="3257"/>
    <cellStyle name="_PRC Adjustments 021231_CCB.HO.New TB template.IAS Sorting.040210_ICBC PBC-Draft 12-9" xfId="3258"/>
    <cellStyle name="_PRC Adjustments 021231_CCB.HO.New TB template.IAS Sorting.040210_PBC-detail" xfId="3259"/>
    <cellStyle name="_PRC Adjustments 021231_CCB.HO.New TB template.IAS Sorting.040210_U section modify ref_12.13" xfId="3260"/>
    <cellStyle name="_PRC Adjustments 021231_CCB.HO.New TB template.IAS Sorting.040210_U section-3.22" xfId="3261"/>
    <cellStyle name="_PRC Adjustments 021231_CCB.HO.New TB template.IAS Sorting.040210_U section-3.23" xfId="3262"/>
    <cellStyle name="_PRC Adjustments 021231_CCB.HO.New TB template.IAS Sorting.040210_U100-PBC" xfId="3263"/>
    <cellStyle name="_PRC Adjustments 021231_CCB.HO.New TB template.IAS Sorting.040210_Yield wp template(081031)" xfId="3264"/>
    <cellStyle name="_PRC Adjustments 021231_CCB.HO.New TB template.PRC Sorting.040210" xfId="3265"/>
    <cellStyle name="_PRC Adjustments 021231_CCB.HO.New TB template.PRC Sorting.040210_Branch Template of U working paper(081031)" xfId="3266"/>
    <cellStyle name="_PRC Adjustments 021231_CCB.HO.New TB template.PRC Sorting.040210_CCB.Dec03AuditPack.GL.V2" xfId="3267"/>
    <cellStyle name="_PRC Adjustments 021231_CCB.HO.New TB template.PRC Sorting.040210_CCB.Dec03AuditPack.GL.V2_Branch Template of U working paper(081031)" xfId="3268"/>
    <cellStyle name="_PRC Adjustments 021231_CCB.HO.New TB template.PRC Sorting.040210_CCB.Dec03AuditPack.GL.V2_ICBC PBC-Draft 12-9" xfId="3269"/>
    <cellStyle name="_PRC Adjustments 021231_CCB.HO.New TB template.PRC Sorting.040210_CCB.Dec03AuditPack.GL.V2_PBC-detail" xfId="3270"/>
    <cellStyle name="_PRC Adjustments 021231_CCB.HO.New TB template.PRC Sorting.040210_CCB.Dec03AuditPack.GL.V2_U section modify ref_12.13" xfId="3271"/>
    <cellStyle name="_PRC Adjustments 021231_CCB.HO.New TB template.PRC Sorting.040210_CCB.Dec03AuditPack.GL.V2_U section-3.22" xfId="3272"/>
    <cellStyle name="_PRC Adjustments 021231_CCB.HO.New TB template.PRC Sorting.040210_CCB.Dec03AuditPack.GL.V2_U section-3.23" xfId="3273"/>
    <cellStyle name="_PRC Adjustments 021231_CCB.HO.New TB template.PRC Sorting.040210_CCB.Dec03AuditPack.GL.V2_U100-PBC" xfId="3274"/>
    <cellStyle name="_PRC Adjustments 021231_CCB.HO.New TB template.PRC Sorting.040210_CCB.Dec03AuditPack.GL.V2_Yield wp template(081031)" xfId="3275"/>
    <cellStyle name="_PRC Adjustments 021231_CCB.HO.New TB template.PRC Sorting.040210_ICBC PBC-Draft 12-9" xfId="3276"/>
    <cellStyle name="_PRC Adjustments 021231_CCB.HO.New TB template.PRC Sorting.040210_PBC-detail" xfId="3277"/>
    <cellStyle name="_PRC Adjustments 021231_CCB.HO.New TB template.PRC Sorting.040210_U section modify ref_12.13" xfId="3278"/>
    <cellStyle name="_PRC Adjustments 021231_CCB.HO.New TB template.PRC Sorting.040210_U section-3.22" xfId="3279"/>
    <cellStyle name="_PRC Adjustments 021231_CCB.HO.New TB template.PRC Sorting.040210_U section-3.23" xfId="3280"/>
    <cellStyle name="_PRC Adjustments 021231_CCB.HO.New TB template.PRC Sorting.040210_U100-PBC" xfId="3281"/>
    <cellStyle name="_PRC Adjustments 021231_CCB.HO.New TB template.PRC Sorting.040210_Yield wp template(081031)" xfId="3282"/>
    <cellStyle name="_PRC Adjustments 021231_ICBC PBC-Draft 12-9" xfId="3283"/>
    <cellStyle name="_PRC Adjustments 021231_PBC-detail" xfId="3284"/>
    <cellStyle name="_PRC Adjustments 021231_U section modify ref_12.13" xfId="3285"/>
    <cellStyle name="_PRC Adjustments 021231_U section-3.22" xfId="3286"/>
    <cellStyle name="_PRC Adjustments 021231_U section-3.23" xfId="3287"/>
    <cellStyle name="_PRC Adjustments 021231_U100-PBC" xfId="3288"/>
    <cellStyle name="_PRC Adjustments 021231_Yield wp template(081031)" xfId="3289"/>
    <cellStyle name="_PRC Adjustments 030630" xfId="3290"/>
    <cellStyle name="_PRC Adjustments 030630_Branch Template of U working paper(081031)" xfId="3291"/>
    <cellStyle name="_PRC Adjustments 030630_CCB.Dec03AuditPack.GL.V2" xfId="3292"/>
    <cellStyle name="_PRC Adjustments 030630_CCB.Dec03AuditPack.GL.V2_Branch Template of U working paper(081031)" xfId="3293"/>
    <cellStyle name="_PRC Adjustments 030630_CCB.Dec03AuditPack.GL.V2_ICBC PBC-Draft 12-9" xfId="3294"/>
    <cellStyle name="_PRC Adjustments 030630_CCB.Dec03AuditPack.GL.V2_PBC-detail" xfId="3295"/>
    <cellStyle name="_PRC Adjustments 030630_CCB.Dec03AuditPack.GL.V2_U section modify ref_12.13" xfId="3296"/>
    <cellStyle name="_PRC Adjustments 030630_CCB.Dec03AuditPack.GL.V2_U section-3.22" xfId="3297"/>
    <cellStyle name="_PRC Adjustments 030630_CCB.Dec03AuditPack.GL.V2_U section-3.23" xfId="3298"/>
    <cellStyle name="_PRC Adjustments 030630_CCB.Dec03AuditPack.GL.V2_U100-PBC" xfId="3299"/>
    <cellStyle name="_PRC Adjustments 030630_CCB.Dec03AuditPack.GL.V2_Yield wp template(081031)" xfId="3300"/>
    <cellStyle name="_PRC Adjustments 030630_CCB.GLAudit Package.040114" xfId="3301"/>
    <cellStyle name="_PRC Adjustments 030630_CCB.GLAudit Package.040114_Branch Template of U working paper(081031)" xfId="3302"/>
    <cellStyle name="_PRC Adjustments 030630_CCB.GLAudit Package.040114_CCB.Dec03AuditPack.GL.V2" xfId="3303"/>
    <cellStyle name="_PRC Adjustments 030630_CCB.GLAudit Package.040114_CCB.Dec03AuditPack.GL.V2_Branch Template of U working paper(081031)" xfId="3304"/>
    <cellStyle name="_PRC Adjustments 030630_CCB.GLAudit Package.040114_CCB.Dec03AuditPack.GL.V2_ICBC PBC-Draft 12-9" xfId="3305"/>
    <cellStyle name="_PRC Adjustments 030630_CCB.GLAudit Package.040114_CCB.Dec03AuditPack.GL.V2_PBC-detail" xfId="3306"/>
    <cellStyle name="_PRC Adjustments 030630_CCB.GLAudit Package.040114_CCB.Dec03AuditPack.GL.V2_U section modify ref_12.13" xfId="3307"/>
    <cellStyle name="_PRC Adjustments 030630_CCB.GLAudit Package.040114_CCB.Dec03AuditPack.GL.V2_U section-3.22" xfId="3308"/>
    <cellStyle name="_PRC Adjustments 030630_CCB.GLAudit Package.040114_CCB.Dec03AuditPack.GL.V2_U section-3.23" xfId="3309"/>
    <cellStyle name="_PRC Adjustments 030630_CCB.GLAudit Package.040114_CCB.Dec03AuditPack.GL.V2_U100-PBC" xfId="3310"/>
    <cellStyle name="_PRC Adjustments 030630_CCB.GLAudit Package.040114_CCB.Dec03AuditPack.GL.V2_Yield wp template(081031)" xfId="3311"/>
    <cellStyle name="_PRC Adjustments 030630_CCB.GLAudit Package.040114_ICBC PBC-Draft 12-9" xfId="3312"/>
    <cellStyle name="_PRC Adjustments 030630_CCB.GLAudit Package.040114_PBC-detail" xfId="3313"/>
    <cellStyle name="_PRC Adjustments 030630_CCB.GLAudit Package.040114_U section modify ref_12.13" xfId="3314"/>
    <cellStyle name="_PRC Adjustments 030630_CCB.GLAudit Package.040114_U section-3.22" xfId="3315"/>
    <cellStyle name="_PRC Adjustments 030630_CCB.GLAudit Package.040114_U section-3.23" xfId="3316"/>
    <cellStyle name="_PRC Adjustments 030630_CCB.GLAudit Package.040114_U100-PBC" xfId="3317"/>
    <cellStyle name="_PRC Adjustments 030630_CCB.GLAudit Package.040114_Yield wp template(081031)" xfId="3318"/>
    <cellStyle name="_PRC Adjustments 030630_CCB.HO.New TB template.CCB PRC IAS Sorting.040223 trial run" xfId="3319"/>
    <cellStyle name="_PRC Adjustments 030630_CCB.HO.New TB template.CCB PRC IAS Sorting.040223 trial run_Branch Template of U working paper(081031)" xfId="3320"/>
    <cellStyle name="_PRC Adjustments 030630_CCB.HO.New TB template.CCB PRC IAS Sorting.040223 trial run_CCB.Dec03AuditPack.GL.V2" xfId="3321"/>
    <cellStyle name="_PRC Adjustments 030630_CCB.HO.New TB template.CCB PRC IAS Sorting.040223 trial run_CCB.Dec03AuditPack.GL.V2_Branch Template of U working paper(081031)" xfId="3322"/>
    <cellStyle name="_PRC Adjustments 030630_CCB.HO.New TB template.CCB PRC IAS Sorting.040223 trial run_CCB.Dec03AuditPack.GL.V2_ICBC PBC-Draft 12-9" xfId="3323"/>
    <cellStyle name="_PRC Adjustments 030630_CCB.HO.New TB template.CCB PRC IAS Sorting.040223 trial run_CCB.Dec03AuditPack.GL.V2_PBC-detail" xfId="3324"/>
    <cellStyle name="_PRC Adjustments 030630_CCB.HO.New TB template.CCB PRC IAS Sorting.040223 trial run_CCB.Dec03AuditPack.GL.V2_U section modify ref_12.13" xfId="3325"/>
    <cellStyle name="_PRC Adjustments 030630_CCB.HO.New TB template.CCB PRC IAS Sorting.040223 trial run_CCB.Dec03AuditPack.GL.V2_U section-3.22" xfId="3326"/>
    <cellStyle name="_PRC Adjustments 030630_CCB.HO.New TB template.CCB PRC IAS Sorting.040223 trial run_CCB.Dec03AuditPack.GL.V2_U section-3.23" xfId="3327"/>
    <cellStyle name="_PRC Adjustments 030630_CCB.HO.New TB template.CCB PRC IAS Sorting.040223 trial run_CCB.Dec03AuditPack.GL.V2_U100-PBC" xfId="3328"/>
    <cellStyle name="_PRC Adjustments 030630_CCB.HO.New TB template.CCB PRC IAS Sorting.040223 trial run_CCB.Dec03AuditPack.GL.V2_Yield wp template(081031)" xfId="3329"/>
    <cellStyle name="_PRC Adjustments 030630_CCB.HO.New TB template.CCB PRC IAS Sorting.040223 trial run_ICBC PBC-Draft 12-9" xfId="3330"/>
    <cellStyle name="_PRC Adjustments 030630_CCB.HO.New TB template.CCB PRC IAS Sorting.040223 trial run_PBC-detail" xfId="3331"/>
    <cellStyle name="_PRC Adjustments 030630_CCB.HO.New TB template.CCB PRC IAS Sorting.040223 trial run_U section modify ref_12.13" xfId="3332"/>
    <cellStyle name="_PRC Adjustments 030630_CCB.HO.New TB template.CCB PRC IAS Sorting.040223 trial run_U section-3.22" xfId="3333"/>
    <cellStyle name="_PRC Adjustments 030630_CCB.HO.New TB template.CCB PRC IAS Sorting.040223 trial run_U section-3.23" xfId="3334"/>
    <cellStyle name="_PRC Adjustments 030630_CCB.HO.New TB template.CCB PRC IAS Sorting.040223 trial run_U100-PBC" xfId="3335"/>
    <cellStyle name="_PRC Adjustments 030630_CCB.HO.New TB template.CCB PRC IAS Sorting.040223 trial run_Yield wp template(081031)" xfId="3336"/>
    <cellStyle name="_PRC Adjustments 030630_CCB.HO.New TB template.IAS Sorting.040210" xfId="3337"/>
    <cellStyle name="_PRC Adjustments 030630_CCB.HO.New TB template.IAS Sorting.040210_Branch Template of U working paper(081031)" xfId="3338"/>
    <cellStyle name="_PRC Adjustments 030630_CCB.HO.New TB template.IAS Sorting.040210_CCB.Dec03AuditPack.GL.V2" xfId="3339"/>
    <cellStyle name="_PRC Adjustments 030630_CCB.HO.New TB template.IAS Sorting.040210_CCB.Dec03AuditPack.GL.V2_Branch Template of U working paper(081031)" xfId="3340"/>
    <cellStyle name="_PRC Adjustments 030630_CCB.HO.New TB template.IAS Sorting.040210_CCB.Dec03AuditPack.GL.V2_ICBC PBC-Draft 12-9" xfId="3341"/>
    <cellStyle name="_PRC Adjustments 030630_CCB.HO.New TB template.IAS Sorting.040210_CCB.Dec03AuditPack.GL.V2_PBC-detail" xfId="3342"/>
    <cellStyle name="_PRC Adjustments 030630_CCB.HO.New TB template.IAS Sorting.040210_CCB.Dec03AuditPack.GL.V2_U section modify ref_12.13" xfId="3343"/>
    <cellStyle name="_PRC Adjustments 030630_CCB.HO.New TB template.IAS Sorting.040210_CCB.Dec03AuditPack.GL.V2_U section-3.22" xfId="3344"/>
    <cellStyle name="_PRC Adjustments 030630_CCB.HO.New TB template.IAS Sorting.040210_CCB.Dec03AuditPack.GL.V2_U section-3.23" xfId="3345"/>
    <cellStyle name="_PRC Adjustments 030630_CCB.HO.New TB template.IAS Sorting.040210_CCB.Dec03AuditPack.GL.V2_U100-PBC" xfId="3346"/>
    <cellStyle name="_PRC Adjustments 030630_CCB.HO.New TB template.IAS Sorting.040210_CCB.Dec03AuditPack.GL.V2_Yield wp template(081031)" xfId="3347"/>
    <cellStyle name="_PRC Adjustments 030630_CCB.HO.New TB template.IAS Sorting.040210_ICBC PBC-Draft 12-9" xfId="3348"/>
    <cellStyle name="_PRC Adjustments 030630_CCB.HO.New TB template.IAS Sorting.040210_PBC-detail" xfId="3349"/>
    <cellStyle name="_PRC Adjustments 030630_CCB.HO.New TB template.IAS Sorting.040210_U section modify ref_12.13" xfId="3350"/>
    <cellStyle name="_PRC Adjustments 030630_CCB.HO.New TB template.IAS Sorting.040210_U section-3.22" xfId="3351"/>
    <cellStyle name="_PRC Adjustments 030630_CCB.HO.New TB template.IAS Sorting.040210_U section-3.23" xfId="3352"/>
    <cellStyle name="_PRC Adjustments 030630_CCB.HO.New TB template.IAS Sorting.040210_U100-PBC" xfId="3353"/>
    <cellStyle name="_PRC Adjustments 030630_CCB.HO.New TB template.IAS Sorting.040210_Yield wp template(081031)" xfId="3354"/>
    <cellStyle name="_PRC Adjustments 030630_CCB.HO.New TB template.PRC Sorting.040210" xfId="3355"/>
    <cellStyle name="_PRC Adjustments 030630_CCB.HO.New TB template.PRC Sorting.040210_Branch Template of U working paper(081031)" xfId="3356"/>
    <cellStyle name="_PRC Adjustments 030630_CCB.HO.New TB template.PRC Sorting.040210_CCB.Dec03AuditPack.GL.V2" xfId="3357"/>
    <cellStyle name="_PRC Adjustments 030630_CCB.HO.New TB template.PRC Sorting.040210_CCB.Dec03AuditPack.GL.V2_Branch Template of U working paper(081031)" xfId="3358"/>
    <cellStyle name="_PRC Adjustments 030630_CCB.HO.New TB template.PRC Sorting.040210_CCB.Dec03AuditPack.GL.V2_ICBC PBC-Draft 12-9" xfId="3359"/>
    <cellStyle name="_PRC Adjustments 030630_CCB.HO.New TB template.PRC Sorting.040210_CCB.Dec03AuditPack.GL.V2_PBC-detail" xfId="3360"/>
    <cellStyle name="_PRC Adjustments 030630_CCB.HO.New TB template.PRC Sorting.040210_CCB.Dec03AuditPack.GL.V2_U section modify ref_12.13" xfId="3361"/>
    <cellStyle name="_PRC Adjustments 030630_CCB.HO.New TB template.PRC Sorting.040210_CCB.Dec03AuditPack.GL.V2_U section-3.22" xfId="3362"/>
    <cellStyle name="_PRC Adjustments 030630_CCB.HO.New TB template.PRC Sorting.040210_CCB.Dec03AuditPack.GL.V2_U section-3.23" xfId="3363"/>
    <cellStyle name="_PRC Adjustments 030630_CCB.HO.New TB template.PRC Sorting.040210_CCB.Dec03AuditPack.GL.V2_U100-PBC" xfId="3364"/>
    <cellStyle name="_PRC Adjustments 030630_CCB.HO.New TB template.PRC Sorting.040210_CCB.Dec03AuditPack.GL.V2_Yield wp template(081031)" xfId="3365"/>
    <cellStyle name="_PRC Adjustments 030630_CCB.HO.New TB template.PRC Sorting.040210_ICBC PBC-Draft 12-9" xfId="3366"/>
    <cellStyle name="_PRC Adjustments 030630_CCB.HO.New TB template.PRC Sorting.040210_PBC-detail" xfId="3367"/>
    <cellStyle name="_PRC Adjustments 030630_CCB.HO.New TB template.PRC Sorting.040210_U section modify ref_12.13" xfId="3368"/>
    <cellStyle name="_PRC Adjustments 030630_CCB.HO.New TB template.PRC Sorting.040210_U section-3.22" xfId="3369"/>
    <cellStyle name="_PRC Adjustments 030630_CCB.HO.New TB template.PRC Sorting.040210_U section-3.23" xfId="3370"/>
    <cellStyle name="_PRC Adjustments 030630_CCB.HO.New TB template.PRC Sorting.040210_U100-PBC" xfId="3371"/>
    <cellStyle name="_PRC Adjustments 030630_CCB.HO.New TB template.PRC Sorting.040210_Yield wp template(081031)" xfId="3372"/>
    <cellStyle name="_PRC Adjustments 030630_ICBC PBC-Draft 12-9" xfId="3373"/>
    <cellStyle name="_PRC Adjustments 030630_PBC-detail" xfId="3374"/>
    <cellStyle name="_PRC Adjustments 030630_U section modify ref_12.13" xfId="3375"/>
    <cellStyle name="_PRC Adjustments 030630_U section-3.22" xfId="3376"/>
    <cellStyle name="_PRC Adjustments 030630_U section-3.23" xfId="3377"/>
    <cellStyle name="_PRC Adjustments 030630_U100-PBC" xfId="3378"/>
    <cellStyle name="_PRC Adjustments 030630_Yield wp template(081031)" xfId="3379"/>
    <cellStyle name="_Reporting package" xfId="3380"/>
    <cellStyle name="_reporting package by Sandra" xfId="3381"/>
    <cellStyle name="_reporting package by Sandra_H_equity investment" xfId="3382"/>
    <cellStyle name="_reporting package by Sandra_H_equity investment_Revised PBC 15-17" xfId="3383"/>
    <cellStyle name="_reporting package by Sandra_Revised PBC 15-17" xfId="3384"/>
    <cellStyle name="_Reporting package of Jiwu" xfId="3385"/>
    <cellStyle name="_Reporting package_7.24" xfId="3386"/>
    <cellStyle name="_Sheet1" xfId="3387"/>
    <cellStyle name="_Sheet1 2" xfId="3388"/>
    <cellStyle name="_Sheet1_2006年调整" xfId="3389"/>
    <cellStyle name="_Sheet2" xfId="3390"/>
    <cellStyle name="_Sheet3" xfId="3391"/>
    <cellStyle name="_Sheet4" xfId="3392"/>
    <cellStyle name="_Sheet5" xfId="3393"/>
    <cellStyle name="_sick pbc-040108刘" xfId="3394"/>
    <cellStyle name="_sick pbc-040108刘_200409其他应收、其他应付、工资、福利、保险" xfId="3395"/>
    <cellStyle name="_sick pbc-040108刘_200409其他应收、其他应付、工资、福利、保险_H_equity investment" xfId="3396"/>
    <cellStyle name="_sick pbc-040108刘_200409其他应收、其他应付、工资、福利、保险_H_equity investment_Revised PBC 15-17" xfId="3397"/>
    <cellStyle name="_sick pbc-040108刘_200409其他应收、其他应付、工资、福利、保险_Revised PBC 15-17" xfId="3398"/>
    <cellStyle name="_sick pbc-040108刘_Book7" xfId="3399"/>
    <cellStyle name="_sick pbc-040108刘_Book7_H_equity investment" xfId="3400"/>
    <cellStyle name="_sick pbc-040108刘_Book7_H_equity investment_Revised PBC 15-17" xfId="3401"/>
    <cellStyle name="_sick pbc-040108刘_Book7_Revised PBC 15-17" xfId="3402"/>
    <cellStyle name="_sick pbc-040108刘_FA---032q" xfId="3403"/>
    <cellStyle name="_sick pbc-040108刘_FA---032q_FA---032q-8.21" xfId="3404"/>
    <cellStyle name="_sick pbc-040108刘_FA---032q_FA---032q-8.21_H" xfId="3405"/>
    <cellStyle name="_sick pbc-040108刘_FA---032q_FA---032q-8.21_H_H_equity investment" xfId="3406"/>
    <cellStyle name="_sick pbc-040108刘_FA---032q_FA---032q-8.21_H_H_equity investment_Revised PBC 15-17" xfId="3407"/>
    <cellStyle name="_sick pbc-040108刘_FA---032q_FA---032q-8.21_H_Revised PBC 15-17" xfId="3408"/>
    <cellStyle name="_sick pbc-040108刘_FA---032q_FA---032q-8.21_H_Sep 4.15 morning" xfId="3409"/>
    <cellStyle name="_sick pbc-040108刘_FA---032q_FA---032q-8.21_H_Sep 4.15 morning_H_equity investment" xfId="3410"/>
    <cellStyle name="_sick pbc-040108刘_FA---032q_FA---032q-8.21_H_Sep 4.15 morning_H_equity investment_Revised PBC 15-17" xfId="3411"/>
    <cellStyle name="_sick pbc-040108刘_FA---032q_FA---032q-8.21_H_Sep 4.15 morning_Revised PBC 15-17" xfId="3412"/>
    <cellStyle name="_sick pbc-040108刘_FA---032q_FA---032q-8.21_H3240_ASSO BASIC INFO_evening" xfId="3413"/>
    <cellStyle name="_sick pbc-040108刘_FA---032q_FA---032q-8.21_H3240_ASSO BASIC INFO_evening_H_equity investment" xfId="3414"/>
    <cellStyle name="_sick pbc-040108刘_FA---032q_FA---032q-8.21_H3240_ASSO BASIC INFO_evening_H_equity investment_Revised PBC 15-17" xfId="3415"/>
    <cellStyle name="_sick pbc-040108刘_FA---032q_FA---032q-8.21_H3240_ASSO BASIC INFO_evening_Revised PBC 15-17" xfId="3416"/>
    <cellStyle name="_sick pbc-040108刘_FA---032q_FA---032q-8.21_Revised PBC 15-17" xfId="3417"/>
    <cellStyle name="_sick pbc-040108刘_FA---032q_FA---032q-8.21_SPREADSHEET 2004.3.16  afternoon" xfId="3418"/>
    <cellStyle name="_sick pbc-040108刘_FA---032q_FA---032q-8.21_SPREADSHEET 2004.3.16  afternoon_H_equity investment" xfId="3419"/>
    <cellStyle name="_sick pbc-040108刘_FA---032q_FA---032q-8.21_SPREADSHEET 2004.3.16  afternoon_H_equity investment_Revised PBC 15-17" xfId="3420"/>
    <cellStyle name="_sick pbc-040108刘_FA---032q_FA---032q-8.21_SPREADSHEET 2004.3.16  afternoon_Revised PBC 15-17" xfId="3421"/>
    <cellStyle name="_sick pbc-040108刘_FA---032q_FA---032q-8.21_SPREADSHEET 2004.3.17evening" xfId="3422"/>
    <cellStyle name="_sick pbc-040108刘_FA---032q_FA---032q-8.21_SPREADSHEET 2004.3.17evening_H_equity investment" xfId="3423"/>
    <cellStyle name="_单买断到期情况表4.1" xfId="3424"/>
    <cellStyle name="_逆回购" xfId="3426"/>
    <cellStyle name="_调账资产备案" xfId="3425"/>
    <cellStyle name="_转入" xfId="3427"/>
    <cellStyle name="{Comma [0]}" xfId="3428"/>
    <cellStyle name="{Comma}" xfId="3429"/>
    <cellStyle name="{Date}" xfId="3430"/>
    <cellStyle name="{Month}" xfId="3431"/>
    <cellStyle name="{Percent}" xfId="3432"/>
    <cellStyle name="{Thousand [0]}" xfId="3433"/>
    <cellStyle name="{Thousand}" xfId="3434"/>
    <cellStyle name="{Z'0000(1 dec)}" xfId="3435"/>
    <cellStyle name="{Z'0000(4 dec)}" xfId="3436"/>
    <cellStyle name="0,0_x000d__x000a_NA_x000d__x000a_" xfId="3437"/>
    <cellStyle name="20% - 强调文字颜色 1 2" xfId="3438"/>
    <cellStyle name="20% - 强调文字颜色 1 2 2" xfId="3439"/>
    <cellStyle name="20% - 强调文字颜色 1 2 2 2" xfId="3440"/>
    <cellStyle name="20% - 强调文字颜色 1 2 2 2 2" xfId="3441"/>
    <cellStyle name="20% - 强调文字颜色 1 2 2 2 2 2" xfId="3442"/>
    <cellStyle name="20% - 强调文字颜色 1 2 2 2 2_10月考核记账审批表" xfId="3443"/>
    <cellStyle name="20% - 强调文字颜色 1 2 2 3" xfId="3444"/>
    <cellStyle name="20% - 强调文字颜色 1 2 2 3 2" xfId="3445"/>
    <cellStyle name="20% - 强调文字颜色 1 2 2 3_10月考核记账审批表" xfId="3446"/>
    <cellStyle name="20% - 强调文字颜色 1 2 2_交易指令表 (2)" xfId="3447"/>
    <cellStyle name="20% - 强调文字颜色 1 2 3" xfId="3448"/>
    <cellStyle name="20% - 强调文字颜色 1 2 3 2" xfId="3449"/>
    <cellStyle name="20% - 强调文字颜色 1 2 3 2 2" xfId="3450"/>
    <cellStyle name="20% - 强调文字颜色 1 2 3 2_10月考核记账审批表" xfId="3451"/>
    <cellStyle name="20% - 强调文字颜色 1 2 4" xfId="3452"/>
    <cellStyle name="20% - 强调文字颜色 1 2 4 2" xfId="3453"/>
    <cellStyle name="20% - 强调文字颜色 1 2 4_10月考核记账审批表" xfId="3454"/>
    <cellStyle name="20% - 强调文字颜色 1 2 5" xfId="3455"/>
    <cellStyle name="20% - 强调文字颜色 1 2 5 2" xfId="3456"/>
    <cellStyle name="20% - 强调文字颜色 1 2 6" xfId="3457"/>
    <cellStyle name="20% - 强调文字颜色 1 2_交易指令表 (2)" xfId="3458"/>
    <cellStyle name="20% - 强调文字颜色 1 3" xfId="3459"/>
    <cellStyle name="20% - 强调文字颜色 2 2" xfId="3460"/>
    <cellStyle name="20% - 强调文字颜色 2 2 2" xfId="3461"/>
    <cellStyle name="20% - 强调文字颜色 2 2 2 2" xfId="3462"/>
    <cellStyle name="20% - 强调文字颜色 2 2 2 2 2" xfId="3463"/>
    <cellStyle name="20% - 强调文字颜色 2 2 2 2 2 2" xfId="3464"/>
    <cellStyle name="20% - 强调文字颜色 2 2 2 2 2_10月考核记账审批表" xfId="3465"/>
    <cellStyle name="20% - 强调文字颜色 2 2 2 3" xfId="3466"/>
    <cellStyle name="20% - 强调文字颜色 2 2 2 3 2" xfId="3467"/>
    <cellStyle name="20% - 强调文字颜色 2 2 2 3_10月考核记账审批表" xfId="3468"/>
    <cellStyle name="20% - 强调文字颜色 2 2 2_交易指令表 (2)" xfId="3469"/>
    <cellStyle name="20% - 强调文字颜色 2 2 3" xfId="3470"/>
    <cellStyle name="20% - 强调文字颜色 2 2 3 2" xfId="3471"/>
    <cellStyle name="20% - 强调文字颜色 2 2 3 2 2" xfId="3472"/>
    <cellStyle name="20% - 强调文字颜色 2 2 3 2_10月考核记账审批表" xfId="3473"/>
    <cellStyle name="20% - 强调文字颜色 2 2 4" xfId="3474"/>
    <cellStyle name="20% - 强调文字颜色 2 2 4 2" xfId="3475"/>
    <cellStyle name="20% - 强调文字颜色 2 2 4_10月考核记账审批表" xfId="3476"/>
    <cellStyle name="20% - 强调文字颜色 2 2 5" xfId="3477"/>
    <cellStyle name="20% - 强调文字颜色 2 2 5 2" xfId="3478"/>
    <cellStyle name="20% - 强调文字颜色 2 2 6" xfId="3479"/>
    <cellStyle name="20% - 强调文字颜色 2 2_交易指令表 (2)" xfId="3480"/>
    <cellStyle name="20% - 强调文字颜色 2 3" xfId="3481"/>
    <cellStyle name="20% - 强调文字颜色 3 2" xfId="3482"/>
    <cellStyle name="20% - 强调文字颜色 3 2 2" xfId="3483"/>
    <cellStyle name="20% - 强调文字颜色 3 2 2 2" xfId="3484"/>
    <cellStyle name="20% - 强调文字颜色 3 2 2 2 2" xfId="3485"/>
    <cellStyle name="20% - 强调文字颜色 3 2 2 2 2 2" xfId="3486"/>
    <cellStyle name="20% - 强调文字颜色 3 2 2 2 2_10月考核记账审批表" xfId="3487"/>
    <cellStyle name="20% - 强调文字颜色 3 2 2 3" xfId="3488"/>
    <cellStyle name="20% - 强调文字颜色 3 2 2 3 2" xfId="3489"/>
    <cellStyle name="20% - 强调文字颜色 3 2 2 3_10月考核记账审批表" xfId="3490"/>
    <cellStyle name="20% - 强调文字颜色 3 2 2_交易指令表 (2)" xfId="3491"/>
    <cellStyle name="20% - 强调文字颜色 3 2 3" xfId="3492"/>
    <cellStyle name="20% - 强调文字颜色 3 2 3 2" xfId="3493"/>
    <cellStyle name="20% - 强调文字颜色 3 2 3 2 2" xfId="3494"/>
    <cellStyle name="20% - 强调文字颜色 3 2 3 2_10月考核记账审批表" xfId="3495"/>
    <cellStyle name="20% - 强调文字颜色 3 2 4" xfId="3496"/>
    <cellStyle name="20% - 强调文字颜色 3 2 4 2" xfId="3497"/>
    <cellStyle name="20% - 强调文字颜色 3 2 4_10月考核记账审批表" xfId="3498"/>
    <cellStyle name="20% - 强调文字颜色 3 2 5" xfId="3499"/>
    <cellStyle name="20% - 强调文字颜色 3 2 5 2" xfId="3500"/>
    <cellStyle name="20% - 强调文字颜色 3 2 6" xfId="3501"/>
    <cellStyle name="20% - 强调文字颜色 3 2_交易指令表 (2)" xfId="3502"/>
    <cellStyle name="20% - 强调文字颜色 3 3" xfId="3503"/>
    <cellStyle name="20% - 强调文字颜色 4 2" xfId="3504"/>
    <cellStyle name="20% - 强调文字颜色 4 2 2" xfId="3505"/>
    <cellStyle name="20% - 强调文字颜色 4 2 2 2" xfId="3506"/>
    <cellStyle name="20% - 强调文字颜色 4 2 2 2 2" xfId="3507"/>
    <cellStyle name="20% - 强调文字颜色 4 2 2 2 2 2" xfId="3508"/>
    <cellStyle name="20% - 强调文字颜色 4 2 2 2 2_10月考核记账审批表" xfId="3509"/>
    <cellStyle name="20% - 强调文字颜色 4 2 2 3" xfId="3510"/>
    <cellStyle name="20% - 强调文字颜色 4 2 2 3 2" xfId="3511"/>
    <cellStyle name="20% - 强调文字颜色 4 2 2 3_10月考核记账审批表" xfId="3512"/>
    <cellStyle name="20% - 强调文字颜色 4 2 2_交易指令表 (2)" xfId="3513"/>
    <cellStyle name="20% - 强调文字颜色 4 2 3" xfId="3514"/>
    <cellStyle name="20% - 强调文字颜色 4 2 3 2" xfId="3515"/>
    <cellStyle name="20% - 强调文字颜色 4 2 3 2 2" xfId="3516"/>
    <cellStyle name="20% - 强调文字颜色 4 2 3 2_10月考核记账审批表" xfId="3517"/>
    <cellStyle name="20% - 强调文字颜色 4 2 4" xfId="3518"/>
    <cellStyle name="20% - 强调文字颜色 4 2 4 2" xfId="3519"/>
    <cellStyle name="20% - 强调文字颜色 4 2 4_10月考核记账审批表" xfId="3520"/>
    <cellStyle name="20% - 强调文字颜色 4 2 5" xfId="3521"/>
    <cellStyle name="20% - 强调文字颜色 4 2 5 2" xfId="3522"/>
    <cellStyle name="20% - 强调文字颜色 4 2 6" xfId="3523"/>
    <cellStyle name="20% - 强调文字颜色 4 2_交易指令表 (2)" xfId="3524"/>
    <cellStyle name="20% - 强调文字颜色 4 3" xfId="3525"/>
    <cellStyle name="20% - 强调文字颜色 5 2" xfId="3526"/>
    <cellStyle name="20% - 强调文字颜色 5 2 2" xfId="3527"/>
    <cellStyle name="20% - 强调文字颜色 5 2 2 2" xfId="3528"/>
    <cellStyle name="20% - 强调文字颜色 5 2 2 2 2" xfId="3529"/>
    <cellStyle name="20% - 强调文字颜色 5 2 2 2 2 2" xfId="3530"/>
    <cellStyle name="20% - 强调文字颜色 5 2 2 2 2_10月考核记账审批表" xfId="3531"/>
    <cellStyle name="20% - 强调文字颜色 5 2 2 3" xfId="3532"/>
    <cellStyle name="20% - 强调文字颜色 5 2 2 3 2" xfId="3533"/>
    <cellStyle name="20% - 强调文字颜色 5 2 2 3_10月考核记账审批表" xfId="3534"/>
    <cellStyle name="20% - 强调文字颜色 5 2 2_交易指令表 (2)" xfId="3535"/>
    <cellStyle name="20% - 强调文字颜色 5 2 3" xfId="3536"/>
    <cellStyle name="20% - 强调文字颜色 5 2 3 2" xfId="3537"/>
    <cellStyle name="20% - 强调文字颜色 5 2 3 2 2" xfId="3538"/>
    <cellStyle name="20% - 强调文字颜色 5 2 3 2_10月考核记账审批表" xfId="3539"/>
    <cellStyle name="20% - 强调文字颜色 5 2 4" xfId="3540"/>
    <cellStyle name="20% - 强调文字颜色 5 2 4 2" xfId="3541"/>
    <cellStyle name="20% - 强调文字颜色 5 2 4_10月考核记账审批表" xfId="3542"/>
    <cellStyle name="20% - 强调文字颜色 5 2 5" xfId="3543"/>
    <cellStyle name="20% - 强调文字颜色 5 2 5 2" xfId="3544"/>
    <cellStyle name="20% - 强调文字颜色 5 2 6" xfId="3545"/>
    <cellStyle name="20% - 强调文字颜色 5 2_交易指令表 (2)" xfId="3546"/>
    <cellStyle name="20% - 强调文字颜色 5 3" xfId="3547"/>
    <cellStyle name="20% - 强调文字颜色 6 2" xfId="3548"/>
    <cellStyle name="20% - 强调文字颜色 6 2 2" xfId="3549"/>
    <cellStyle name="20% - 强调文字颜色 6 2 2 2" xfId="3550"/>
    <cellStyle name="20% - 强调文字颜色 6 2 2 2 2" xfId="3551"/>
    <cellStyle name="20% - 强调文字颜色 6 2 2 2 2 2" xfId="3552"/>
    <cellStyle name="20% - 强调文字颜色 6 2 2 2 2_10月考核记账审批表" xfId="3553"/>
    <cellStyle name="20% - 强调文字颜色 6 2 2 3" xfId="3554"/>
    <cellStyle name="20% - 强调文字颜色 6 2 2 3 2" xfId="3555"/>
    <cellStyle name="20% - 强调文字颜色 6 2 2 3_10月考核记账审批表" xfId="3556"/>
    <cellStyle name="20% - 强调文字颜色 6 2 2_交易指令表 (2)" xfId="3557"/>
    <cellStyle name="20% - 强调文字颜色 6 2 3" xfId="3558"/>
    <cellStyle name="20% - 强调文字颜色 6 2 3 2" xfId="3559"/>
    <cellStyle name="20% - 强调文字颜色 6 2 3 2 2" xfId="3560"/>
    <cellStyle name="20% - 强调文字颜色 6 2 3 2_10月考核记账审批表" xfId="3561"/>
    <cellStyle name="20% - 强调文字颜色 6 2 4" xfId="3562"/>
    <cellStyle name="20% - 强调文字颜色 6 2 4 2" xfId="3563"/>
    <cellStyle name="20% - 强调文字颜色 6 2 4_10月考核记账审批表" xfId="3564"/>
    <cellStyle name="20% - 强调文字颜色 6 2 5" xfId="3565"/>
    <cellStyle name="20% - 强调文字颜色 6 2 5 2" xfId="3566"/>
    <cellStyle name="20% - 强调文字颜色 6 2 6" xfId="3567"/>
    <cellStyle name="20% - 强调文字颜色 6 2_交易指令表 (2)" xfId="3568"/>
    <cellStyle name="20% - 强调文字颜色 6 3" xfId="3569"/>
    <cellStyle name="40% - 强调文字颜色 1 2" xfId="3570"/>
    <cellStyle name="40% - 强调文字颜色 1 2 2" xfId="3571"/>
    <cellStyle name="40% - 强调文字颜色 1 2 2 2" xfId="3572"/>
    <cellStyle name="40% - 强调文字颜色 1 2 2 2 2" xfId="3573"/>
    <cellStyle name="40% - 强调文字颜色 1 2 2 2 2 2" xfId="3574"/>
    <cellStyle name="40% - 强调文字颜色 1 2 2 2 2_10月考核记账审批表" xfId="3575"/>
    <cellStyle name="40% - 强调文字颜色 1 2 2 3" xfId="3576"/>
    <cellStyle name="40% - 强调文字颜色 1 2 2 3 2" xfId="3577"/>
    <cellStyle name="40% - 强调文字颜色 1 2 2 3_10月考核记账审批表" xfId="3578"/>
    <cellStyle name="40% - 强调文字颜色 1 2 2_交易指令表 (2)" xfId="3579"/>
    <cellStyle name="40% - 强调文字颜色 1 2 3" xfId="3580"/>
    <cellStyle name="40% - 强调文字颜色 1 2 3 2" xfId="3581"/>
    <cellStyle name="40% - 强调文字颜色 1 2 3 2 2" xfId="3582"/>
    <cellStyle name="40% - 强调文字颜色 1 2 3 2_10月考核记账审批表" xfId="3583"/>
    <cellStyle name="40% - 强调文字颜色 1 2 4" xfId="3584"/>
    <cellStyle name="40% - 强调文字颜色 1 2 4 2" xfId="3585"/>
    <cellStyle name="40% - 强调文字颜色 1 2 4_10月考核记账审批表" xfId="3586"/>
    <cellStyle name="40% - 强调文字颜色 1 2 5" xfId="3587"/>
    <cellStyle name="40% - 强调文字颜色 1 2 5 2" xfId="3588"/>
    <cellStyle name="40% - 强调文字颜色 1 2 6" xfId="3589"/>
    <cellStyle name="40% - 强调文字颜色 1 2_交易指令表 (2)" xfId="3590"/>
    <cellStyle name="40% - 强调文字颜色 1 3" xfId="3591"/>
    <cellStyle name="40% - 强调文字颜色 2 2" xfId="3592"/>
    <cellStyle name="40% - 强调文字颜色 2 2 2" xfId="3593"/>
    <cellStyle name="40% - 强调文字颜色 2 2 2 2" xfId="3594"/>
    <cellStyle name="40% - 强调文字颜色 2 2 2 2 2" xfId="3595"/>
    <cellStyle name="40% - 强调文字颜色 2 2 2 2 2 2" xfId="3596"/>
    <cellStyle name="40% - 强调文字颜色 2 2 2 2 2_10月考核记账审批表" xfId="3597"/>
    <cellStyle name="40% - 强调文字颜色 2 2 2 3" xfId="3598"/>
    <cellStyle name="40% - 强调文字颜色 2 2 2 3 2" xfId="3599"/>
    <cellStyle name="40% - 强调文字颜色 2 2 2 3_10月考核记账审批表" xfId="3600"/>
    <cellStyle name="40% - 强调文字颜色 2 2 2_交易指令表 (2)" xfId="3601"/>
    <cellStyle name="40% - 强调文字颜色 2 2 3" xfId="3602"/>
    <cellStyle name="40% - 强调文字颜色 2 2 3 2" xfId="3603"/>
    <cellStyle name="40% - 强调文字颜色 2 2 3 2 2" xfId="3604"/>
    <cellStyle name="40% - 强调文字颜色 2 2 3 2_10月考核记账审批表" xfId="3605"/>
    <cellStyle name="40% - 强调文字颜色 2 2 4" xfId="3606"/>
    <cellStyle name="40% - 强调文字颜色 2 2 4 2" xfId="3607"/>
    <cellStyle name="40% - 强调文字颜色 2 2 4_10月考核记账审批表" xfId="3608"/>
    <cellStyle name="40% - 强调文字颜色 2 2 5" xfId="3609"/>
    <cellStyle name="40% - 强调文字颜色 2 2 5 2" xfId="3610"/>
    <cellStyle name="40% - 强调文字颜色 2 2 6" xfId="3611"/>
    <cellStyle name="40% - 强调文字颜色 2 2_交易指令表 (2)" xfId="3612"/>
    <cellStyle name="40% - 强调文字颜色 2 3" xfId="3613"/>
    <cellStyle name="40% - 强调文字颜色 3 2" xfId="3614"/>
    <cellStyle name="40% - 强调文字颜色 3 2 2" xfId="3615"/>
    <cellStyle name="40% - 强调文字颜色 3 2 2 2" xfId="3616"/>
    <cellStyle name="40% - 强调文字颜色 3 2 2 2 2" xfId="3617"/>
    <cellStyle name="40% - 强调文字颜色 3 2 2 2 2 2" xfId="3618"/>
    <cellStyle name="40% - 强调文字颜色 3 2 2 2 2_10月考核记账审批表" xfId="3619"/>
    <cellStyle name="40% - 强调文字颜色 3 2 2 3" xfId="3620"/>
    <cellStyle name="40% - 强调文字颜色 3 2 2 3 2" xfId="3621"/>
    <cellStyle name="40% - 强调文字颜色 3 2 2 3_10月考核记账审批表" xfId="3622"/>
    <cellStyle name="40% - 强调文字颜色 3 2 2_交易指令表 (2)" xfId="3623"/>
    <cellStyle name="40% - 强调文字颜色 3 2 3" xfId="3624"/>
    <cellStyle name="40% - 强调文字颜色 3 2 3 2" xfId="3625"/>
    <cellStyle name="40% - 强调文字颜色 3 2 3 2 2" xfId="3626"/>
    <cellStyle name="40% - 强调文字颜色 3 2 3 2_10月考核记账审批表" xfId="3627"/>
    <cellStyle name="40% - 强调文字颜色 3 2 4" xfId="3628"/>
    <cellStyle name="40% - 强调文字颜色 3 2 4 2" xfId="3629"/>
    <cellStyle name="40% - 强调文字颜色 3 2 4_10月考核记账审批表" xfId="3630"/>
    <cellStyle name="40% - 强调文字颜色 3 2 5" xfId="3631"/>
    <cellStyle name="40% - 强调文字颜色 3 2 5 2" xfId="3632"/>
    <cellStyle name="40% - 强调文字颜色 3 2 6" xfId="3633"/>
    <cellStyle name="40% - 强调文字颜色 3 2_交易指令表 (2)" xfId="3634"/>
    <cellStyle name="40% - 强调文字颜色 3 3" xfId="3635"/>
    <cellStyle name="40% - 强调文字颜色 4 2" xfId="3636"/>
    <cellStyle name="40% - 强调文字颜色 4 2 2" xfId="3637"/>
    <cellStyle name="40% - 强调文字颜色 4 2 2 2" xfId="3638"/>
    <cellStyle name="40% - 强调文字颜色 4 2 2 2 2" xfId="3639"/>
    <cellStyle name="40% - 强调文字颜色 4 2 2 2 2 2" xfId="3640"/>
    <cellStyle name="40% - 强调文字颜色 4 2 2 2 2_10月考核记账审批表" xfId="3641"/>
    <cellStyle name="40% - 强调文字颜色 4 2 2 3" xfId="3642"/>
    <cellStyle name="40% - 强调文字颜色 4 2 2 3 2" xfId="3643"/>
    <cellStyle name="40% - 强调文字颜色 4 2 2 3_10月考核记账审批表" xfId="3644"/>
    <cellStyle name="40% - 强调文字颜色 4 2 2_交易指令表 (2)" xfId="3645"/>
    <cellStyle name="40% - 强调文字颜色 4 2 3" xfId="3646"/>
    <cellStyle name="40% - 强调文字颜色 4 2 3 2" xfId="3647"/>
    <cellStyle name="40% - 强调文字颜色 4 2 3 2 2" xfId="3648"/>
    <cellStyle name="40% - 强调文字颜色 4 2 3 2_10月考核记账审批表" xfId="3649"/>
    <cellStyle name="40% - 强调文字颜色 4 2 4" xfId="3650"/>
    <cellStyle name="40% - 强调文字颜色 4 2 4 2" xfId="3651"/>
    <cellStyle name="40% - 强调文字颜色 4 2 4_10月考核记账审批表" xfId="3652"/>
    <cellStyle name="40% - 强调文字颜色 4 2 5" xfId="3653"/>
    <cellStyle name="40% - 强调文字颜色 4 2 5 2" xfId="3654"/>
    <cellStyle name="40% - 强调文字颜色 4 2 6" xfId="3655"/>
    <cellStyle name="40% - 强调文字颜色 4 2_交易指令表 (2)" xfId="3656"/>
    <cellStyle name="40% - 强调文字颜色 4 3" xfId="3657"/>
    <cellStyle name="40% - 强调文字颜色 5 2" xfId="3658"/>
    <cellStyle name="40% - 强调文字颜色 5 2 2" xfId="3659"/>
    <cellStyle name="40% - 强调文字颜色 5 2 2 2" xfId="3660"/>
    <cellStyle name="40% - 强调文字颜色 5 2 2 2 2" xfId="3661"/>
    <cellStyle name="40% - 强调文字颜色 5 2 2 2 2 2" xfId="3662"/>
    <cellStyle name="40% - 强调文字颜色 5 2 2 2 2_10月考核记账审批表" xfId="3663"/>
    <cellStyle name="40% - 强调文字颜色 5 2 2 3" xfId="3664"/>
    <cellStyle name="40% - 强调文字颜色 5 2 2 3 2" xfId="3665"/>
    <cellStyle name="40% - 强调文字颜色 5 2 2 3_10月考核记账审批表" xfId="3666"/>
    <cellStyle name="40% - 强调文字颜色 5 2 2_交易指令表 (2)" xfId="3667"/>
    <cellStyle name="40% - 强调文字颜色 5 2 3" xfId="3668"/>
    <cellStyle name="40% - 强调文字颜色 5 2 3 2" xfId="3669"/>
    <cellStyle name="40% - 强调文字颜色 5 2 3 2 2" xfId="3670"/>
    <cellStyle name="40% - 强调文字颜色 5 2 3 2_10月考核记账审批表" xfId="3671"/>
    <cellStyle name="40% - 强调文字颜色 5 2 4" xfId="3672"/>
    <cellStyle name="40% - 强调文字颜色 5 2 4 2" xfId="3673"/>
    <cellStyle name="40% - 强调文字颜色 5 2 4_10月考核记账审批表" xfId="3674"/>
    <cellStyle name="40% - 强调文字颜色 5 2 5" xfId="3675"/>
    <cellStyle name="40% - 强调文字颜色 5 2 5 2" xfId="3676"/>
    <cellStyle name="40% - 强调文字颜色 5 2 6" xfId="3677"/>
    <cellStyle name="40% - 强调文字颜色 5 2_交易指令表 (2)" xfId="3678"/>
    <cellStyle name="40% - 强调文字颜色 5 3" xfId="3679"/>
    <cellStyle name="40% - 强调文字颜色 6 2" xfId="3680"/>
    <cellStyle name="40% - 强调文字颜色 6 2 2" xfId="3681"/>
    <cellStyle name="40% - 强调文字颜色 6 2 2 2" xfId="3682"/>
    <cellStyle name="40% - 强调文字颜色 6 2 2 2 2" xfId="3683"/>
    <cellStyle name="40% - 强调文字颜色 6 2 2 2 2 2" xfId="3684"/>
    <cellStyle name="40% - 强调文字颜色 6 2 2 2 2_10月考核记账审批表" xfId="3685"/>
    <cellStyle name="40% - 强调文字颜色 6 2 2 3" xfId="3686"/>
    <cellStyle name="40% - 强调文字颜色 6 2 2 3 2" xfId="3687"/>
    <cellStyle name="40% - 强调文字颜色 6 2 2 3_10月考核记账审批表" xfId="3688"/>
    <cellStyle name="40% - 强调文字颜色 6 2 2_交易指令表 (2)" xfId="3689"/>
    <cellStyle name="40% - 强调文字颜色 6 2 3" xfId="3690"/>
    <cellStyle name="40% - 强调文字颜色 6 2 3 2" xfId="3691"/>
    <cellStyle name="40% - 强调文字颜色 6 2 3 2 2" xfId="3692"/>
    <cellStyle name="40% - 强调文字颜色 6 2 3 2_10月考核记账审批表" xfId="3693"/>
    <cellStyle name="40% - 强调文字颜色 6 2 4" xfId="3694"/>
    <cellStyle name="40% - 强调文字颜色 6 2 4 2" xfId="3695"/>
    <cellStyle name="40% - 强调文字颜色 6 2 4_10月考核记账审批表" xfId="3696"/>
    <cellStyle name="40% - 强调文字颜色 6 2 5" xfId="3697"/>
    <cellStyle name="40% - 强调文字颜色 6 2 5 2" xfId="3698"/>
    <cellStyle name="40% - 强调文字颜色 6 2 6" xfId="3699"/>
    <cellStyle name="40% - 强调文字颜色 6 2_交易指令表 (2)" xfId="3700"/>
    <cellStyle name="40% - 强调文字颜色 6 3" xfId="3701"/>
    <cellStyle name="60% - 强调文字颜色 1 2" xfId="3702"/>
    <cellStyle name="60% - 强调文字颜色 1 2 2" xfId="3703"/>
    <cellStyle name="60% - 强调文字颜色 1 2 2 2" xfId="3704"/>
    <cellStyle name="60% - 强调文字颜色 1 2 2 2 2" xfId="3705"/>
    <cellStyle name="60% - 强调文字颜色 1 2 2 2 2 2" xfId="3706"/>
    <cellStyle name="60% - 强调文字颜色 1 2 2 2 2_10月考核记账审批表" xfId="3707"/>
    <cellStyle name="60% - 强调文字颜色 1 2 2 3" xfId="3708"/>
    <cellStyle name="60% - 强调文字颜色 1 2 2 3 2" xfId="3709"/>
    <cellStyle name="60% - 强调文字颜色 1 2 2 3_10月考核记账审批表" xfId="3710"/>
    <cellStyle name="60% - 强调文字颜色 1 2 2_交易指令表 (2)" xfId="3711"/>
    <cellStyle name="60% - 强调文字颜色 1 2 3" xfId="3712"/>
    <cellStyle name="60% - 强调文字颜色 1 2 3 2" xfId="3713"/>
    <cellStyle name="60% - 强调文字颜色 1 2 3_10月考核记账审批表" xfId="3714"/>
    <cellStyle name="60% - 强调文字颜色 1 2 4" xfId="3715"/>
    <cellStyle name="60% - 强调文字颜色 1 2 4 2" xfId="3716"/>
    <cellStyle name="60% - 强调文字颜色 1 2 5" xfId="3717"/>
    <cellStyle name="60% - 强调文字颜色 1 3" xfId="3718"/>
    <cellStyle name="60% - 强调文字颜色 2 2" xfId="3719"/>
    <cellStyle name="60% - 强调文字颜色 2 2 2" xfId="3720"/>
    <cellStyle name="60% - 强调文字颜色 2 2 2 2" xfId="3721"/>
    <cellStyle name="60% - 强调文字颜色 2 2 2 2 2" xfId="3722"/>
    <cellStyle name="60% - 强调文字颜色 2 2 2 2 2 2" xfId="3723"/>
    <cellStyle name="60% - 强调文字颜色 2 2 2 2 2_10月考核记账审批表" xfId="3724"/>
    <cellStyle name="60% - 强调文字颜色 2 2 2 3" xfId="3725"/>
    <cellStyle name="60% - 强调文字颜色 2 2 2 3 2" xfId="3726"/>
    <cellStyle name="60% - 强调文字颜色 2 2 2 3_10月考核记账审批表" xfId="3727"/>
    <cellStyle name="60% - 强调文字颜色 2 2 2_交易指令表 (2)" xfId="3728"/>
    <cellStyle name="60% - 强调文字颜色 2 2 3" xfId="3729"/>
    <cellStyle name="60% - 强调文字颜色 2 2 3 2" xfId="3730"/>
    <cellStyle name="60% - 强调文字颜色 2 2 3_10月考核记账审批表" xfId="3731"/>
    <cellStyle name="60% - 强调文字颜色 2 2 4" xfId="3732"/>
    <cellStyle name="60% - 强调文字颜色 2 2 4 2" xfId="3733"/>
    <cellStyle name="60% - 强调文字颜色 2 2 5" xfId="3734"/>
    <cellStyle name="60% - 强调文字颜色 2 3" xfId="3735"/>
    <cellStyle name="60% - 强调文字颜色 3 2" xfId="3736"/>
    <cellStyle name="60% - 强调文字颜色 3 2 2" xfId="3737"/>
    <cellStyle name="60% - 强调文字颜色 3 2 2 2" xfId="3738"/>
    <cellStyle name="60% - 强调文字颜色 3 2 2 2 2" xfId="3739"/>
    <cellStyle name="60% - 强调文字颜色 3 2 2 2 2 2" xfId="3740"/>
    <cellStyle name="60% - 强调文字颜色 3 2 2 2 2_10月考核记账审批表" xfId="3741"/>
    <cellStyle name="60% - 强调文字颜色 3 2 2 3" xfId="3742"/>
    <cellStyle name="60% - 强调文字颜色 3 2 2 3 2" xfId="3743"/>
    <cellStyle name="60% - 强调文字颜色 3 2 2 3_10月考核记账审批表" xfId="3744"/>
    <cellStyle name="60% - 强调文字颜色 3 2 2_交易指令表 (2)" xfId="3745"/>
    <cellStyle name="60% - 强调文字颜色 3 2 3" xfId="3746"/>
    <cellStyle name="60% - 强调文字颜色 3 2 3 2" xfId="3747"/>
    <cellStyle name="60% - 强调文字颜色 3 2 3_10月考核记账审批表" xfId="3748"/>
    <cellStyle name="60% - 强调文字颜色 3 2 4" xfId="3749"/>
    <cellStyle name="60% - 强调文字颜色 3 2 4 2" xfId="3750"/>
    <cellStyle name="60% - 强调文字颜色 3 2 5" xfId="3751"/>
    <cellStyle name="60% - 强调文字颜色 3 3" xfId="3752"/>
    <cellStyle name="60% - 强调文字颜色 4 2" xfId="3753"/>
    <cellStyle name="60% - 强调文字颜色 4 2 2" xfId="3754"/>
    <cellStyle name="60% - 强调文字颜色 4 2 2 2" xfId="3755"/>
    <cellStyle name="60% - 强调文字颜色 4 2 2 2 2" xfId="3756"/>
    <cellStyle name="60% - 强调文字颜色 4 2 2 2 2 2" xfId="3757"/>
    <cellStyle name="60% - 强调文字颜色 4 2 2 2 2_10月考核记账审批表" xfId="3758"/>
    <cellStyle name="60% - 强调文字颜色 4 2 2 3" xfId="3759"/>
    <cellStyle name="60% - 强调文字颜色 4 2 2 3 2" xfId="3760"/>
    <cellStyle name="60% - 强调文字颜色 4 2 2 3_10月考核记账审批表" xfId="3761"/>
    <cellStyle name="60% - 强调文字颜色 4 2 2_交易指令表 (2)" xfId="3762"/>
    <cellStyle name="60% - 强调文字颜色 4 2 3" xfId="3763"/>
    <cellStyle name="60% - 强调文字颜色 4 2 3 2" xfId="3764"/>
    <cellStyle name="60% - 强调文字颜色 4 2 3_10月考核记账审批表" xfId="3765"/>
    <cellStyle name="60% - 强调文字颜色 4 2 4" xfId="3766"/>
    <cellStyle name="60% - 强调文字颜色 4 2 4 2" xfId="3767"/>
    <cellStyle name="60% - 强调文字颜色 4 2 5" xfId="3768"/>
    <cellStyle name="60% - 强调文字颜色 4 3" xfId="3769"/>
    <cellStyle name="60% - 强调文字颜色 5 2" xfId="3770"/>
    <cellStyle name="60% - 强调文字颜色 5 2 2" xfId="3771"/>
    <cellStyle name="60% - 强调文字颜色 5 2 2 2" xfId="3772"/>
    <cellStyle name="60% - 强调文字颜色 5 2 2 2 2" xfId="3773"/>
    <cellStyle name="60% - 强调文字颜色 5 2 2 2 2 2" xfId="3774"/>
    <cellStyle name="60% - 强调文字颜色 5 2 2 2 2_10月考核记账审批表" xfId="3775"/>
    <cellStyle name="60% - 强调文字颜色 5 2 2 3" xfId="3776"/>
    <cellStyle name="60% - 强调文字颜色 5 2 2 3 2" xfId="3777"/>
    <cellStyle name="60% - 强调文字颜色 5 2 2 3_10月考核记账审批表" xfId="3778"/>
    <cellStyle name="60% - 强调文字颜色 5 2 2_交易指令表 (2)" xfId="3779"/>
    <cellStyle name="60% - 强调文字颜色 5 2 3" xfId="3780"/>
    <cellStyle name="60% - 强调文字颜色 5 2 3 2" xfId="3781"/>
    <cellStyle name="60% - 强调文字颜色 5 2 3_10月考核记账审批表" xfId="3782"/>
    <cellStyle name="60% - 强调文字颜色 5 2 4" xfId="3783"/>
    <cellStyle name="60% - 强调文字颜色 5 2 4 2" xfId="3784"/>
    <cellStyle name="60% - 强调文字颜色 5 2 5" xfId="3785"/>
    <cellStyle name="60% - 强调文字颜色 5 3" xfId="3786"/>
    <cellStyle name="60% - 强调文字颜色 6 2" xfId="3787"/>
    <cellStyle name="60% - 强调文字颜色 6 2 2" xfId="3788"/>
    <cellStyle name="60% - 强调文字颜色 6 2 2 2" xfId="3789"/>
    <cellStyle name="60% - 强调文字颜色 6 2 2 2 2" xfId="3790"/>
    <cellStyle name="60% - 强调文字颜色 6 2 2 2 2 2" xfId="3791"/>
    <cellStyle name="60% - 强调文字颜色 6 2 2 2 2_10月考核记账审批表" xfId="3792"/>
    <cellStyle name="60% - 强调文字颜色 6 2 2 3" xfId="3793"/>
    <cellStyle name="60% - 强调文字颜色 6 2 2 3 2" xfId="3794"/>
    <cellStyle name="60% - 强调文字颜色 6 2 2 3_10月考核记账审批表" xfId="3795"/>
    <cellStyle name="60% - 强调文字颜色 6 2 2_交易指令表 (2)" xfId="3796"/>
    <cellStyle name="60% - 强调文字颜色 6 2 3" xfId="3797"/>
    <cellStyle name="60% - 强调文字颜色 6 2 3 2" xfId="3798"/>
    <cellStyle name="60% - 强调文字颜色 6 2 3_10月考核记账审批表" xfId="3799"/>
    <cellStyle name="60% - 强调文字颜色 6 2 4" xfId="3800"/>
    <cellStyle name="60% - 强调文字颜色 6 2 4 2" xfId="3801"/>
    <cellStyle name="60% - 强调文字颜色 6 2 5" xfId="3802"/>
    <cellStyle name="60% - 强调文字颜色 6 3" xfId="3803"/>
    <cellStyle name="Comma 13" xfId="3804"/>
    <cellStyle name="Comma 2" xfId="3805"/>
    <cellStyle name="Comma 2 2" xfId="3806"/>
    <cellStyle name="Comma 2 2 2" xfId="3807"/>
    <cellStyle name="Comma 2 3" xfId="3808"/>
    <cellStyle name="Comma 3" xfId="3809"/>
    <cellStyle name="Euro" xfId="3810"/>
    <cellStyle name="Normal 2" xfId="3811"/>
    <cellStyle name="Normal 2 3" xfId="3812"/>
    <cellStyle name="Normal 2 3 2" xfId="3813"/>
    <cellStyle name="Normal 4" xfId="3814"/>
    <cellStyle name="Normal 6" xfId="3815"/>
    <cellStyle name="Normal 6 2" xfId="3816"/>
    <cellStyle name="Normal_20100112.GRCB.Spreadsheet.新准则.combined.all" xfId="3817"/>
    <cellStyle name="百分比" xfId="2" builtinId="5"/>
    <cellStyle name="百分比 10" xfId="3818"/>
    <cellStyle name="百分比 10 3" xfId="3819"/>
    <cellStyle name="百分比 2" xfId="3820"/>
    <cellStyle name="百分比 2 13" xfId="4929"/>
    <cellStyle name="百分比 2 2" xfId="3821"/>
    <cellStyle name="百分比 2 2 2" xfId="3822"/>
    <cellStyle name="百分比 2 3" xfId="3823"/>
    <cellStyle name="百分比 2 3 2" xfId="3824"/>
    <cellStyle name="百分比 2 4" xfId="3825"/>
    <cellStyle name="百分比 2 4 2" xfId="3826"/>
    <cellStyle name="百分比 2 4 2 2" xfId="3827"/>
    <cellStyle name="百分比 2 5" xfId="3828"/>
    <cellStyle name="百分比 3" xfId="3829"/>
    <cellStyle name="百分比 3 2" xfId="3830"/>
    <cellStyle name="百分比 4" xfId="3831"/>
    <cellStyle name="百分比 4 2" xfId="3832"/>
    <cellStyle name="百分比 4 3" xfId="3833"/>
    <cellStyle name="百分比 5" xfId="3834"/>
    <cellStyle name="百分比 5 2" xfId="3835"/>
    <cellStyle name="百分比 6" xfId="3836"/>
    <cellStyle name="百分比 7" xfId="3837"/>
    <cellStyle name="百分比 8" xfId="3838"/>
    <cellStyle name="百分比 9" xfId="3839"/>
    <cellStyle name="标题 1 2" xfId="3840"/>
    <cellStyle name="标题 1 2 2" xfId="3841"/>
    <cellStyle name="标题 1 2 2 2" xfId="3842"/>
    <cellStyle name="标题 1 2 2 2 2" xfId="3843"/>
    <cellStyle name="标题 1 2 2 2 2 2" xfId="3844"/>
    <cellStyle name="标题 1 2 2 2 2_10月考核记账审批表" xfId="3845"/>
    <cellStyle name="标题 1 2 2 3" xfId="3846"/>
    <cellStyle name="标题 1 2 2 3 2" xfId="3847"/>
    <cellStyle name="标题 1 2 2 3_10月考核记账审批表" xfId="3848"/>
    <cellStyle name="标题 1 2 2_交易指令表 (2)" xfId="3849"/>
    <cellStyle name="标题 1 2 3" xfId="3850"/>
    <cellStyle name="标题 1 2 3 2" xfId="3851"/>
    <cellStyle name="标题 1 2 3_10月考核记账审批表" xfId="3852"/>
    <cellStyle name="标题 1 2 4" xfId="3853"/>
    <cellStyle name="标题 1 2 4 2" xfId="3854"/>
    <cellStyle name="标题 1 2 5" xfId="3855"/>
    <cellStyle name="标题 1 3" xfId="3856"/>
    <cellStyle name="标题 2 2" xfId="3857"/>
    <cellStyle name="标题 2 2 2" xfId="3858"/>
    <cellStyle name="标题 2 2 2 2" xfId="3859"/>
    <cellStyle name="标题 2 2 2 2 2" xfId="3860"/>
    <cellStyle name="标题 2 2 2 2 2 2" xfId="3861"/>
    <cellStyle name="标题 2 2 2 2 2_10月考核记账审批表" xfId="3862"/>
    <cellStyle name="标题 2 2 2 3" xfId="3863"/>
    <cellStyle name="标题 2 2 2 3 2" xfId="3864"/>
    <cellStyle name="标题 2 2 2 3_10月考核记账审批表" xfId="3865"/>
    <cellStyle name="标题 2 2 2_交易指令表 (2)" xfId="3866"/>
    <cellStyle name="标题 2 2 3" xfId="3867"/>
    <cellStyle name="标题 2 2 3 2" xfId="3868"/>
    <cellStyle name="标题 2 2 3_10月考核记账审批表" xfId="3869"/>
    <cellStyle name="标题 2 2 4" xfId="3870"/>
    <cellStyle name="标题 2 2 4 2" xfId="3871"/>
    <cellStyle name="标题 2 2 5" xfId="3872"/>
    <cellStyle name="标题 2 3" xfId="3873"/>
    <cellStyle name="标题 3 2" xfId="3874"/>
    <cellStyle name="标题 3 2 2" xfId="3875"/>
    <cellStyle name="标题 3 2 2 2" xfId="3876"/>
    <cellStyle name="标题 3 2 2 2 2" xfId="3877"/>
    <cellStyle name="标题 3 2 2 2 2 2" xfId="3878"/>
    <cellStyle name="标题 3 2 2 2 2_10月考核记账审批表" xfId="3879"/>
    <cellStyle name="标题 3 2 2 3" xfId="3880"/>
    <cellStyle name="标题 3 2 2 3 2" xfId="3881"/>
    <cellStyle name="标题 3 2 2 3_10月考核记账审批表" xfId="3882"/>
    <cellStyle name="标题 3 2 2_交易指令表 (2)" xfId="3883"/>
    <cellStyle name="标题 3 2 3" xfId="3884"/>
    <cellStyle name="标题 3 2 3 2" xfId="3885"/>
    <cellStyle name="标题 3 2 3_10月考核记账审批表" xfId="3886"/>
    <cellStyle name="标题 3 2 4" xfId="3887"/>
    <cellStyle name="标题 3 2 4 2" xfId="3888"/>
    <cellStyle name="标题 3 2 5" xfId="3889"/>
    <cellStyle name="标题 3 3" xfId="3890"/>
    <cellStyle name="标题 4 2" xfId="3891"/>
    <cellStyle name="标题 4 2 2" xfId="3892"/>
    <cellStyle name="标题 4 2 2 2" xfId="3893"/>
    <cellStyle name="标题 4 2 2 2 2" xfId="3894"/>
    <cellStyle name="标题 4 2 2 2 2 2" xfId="3895"/>
    <cellStyle name="标题 4 2 2 2 2_10月考核记账审批表" xfId="3896"/>
    <cellStyle name="标题 4 2 2 3" xfId="3897"/>
    <cellStyle name="标题 4 2 2 3 2" xfId="3898"/>
    <cellStyle name="标题 4 2 2 3_10月考核记账审批表" xfId="3899"/>
    <cellStyle name="标题 4 2 2_交易指令表 (2)" xfId="3900"/>
    <cellStyle name="标题 4 2 3" xfId="3901"/>
    <cellStyle name="标题 4 2 3 2" xfId="3902"/>
    <cellStyle name="标题 4 2 3_10月考核记账审批表" xfId="3903"/>
    <cellStyle name="标题 4 2 4" xfId="3904"/>
    <cellStyle name="标题 4 2 4 2" xfId="3905"/>
    <cellStyle name="标题 4 2 5" xfId="3906"/>
    <cellStyle name="标题 4 3" xfId="3907"/>
    <cellStyle name="标题 5" xfId="3908"/>
    <cellStyle name="标题 5 2" xfId="3909"/>
    <cellStyle name="标题 5 2 2" xfId="3910"/>
    <cellStyle name="标题 5 2 2 2" xfId="3911"/>
    <cellStyle name="标题 5 2 2 2 2" xfId="3912"/>
    <cellStyle name="标题 5 2 2 2_10月考核记账审批表" xfId="3913"/>
    <cellStyle name="标题 5 2 2_10月考核记账审批表(单月)" xfId="3914"/>
    <cellStyle name="标题 5 2 3" xfId="3915"/>
    <cellStyle name="标题 5 2 3 2" xfId="3916"/>
    <cellStyle name="标题 5 2 3_10月考核记账审批表" xfId="3917"/>
    <cellStyle name="标题 5 2_10月考核记账审批表(单月)" xfId="3918"/>
    <cellStyle name="标题 5 3" xfId="3919"/>
    <cellStyle name="标题 5 3 2" xfId="3920"/>
    <cellStyle name="标题 5 3_10月考核记账审批表" xfId="3921"/>
    <cellStyle name="标题 5_10月考核记账审批表(单月)" xfId="3922"/>
    <cellStyle name="标题 6" xfId="3923"/>
    <cellStyle name="差 2" xfId="3924"/>
    <cellStyle name="差 2 2" xfId="3925"/>
    <cellStyle name="差 2 2 2" xfId="3926"/>
    <cellStyle name="差 2 2 2 2" xfId="3927"/>
    <cellStyle name="差 2 2 2 2 2" xfId="3928"/>
    <cellStyle name="差 2 2 2 2_10月考核记账审批表" xfId="3929"/>
    <cellStyle name="差 2 2 3" xfId="3930"/>
    <cellStyle name="差 2 2 3 2" xfId="3931"/>
    <cellStyle name="差 2 2 3_10月考核记账审批表" xfId="3932"/>
    <cellStyle name="差 2 2_交易指令表 (2)" xfId="3933"/>
    <cellStyle name="差 2 3" xfId="3934"/>
    <cellStyle name="差 2 3 2" xfId="3935"/>
    <cellStyle name="差 2 3_10月考核记账审批表" xfId="3936"/>
    <cellStyle name="差 2 4" xfId="3937"/>
    <cellStyle name="差 2 4 2" xfId="3938"/>
    <cellStyle name="差 2 5" xfId="3939"/>
    <cellStyle name="差 3" xfId="3940"/>
    <cellStyle name="差_10月考核记账审批表" xfId="3941"/>
    <cellStyle name="差_10月考核记账审批表 2" xfId="3942"/>
    <cellStyle name="差_10月考核记账审批表 2_系统内台帐20130619" xfId="3943"/>
    <cellStyle name="差_10月考核记账审批表(单月)" xfId="3944"/>
    <cellStyle name="差_10月考核记账审批表(单月) 2" xfId="3945"/>
    <cellStyle name="差_10月考核记账审批表(单月) 2_系统内台帐20130619" xfId="3946"/>
    <cellStyle name="差_10月考核记账审批表_10月考核记账审批表(单月)" xfId="3947"/>
    <cellStyle name="差_10月考核记账审批表_10月考核记账审批表(单月) 2" xfId="3948"/>
    <cellStyle name="差_10月考核记账审批表_10月考核记账审批表(单月) 2_系统内台帐20130619" xfId="3949"/>
    <cellStyle name="差_10月考核记账审批表_11月考核记账审批表(单月)" xfId="3950"/>
    <cellStyle name="差_10月考核记账审批表_11月考核记账审批表(单月)_系统内台帐20130619" xfId="3951"/>
    <cellStyle name="差_10月考核记账审批表_12月考核记账审批表(单月)" xfId="3952"/>
    <cellStyle name="差_10月考核记账审批表_12月考核记账审批表（单月）" xfId="3953"/>
    <cellStyle name="差_10月考核记账审批表_12月考核记账审批表（单月） 2" xfId="3954"/>
    <cellStyle name="差_10月考核记账审批表_12月考核记账审批表（单月） 2_系统内台帐20130619" xfId="3955"/>
    <cellStyle name="差_10月考核记账审批表_12月考核记账审批表(单月)_系统内台帐20130619" xfId="3956"/>
    <cellStyle name="差_10月考核记账审批表_1月考核记账审批表（单月）" xfId="3957"/>
    <cellStyle name="差_10月考核记账审批表_1月考核记账审批表（单月） 2" xfId="3958"/>
    <cellStyle name="差_10月考核记账审批表_1月考核记账审批表（单月） 2_系统内台帐20130619" xfId="3959"/>
    <cellStyle name="差_10月考核记账审批表_2月考核记账审批表（单月）" xfId="3960"/>
    <cellStyle name="差_10月考核记账审批表_2月考核记账审批表（单月） 2" xfId="3961"/>
    <cellStyle name="差_10月考核记账审批表_2月考核记账审批表（单月） 2_系统内台帐20130619" xfId="3962"/>
    <cellStyle name="差_10月考核记账审批表_3月考核记账审批表（单月）" xfId="3963"/>
    <cellStyle name="差_10月考核记账审批表_3月考核记账审批表（单月） 2" xfId="3964"/>
    <cellStyle name="差_10月考核记账审批表_3月考核记账审批表（单月） 2_系统内台帐20130619" xfId="3965"/>
    <cellStyle name="差_10月考核记账审批表_4月考核记账审批表(单月)" xfId="3966"/>
    <cellStyle name="差_10月考核记账审批表_4月考核记账审批表（单月）" xfId="3967"/>
    <cellStyle name="差_10月考核记账审批表_4月考核记账审批表(单月) 2" xfId="3968"/>
    <cellStyle name="差_10月考核记账审批表_4月考核记账审批表（单月） 2" xfId="3969"/>
    <cellStyle name="差_10月考核记账审批表_4月考核记账审批表(单月) 2_系统内台帐20130619" xfId="3970"/>
    <cellStyle name="差_10月考核记账审批表_4月考核记账审批表（单月） 2_系统内台帐20130619" xfId="3971"/>
    <cellStyle name="差_10月考核记账审批表_5月考核记账审批表(单月)" xfId="3972"/>
    <cellStyle name="差_10月考核记账审批表_5月考核记账审批表(单月) (version 1)" xfId="3973"/>
    <cellStyle name="差_10月考核记账审批表_5月考核记账审批表(单月) (version 1) 2" xfId="3974"/>
    <cellStyle name="差_10月考核记账审批表_5月考核记账审批表(单月) (version 1) 2_系统内台帐20130619" xfId="3975"/>
    <cellStyle name="差_10月考核记账审批表_5月考核记账审批表(单月) 2" xfId="3976"/>
    <cellStyle name="差_10月考核记账审批表_5月考核记账审批表(单月) 2_系统内台帐20130619" xfId="3977"/>
    <cellStyle name="差_10月考核记账审批表_6月考核记账审批表(单月)" xfId="3978"/>
    <cellStyle name="差_10月考核记账审批表_6月考核记账审批表(单月) 2" xfId="3979"/>
    <cellStyle name="差_10月考核记账审批表_6月考核记账审批表(单月) 2_系统内台帐20130619" xfId="3980"/>
    <cellStyle name="差_10月考核记账审批表_7月考核记账审批表(单月)" xfId="3981"/>
    <cellStyle name="差_10月考核记账审批表_7月考核记账审批表(单月) 2" xfId="3982"/>
    <cellStyle name="差_10月考核记账审批表_7月考核记账审批表(单月) 2_系统内台帐20130619" xfId="3983"/>
    <cellStyle name="差_10月考核记账审批表_8月考核记账审批表(单月)" xfId="3984"/>
    <cellStyle name="差_10月考核记账审批表_8月考核记账审批表(单月) 2" xfId="3985"/>
    <cellStyle name="差_10月考核记账审批表_8月考核记账审批表(单月) 2_系统内台帐20130619" xfId="3986"/>
    <cellStyle name="差_10月考核记账审批表_9月考核记账审批表(单月)" xfId="3987"/>
    <cellStyle name="差_10月考核记账审批表_9月考核记账审批表(单月) 2" xfId="3988"/>
    <cellStyle name="差_10月考核记账审批表_9月考核记账审批表(单月) 2_系统内台帐20130619" xfId="3989"/>
    <cellStyle name="差_11月考核记账审批表" xfId="3990"/>
    <cellStyle name="差_11月考核记账审批表 2" xfId="3991"/>
    <cellStyle name="差_11月考核记账审批表 2_系统内台帐20130619" xfId="3992"/>
    <cellStyle name="差_11月考核记账审批表(单月)" xfId="3993"/>
    <cellStyle name="差_11月考核记账审批表(单月)_系统内台帐20130619" xfId="3994"/>
    <cellStyle name="差_11月考核记账审批表_10月考核记账审批表(单月)" xfId="3995"/>
    <cellStyle name="差_11月考核记账审批表_10月考核记账审批表(单月) 2" xfId="3996"/>
    <cellStyle name="差_11月考核记账审批表_10月考核记账审批表(单月) 2_系统内台帐20130619" xfId="3997"/>
    <cellStyle name="差_11月考核记账审批表_11月考核记账审批表(单月)" xfId="3998"/>
    <cellStyle name="差_11月考核记账审批表_11月考核记账审批表(单月)_系统内台帐20130619" xfId="3999"/>
    <cellStyle name="差_11月考核记账审批表_12月考核记账审批表(单月)" xfId="4000"/>
    <cellStyle name="差_11月考核记账审批表_12月考核记账审批表（单月）" xfId="4001"/>
    <cellStyle name="差_11月考核记账审批表_12月考核记账审批表（单月） 2" xfId="4002"/>
    <cellStyle name="差_11月考核记账审批表_12月考核记账审批表（单月） 2_系统内台帐20130619" xfId="4003"/>
    <cellStyle name="差_11月考核记账审批表_12月考核记账审批表(单月)_系统内台帐20130619" xfId="4004"/>
    <cellStyle name="差_11月考核记账审批表_1月考核记账审批表（单月）" xfId="4005"/>
    <cellStyle name="差_11月考核记账审批表_1月考核记账审批表（单月） 2" xfId="4006"/>
    <cellStyle name="差_11月考核记账审批表_1月考核记账审批表（单月） 2_系统内台帐20130619" xfId="4007"/>
    <cellStyle name="差_11月考核记账审批表_2月考核记账审批表（单月）" xfId="4008"/>
    <cellStyle name="差_11月考核记账审批表_2月考核记账审批表（单月） 2" xfId="4009"/>
    <cellStyle name="差_11月考核记账审批表_2月考核记账审批表（单月） 2_系统内台帐20130619" xfId="4010"/>
    <cellStyle name="差_11月考核记账审批表_3月考核记账审批表（单月）" xfId="4011"/>
    <cellStyle name="差_11月考核记账审批表_3月考核记账审批表（单月） 2" xfId="4012"/>
    <cellStyle name="差_11月考核记账审批表_3月考核记账审批表（单月） 2_系统内台帐20130619" xfId="4013"/>
    <cellStyle name="差_11月考核记账审批表_4月考核记账审批表(单月)" xfId="4014"/>
    <cellStyle name="差_11月考核记账审批表_4月考核记账审批表（单月）" xfId="4015"/>
    <cellStyle name="差_11月考核记账审批表_4月考核记账审批表(单月) 2" xfId="4016"/>
    <cellStyle name="差_11月考核记账审批表_4月考核记账审批表（单月） 2" xfId="4017"/>
    <cellStyle name="差_11月考核记账审批表_4月考核记账审批表(单月) 2_系统内台帐20130619" xfId="4018"/>
    <cellStyle name="差_11月考核记账审批表_4月考核记账审批表（单月） 2_系统内台帐20130619" xfId="4019"/>
    <cellStyle name="差_11月考核记账审批表_5月考核记账审批表(单月)" xfId="4020"/>
    <cellStyle name="差_11月考核记账审批表_5月考核记账审批表(单月) (version 1)" xfId="4021"/>
    <cellStyle name="差_11月考核记账审批表_5月考核记账审批表(单月) (version 1) 2" xfId="4022"/>
    <cellStyle name="差_11月考核记账审批表_5月考核记账审批表(单月) (version 1) 2_系统内台帐20130619" xfId="4023"/>
    <cellStyle name="差_11月考核记账审批表_5月考核记账审批表(单月) 2" xfId="4024"/>
    <cellStyle name="差_11月考核记账审批表_5月考核记账审批表(单月) 2_系统内台帐20130619" xfId="4025"/>
    <cellStyle name="差_11月考核记账审批表_6月考核记账审批表(单月)" xfId="4026"/>
    <cellStyle name="差_11月考核记账审批表_6月考核记账审批表(单月) 2" xfId="4027"/>
    <cellStyle name="差_11月考核记账审批表_6月考核记账审批表(单月) 2_系统内台帐20130619" xfId="4028"/>
    <cellStyle name="差_11月考核记账审批表_7月考核记账审批表(单月)" xfId="4029"/>
    <cellStyle name="差_11月考核记账审批表_7月考核记账审批表(单月) 2" xfId="4030"/>
    <cellStyle name="差_11月考核记账审批表_7月考核记账审批表(单月) 2_系统内台帐20130619" xfId="4031"/>
    <cellStyle name="差_11月考核记账审批表_8月考核记账审批表(单月)" xfId="4032"/>
    <cellStyle name="差_11月考核记账审批表_8月考核记账审批表(单月) 2" xfId="4033"/>
    <cellStyle name="差_11月考核记账审批表_8月考核记账审批表(单月) 2_系统内台帐20130619" xfId="4034"/>
    <cellStyle name="差_11月考核记账审批表_9月考核记账审批表(单月)" xfId="4035"/>
    <cellStyle name="差_11月考核记账审批表_9月考核记账审批表(单月) 2" xfId="4036"/>
    <cellStyle name="差_11月考核记账审批表_9月考核记账审批表(单月) 2_系统内台帐20130619" xfId="4037"/>
    <cellStyle name="差_12月考核记账审批表" xfId="4038"/>
    <cellStyle name="差_12月考核记账审批表 2" xfId="4039"/>
    <cellStyle name="差_12月考核记账审批表 2_系统内台帐20130619" xfId="4040"/>
    <cellStyle name="差_12月考核记账审批表(单月)" xfId="4041"/>
    <cellStyle name="差_12月考核记账审批表(单月)_系统内台帐20130619" xfId="4042"/>
    <cellStyle name="差_12月考核记账审批表_10月考核记账审批表(单月)" xfId="4043"/>
    <cellStyle name="差_12月考核记账审批表_10月考核记账审批表(单月) 2" xfId="4044"/>
    <cellStyle name="差_12月考核记账审批表_10月考核记账审批表(单月) 2_系统内台帐20130619" xfId="4045"/>
    <cellStyle name="差_12月考核记账审批表_11月考核记账审批表(单月)" xfId="4046"/>
    <cellStyle name="差_12月考核记账审批表_11月考核记账审批表(单月)_系统内台帐20130619" xfId="4047"/>
    <cellStyle name="差_12月考核记账审批表_12月考核记账审批表(单月)" xfId="4048"/>
    <cellStyle name="差_12月考核记账审批表_12月考核记账审批表（单月）" xfId="4049"/>
    <cellStyle name="差_12月考核记账审批表_12月考核记账审批表（单月） 2" xfId="4050"/>
    <cellStyle name="差_12月考核记账审批表_12月考核记账审批表（单月） 2_系统内台帐20130619" xfId="4051"/>
    <cellStyle name="差_12月考核记账审批表_12月考核记账审批表(单月)_系统内台帐20130619" xfId="4052"/>
    <cellStyle name="差_12月考核记账审批表_1月考核记账审批表（单月）" xfId="4053"/>
    <cellStyle name="差_12月考核记账审批表_1月考核记账审批表（单月） 2" xfId="4054"/>
    <cellStyle name="差_12月考核记账审批表_1月考核记账审批表（单月） 2_系统内台帐20130619" xfId="4055"/>
    <cellStyle name="差_12月考核记账审批表_2月考核记账审批表（单月）" xfId="4056"/>
    <cellStyle name="差_12月考核记账审批表_2月考核记账审批表（单月） 2" xfId="4057"/>
    <cellStyle name="差_12月考核记账审批表_2月考核记账审批表（单月） 2_系统内台帐20130619" xfId="4058"/>
    <cellStyle name="差_12月考核记账审批表_3月考核记账审批表（单月）" xfId="4059"/>
    <cellStyle name="差_12月考核记账审批表_3月考核记账审批表（单月） 2" xfId="4060"/>
    <cellStyle name="差_12月考核记账审批表_3月考核记账审批表（单月） 2_系统内台帐20130619" xfId="4061"/>
    <cellStyle name="差_12月考核记账审批表_4月考核记账审批表(单月)" xfId="4062"/>
    <cellStyle name="差_12月考核记账审批表_4月考核记账审批表（单月）" xfId="4063"/>
    <cellStyle name="差_12月考核记账审批表_4月考核记账审批表(单月) 2" xfId="4064"/>
    <cellStyle name="差_12月考核记账审批表_4月考核记账审批表（单月） 2" xfId="4065"/>
    <cellStyle name="差_12月考核记账审批表_4月考核记账审批表(单月) 2_系统内台帐20130619" xfId="4066"/>
    <cellStyle name="差_12月考核记账审批表_4月考核记账审批表（单月） 2_系统内台帐20130619" xfId="4067"/>
    <cellStyle name="差_12月考核记账审批表_5月考核记账审批表(单月)" xfId="4068"/>
    <cellStyle name="差_12月考核记账审批表_5月考核记账审批表(单月) (version 1)" xfId="4069"/>
    <cellStyle name="差_12月考核记账审批表_5月考核记账审批表(单月) (version 1) 2" xfId="4070"/>
    <cellStyle name="差_12月考核记账审批表_5月考核记账审批表(单月) (version 1) 2_系统内台帐20130619" xfId="4071"/>
    <cellStyle name="差_12月考核记账审批表_5月考核记账审批表(单月) 2" xfId="4072"/>
    <cellStyle name="差_12月考核记账审批表_5月考核记账审批表(单月) 2_系统内台帐20130619" xfId="4073"/>
    <cellStyle name="差_12月考核记账审批表_6月考核记账审批表(单月)" xfId="4074"/>
    <cellStyle name="差_12月考核记账审批表_6月考核记账审批表(单月) 2" xfId="4075"/>
    <cellStyle name="差_12月考核记账审批表_6月考核记账审批表(单月) 2_系统内台帐20130619" xfId="4076"/>
    <cellStyle name="差_12月考核记账审批表_7月考核记账审批表(单月)" xfId="4077"/>
    <cellStyle name="差_12月考核记账审批表_7月考核记账审批表(单月) 2" xfId="4078"/>
    <cellStyle name="差_12月考核记账审批表_7月考核记账审批表(单月) 2_系统内台帐20130619" xfId="4079"/>
    <cellStyle name="差_12月考核记账审批表_8月考核记账审批表(单月)" xfId="4080"/>
    <cellStyle name="差_12月考核记账审批表_8月考核记账审批表(单月) 2" xfId="4081"/>
    <cellStyle name="差_12月考核记账审批表_8月考核记账审批表(单月) 2_系统内台帐20130619" xfId="4082"/>
    <cellStyle name="差_12月考核记账审批表_9月考核记账审批表(单月)" xfId="4083"/>
    <cellStyle name="差_12月考核记账审批表_9月考核记账审批表(单月) 2" xfId="4084"/>
    <cellStyle name="差_12月考核记账审批表_9月考核记账审批表(单月) 2_系统内台帐20130619" xfId="4085"/>
    <cellStyle name="差_2013普通资产池台帐（保本）" xfId="4086"/>
    <cellStyle name="差_2013普通资产池台帐（非保本）" xfId="4087"/>
    <cellStyle name="差_3月考核记账审批表（单月）" xfId="4088"/>
    <cellStyle name="差_3月考核记账审批表（单月） 2" xfId="4089"/>
    <cellStyle name="差_3月考核记账审批表（单月） 2_系统内台帐20130619" xfId="4090"/>
    <cellStyle name="差_4月考核记账审批表(单月)" xfId="4091"/>
    <cellStyle name="差_4月考核记账审批表（单月）" xfId="4092"/>
    <cellStyle name="差_4月考核记账审批表(单月) 2" xfId="4093"/>
    <cellStyle name="差_4月考核记账审批表（单月） 2" xfId="4094"/>
    <cellStyle name="差_4月考核记账审批表(单月) 2_系统内台帐20130619" xfId="4095"/>
    <cellStyle name="差_4月考核记账审批表（单月） 2_系统内台帐20130619" xfId="4096"/>
    <cellStyle name="差_5月考核记账审批表(单月)" xfId="4097"/>
    <cellStyle name="差_5月考核记账审批表(单月) (version 1)" xfId="4098"/>
    <cellStyle name="差_5月考核记账审批表(单月) (version 1) 2" xfId="4099"/>
    <cellStyle name="差_5月考核记账审批表(单月) (version 1) 2_系统内台帐20130619" xfId="4100"/>
    <cellStyle name="差_5月考核记账审批表(单月) 2" xfId="4101"/>
    <cellStyle name="差_5月考核记账审批表(单月) 2_系统内台帐20130619" xfId="4102"/>
    <cellStyle name="差_6月考核记账审批表(单月)" xfId="4103"/>
    <cellStyle name="差_6月考核记账审批表(单月) 2" xfId="4104"/>
    <cellStyle name="差_6月考核记账审批表(单月) 2_系统内台帐20130619" xfId="4105"/>
    <cellStyle name="差_7月考核记账审批表(单月)" xfId="4106"/>
    <cellStyle name="差_7月考核记账审批表(单月) 2" xfId="4107"/>
    <cellStyle name="差_7月考核记账审批表(单月) 2_系统内台帐20130619" xfId="4108"/>
    <cellStyle name="差_8月考核记账审批表(单月)" xfId="4109"/>
    <cellStyle name="差_8月考核记账审批表(单月) 2" xfId="4110"/>
    <cellStyle name="差_8月考核记账审批表(单月) 2_系统内台帐20130619" xfId="4111"/>
    <cellStyle name="差_9月考核记账审批表" xfId="4112"/>
    <cellStyle name="差_9月考核记账审批表 2" xfId="4113"/>
    <cellStyle name="差_9月考核记账审批表 2_系统内台帐20130619" xfId="4114"/>
    <cellStyle name="差_9月考核记账审批表(单月)" xfId="4115"/>
    <cellStyle name="差_9月考核记账审批表(单月) 2" xfId="4116"/>
    <cellStyle name="差_9月考核记账审批表(单月) 2_系统内台帐20130619" xfId="4117"/>
    <cellStyle name="差_9月考核记账审批表_10月考核记账审批表(单月)" xfId="4118"/>
    <cellStyle name="差_9月考核记账审批表_10月考核记账审批表(单月) 2" xfId="4119"/>
    <cellStyle name="差_9月考核记账审批表_10月考核记账审批表(单月) 2_系统内台帐20130619" xfId="4120"/>
    <cellStyle name="差_9月考核记账审批表_11月考核记账审批表(单月)" xfId="4121"/>
    <cellStyle name="差_9月考核记账审批表_11月考核记账审批表(单月)_系统内台帐20130619" xfId="4122"/>
    <cellStyle name="差_9月考核记账审批表_12月考核记账审批表(单月)" xfId="4123"/>
    <cellStyle name="差_9月考核记账审批表_12月考核记账审批表（单月）" xfId="4124"/>
    <cellStyle name="差_9月考核记账审批表_12月考核记账审批表（单月） 2" xfId="4125"/>
    <cellStyle name="差_9月考核记账审批表_12月考核记账审批表（单月） 2_系统内台帐20130619" xfId="4126"/>
    <cellStyle name="差_9月考核记账审批表_12月考核记账审批表(单月)_系统内台帐20130619" xfId="4127"/>
    <cellStyle name="差_9月考核记账审批表_1月考核记账审批表（单月）" xfId="4128"/>
    <cellStyle name="差_9月考核记账审批表_1月考核记账审批表（单月） 2" xfId="4129"/>
    <cellStyle name="差_9月考核记账审批表_1月考核记账审批表（单月） 2_系统内台帐20130619" xfId="4130"/>
    <cellStyle name="差_9月考核记账审批表_2月考核记账审批表（单月）" xfId="4131"/>
    <cellStyle name="差_9月考核记账审批表_2月考核记账审批表（单月） 2" xfId="4132"/>
    <cellStyle name="差_9月考核记账审批表_2月考核记账审批表（单月） 2_系统内台帐20130619" xfId="4133"/>
    <cellStyle name="差_9月考核记账审批表_3月考核记账审批表（单月）" xfId="4134"/>
    <cellStyle name="差_9月考核记账审批表_3月考核记账审批表（单月） 2" xfId="4135"/>
    <cellStyle name="差_9月考核记账审批表_3月考核记账审批表（单月） 2_系统内台帐20130619" xfId="4136"/>
    <cellStyle name="差_9月考核记账审批表_4月考核记账审批表(单月)" xfId="4137"/>
    <cellStyle name="差_9月考核记账审批表_4月考核记账审批表（单月）" xfId="4138"/>
    <cellStyle name="差_9月考核记账审批表_4月考核记账审批表(单月) 2" xfId="4139"/>
    <cellStyle name="差_9月考核记账审批表_4月考核记账审批表（单月） 2" xfId="4140"/>
    <cellStyle name="差_9月考核记账审批表_4月考核记账审批表(单月) 2_系统内台帐20130619" xfId="4141"/>
    <cellStyle name="差_9月考核记账审批表_4月考核记账审批表（单月） 2_系统内台帐20130619" xfId="4142"/>
    <cellStyle name="差_9月考核记账审批表_5月考核记账审批表(单月)" xfId="4143"/>
    <cellStyle name="差_9月考核记账审批表_5月考核记账审批表(单月) (version 1)" xfId="4144"/>
    <cellStyle name="差_9月考核记账审批表_5月考核记账审批表(单月) (version 1) 2" xfId="4145"/>
    <cellStyle name="差_9月考核记账审批表_5月考核记账审批表(单月) (version 1) 2_系统内台帐20130619" xfId="4146"/>
    <cellStyle name="差_9月考核记账审批表_5月考核记账审批表(单月) 2" xfId="4147"/>
    <cellStyle name="差_9月考核记账审批表_5月考核记账审批表(单月) 2_系统内台帐20130619" xfId="4148"/>
    <cellStyle name="差_9月考核记账审批表_6月考核记账审批表(单月)" xfId="4149"/>
    <cellStyle name="差_9月考核记账审批表_6月考核记账审批表(单月) 2" xfId="4150"/>
    <cellStyle name="差_9月考核记账审批表_6月考核记账审批表(单月) 2_系统内台帐20130619" xfId="4151"/>
    <cellStyle name="差_9月考核记账审批表_7月考核记账审批表(单月)" xfId="4152"/>
    <cellStyle name="差_9月考核记账审批表_7月考核记账审批表(单月) 2" xfId="4153"/>
    <cellStyle name="差_9月考核记账审批表_7月考核记账审批表(单月) 2_系统内台帐20130619" xfId="4154"/>
    <cellStyle name="差_9月考核记账审批表_8月考核记账审批表(单月)" xfId="4155"/>
    <cellStyle name="差_9月考核记账审批表_8月考核记账审批表(单月) 2" xfId="4156"/>
    <cellStyle name="差_9月考核记账审批表_8月考核记账审批表(单月) 2_系统内台帐20130619" xfId="4157"/>
    <cellStyle name="差_9月考核记账审批表_9月考核记账审批表(单月)" xfId="4158"/>
    <cellStyle name="差_9月考核记账审批表_9月考核记账审批表(单月) 2" xfId="4159"/>
    <cellStyle name="差_9月考核记账审批表_9月考核记账审批表(单月) 2_系统内台帐20130619" xfId="4160"/>
    <cellStyle name="差_Sheet2" xfId="4161"/>
    <cellStyle name="差_Sheet2 2" xfId="4162"/>
    <cellStyle name="差_交易指令表 (2)" xfId="4163"/>
    <cellStyle name="差_交易指令表 (2) 2" xfId="4164"/>
    <cellStyle name="差_交易指令表 (2) 2_系统内台帐20130619" xfId="4165"/>
    <cellStyle name="差_交易指令表 (2)_10月考核记账审批表(单月)" xfId="4166"/>
    <cellStyle name="差_交易指令表 (2)_10月考核记账审批表(单月) 2" xfId="4167"/>
    <cellStyle name="差_交易指令表 (2)_10月考核记账审批表(单月) 2_系统内台帐20130619" xfId="4168"/>
    <cellStyle name="差_交易指令表 (2)_11月考核记账审批表(单月)" xfId="4169"/>
    <cellStyle name="差_交易指令表 (2)_11月考核记账审批表(单月)_系统内台帐20130619" xfId="4170"/>
    <cellStyle name="差_交易指令表 (2)_12月考核记账审批表(单月)" xfId="4171"/>
    <cellStyle name="差_交易指令表 (2)_12月考核记账审批表（单月）" xfId="4172"/>
    <cellStyle name="差_交易指令表 (2)_12月考核记账审批表（单月） 2" xfId="4173"/>
    <cellStyle name="差_交易指令表 (2)_12月考核记账审批表（单月） 2_系统内台帐20130619" xfId="4174"/>
    <cellStyle name="差_交易指令表 (2)_12月考核记账审批表(单月)_系统内台帐20130619" xfId="4175"/>
    <cellStyle name="差_交易指令表 (2)_1月考核记账审批表（单月）" xfId="4176"/>
    <cellStyle name="差_交易指令表 (2)_1月考核记账审批表（单月） 2" xfId="4177"/>
    <cellStyle name="差_交易指令表 (2)_1月考核记账审批表（单月） 2_系统内台帐20130619" xfId="4178"/>
    <cellStyle name="差_交易指令表 (2)_2月考核记账审批表（单月）" xfId="4179"/>
    <cellStyle name="差_交易指令表 (2)_2月考核记账审批表（单月） 2" xfId="4180"/>
    <cellStyle name="差_交易指令表 (2)_2月考核记账审批表（单月） 2_系统内台帐20130619" xfId="4181"/>
    <cellStyle name="差_交易指令表 (2)_3月考核记账审批表（单月）" xfId="4182"/>
    <cellStyle name="差_交易指令表 (2)_3月考核记账审批表（单月） 2" xfId="4183"/>
    <cellStyle name="差_交易指令表 (2)_3月考核记账审批表（单月） 2_系统内台帐20130619" xfId="4184"/>
    <cellStyle name="差_交易指令表 (2)_4月考核记账审批表(单月)" xfId="4185"/>
    <cellStyle name="差_交易指令表 (2)_4月考核记账审批表（单月）" xfId="4186"/>
    <cellStyle name="差_交易指令表 (2)_4月考核记账审批表(单月) 2" xfId="4187"/>
    <cellStyle name="差_交易指令表 (2)_4月考核记账审批表（单月） 2" xfId="4188"/>
    <cellStyle name="差_交易指令表 (2)_4月考核记账审批表(单月) 2_系统内台帐20130619" xfId="4189"/>
    <cellStyle name="差_交易指令表 (2)_4月考核记账审批表（单月） 2_系统内台帐20130619" xfId="4190"/>
    <cellStyle name="差_交易指令表 (2)_5月考核记账审批表(单月)" xfId="4191"/>
    <cellStyle name="差_交易指令表 (2)_5月考核记账审批表(单月) (version 1)" xfId="4192"/>
    <cellStyle name="差_交易指令表 (2)_5月考核记账审批表(单月) (version 1) 2" xfId="4193"/>
    <cellStyle name="差_交易指令表 (2)_5月考核记账审批表(单月) (version 1) 2_系统内台帐20130619" xfId="4194"/>
    <cellStyle name="差_交易指令表 (2)_5月考核记账审批表(单月) 2" xfId="4195"/>
    <cellStyle name="差_交易指令表 (2)_5月考核记账审批表(单月) 2_系统内台帐20130619" xfId="4196"/>
    <cellStyle name="差_交易指令表 (2)_6月考核记账审批表(单月)" xfId="4197"/>
    <cellStyle name="差_交易指令表 (2)_6月考核记账审批表(单月) 2" xfId="4198"/>
    <cellStyle name="差_交易指令表 (2)_6月考核记账审批表(单月) 2_系统内台帐20130619" xfId="4199"/>
    <cellStyle name="差_交易指令表 (2)_7月考核记账审批表(单月)" xfId="4200"/>
    <cellStyle name="差_交易指令表 (2)_7月考核记账审批表(单月) 2" xfId="4201"/>
    <cellStyle name="差_交易指令表 (2)_7月考核记账审批表(单月) 2_系统内台帐20130619" xfId="4202"/>
    <cellStyle name="差_交易指令表 (2)_8月考核记账审批表(单月)" xfId="4203"/>
    <cellStyle name="差_交易指令表 (2)_8月考核记账审批表(单月) 2" xfId="4204"/>
    <cellStyle name="差_交易指令表 (2)_8月考核记账审批表(单月) 2_系统内台帐20130619" xfId="4205"/>
    <cellStyle name="差_交易指令表 (2)_9月考核记账审批表(单月)" xfId="4206"/>
    <cellStyle name="差_交易指令表 (2)_9月考核记账审批表(单月) 2" xfId="4207"/>
    <cellStyle name="差_交易指令表 (2)_9月考核记账审批表(单月) 2_系统内台帐20130619" xfId="4208"/>
    <cellStyle name="差_损益明细表" xfId="4209"/>
    <cellStyle name="差_新分析模板数据" xfId="4210"/>
    <cellStyle name="差_新分析模板数据 2" xfId="4211"/>
    <cellStyle name="差_业务状况表" xfId="4212"/>
    <cellStyle name="差_因素变动分析表" xfId="4213"/>
    <cellStyle name="差_因素变动分析表 2" xfId="4214"/>
    <cellStyle name="差_月度分析用表" xfId="4215"/>
    <cellStyle name="差_月度分析用表 2" xfId="4216"/>
    <cellStyle name="差_资产负债表" xfId="4217"/>
    <cellStyle name="常规" xfId="0" builtinId="0"/>
    <cellStyle name="常规 10" xfId="4218"/>
    <cellStyle name="常规 10 2" xfId="4219"/>
    <cellStyle name="常规 11" xfId="4220"/>
    <cellStyle name="常规 110" xfId="4928"/>
    <cellStyle name="常规 12" xfId="4221"/>
    <cellStyle name="常规 13" xfId="4927"/>
    <cellStyle name="常规 2" xfId="3"/>
    <cellStyle name="常规 2 2" xfId="4222"/>
    <cellStyle name="常规 2 2 2" xfId="4223"/>
    <cellStyle name="常规 2 2 2 2" xfId="4224"/>
    <cellStyle name="常规 2 2 2 2 2" xfId="4225"/>
    <cellStyle name="常规 2 2 2 2_10月考核记账审批表" xfId="4226"/>
    <cellStyle name="常规 2 2 3" xfId="4227"/>
    <cellStyle name="常规 2 2 3 2" xfId="4228"/>
    <cellStyle name="常规 2 2 3_10月考核记账审批表" xfId="4229"/>
    <cellStyle name="常规 2 2 4" xfId="4230"/>
    <cellStyle name="常规 2 2_交易指令表 (2)" xfId="4231"/>
    <cellStyle name="常规 2 3" xfId="4232"/>
    <cellStyle name="常规 2 3 2" xfId="4233"/>
    <cellStyle name="常规 2 3 2 2" xfId="4234"/>
    <cellStyle name="常规 2 3 2_10月考核记账审批表" xfId="4235"/>
    <cellStyle name="常规 2 4" xfId="4236"/>
    <cellStyle name="常规 2 4 2" xfId="4237"/>
    <cellStyle name="常规 2 4 2 2" xfId="4238"/>
    <cellStyle name="常规 2 4 2_10月考核记账审批表" xfId="4239"/>
    <cellStyle name="常规 2 5" xfId="4240"/>
    <cellStyle name="常规 2 5 2" xfId="4241"/>
    <cellStyle name="常规 2 5_10月考核记账审批表" xfId="4242"/>
    <cellStyle name="常规 2 6" xfId="4243"/>
    <cellStyle name="常规 2 6 2" xfId="4244"/>
    <cellStyle name="常规 2 6_10月考核记账审批表" xfId="4245"/>
    <cellStyle name="常规 2 7" xfId="4246"/>
    <cellStyle name="常规 2 7 2" xfId="4247"/>
    <cellStyle name="常规 2 7 2 2" xfId="4248"/>
    <cellStyle name="常规 2 7 2_10月考核记账审批表" xfId="4249"/>
    <cellStyle name="常规 2 8" xfId="4250"/>
    <cellStyle name="常规 2_交易指令表 (2)" xfId="4251"/>
    <cellStyle name="常规 3" xfId="4252"/>
    <cellStyle name="常规 3 2" xfId="4253"/>
    <cellStyle name="常规 3 2 2" xfId="4254"/>
    <cellStyle name="常规 3 2 3" xfId="4255"/>
    <cellStyle name="常规 3 3" xfId="4256"/>
    <cellStyle name="常规 3 4" xfId="4257"/>
    <cellStyle name="常规 3 4 2" xfId="4258"/>
    <cellStyle name="常规 3 5" xfId="4259"/>
    <cellStyle name="常规 3 5 2" xfId="4260"/>
    <cellStyle name="常规 3 6" xfId="4261"/>
    <cellStyle name="常规 3 6 2" xfId="4262"/>
    <cellStyle name="常规 3 7" xfId="4263"/>
    <cellStyle name="常规 3 7 2" xfId="4264"/>
    <cellStyle name="常规 3 8" xfId="4265"/>
    <cellStyle name="常规 3 8 2" xfId="4266"/>
    <cellStyle name="常规 3 9" xfId="4267"/>
    <cellStyle name="常规 3_10月考核记账审批表" xfId="4268"/>
    <cellStyle name="常规 4" xfId="4269"/>
    <cellStyle name="常规 4 2" xfId="4270"/>
    <cellStyle name="常规 4 2 2" xfId="4271"/>
    <cellStyle name="常规 4 2 2 2" xfId="4272"/>
    <cellStyle name="常规 4 2 2_10月考核记账审批表" xfId="4273"/>
    <cellStyle name="常规 4 3" xfId="4274"/>
    <cellStyle name="常规 4 3 2" xfId="4275"/>
    <cellStyle name="常规 4 3_10月考核记账审批表" xfId="4276"/>
    <cellStyle name="常规 4 4" xfId="4277"/>
    <cellStyle name="常规 4 5" xfId="4278"/>
    <cellStyle name="常规 4 6" xfId="4279"/>
    <cellStyle name="常规 4_交易指令表 (2)" xfId="4280"/>
    <cellStyle name="常规 5" xfId="4281"/>
    <cellStyle name="常规 5 2" xfId="4282"/>
    <cellStyle name="常规 5 2 2" xfId="4283"/>
    <cellStyle name="常规 5 2_10月考核记账审批表" xfId="4284"/>
    <cellStyle name="常规 5 3" xfId="4285"/>
    <cellStyle name="常规 59" xfId="4286"/>
    <cellStyle name="常规 6" xfId="4287"/>
    <cellStyle name="常规 6 2" xfId="4288"/>
    <cellStyle name="常规 6 2 2" xfId="4289"/>
    <cellStyle name="常规 6 2_10月考核记账审批表" xfId="4290"/>
    <cellStyle name="常规 6 3" xfId="4291"/>
    <cellStyle name="常规 7" xfId="4292"/>
    <cellStyle name="常规 7 2" xfId="4293"/>
    <cellStyle name="常规 7_10月考核记账审批表" xfId="4294"/>
    <cellStyle name="常规 8" xfId="4295"/>
    <cellStyle name="常规 9" xfId="4296"/>
    <cellStyle name="常规 9 2" xfId="4297"/>
    <cellStyle name="好 2" xfId="4298"/>
    <cellStyle name="好 2 2" xfId="4299"/>
    <cellStyle name="好 2 2 2" xfId="4300"/>
    <cellStyle name="好 2 2 2 2" xfId="4301"/>
    <cellStyle name="好 2 2 2 2 2" xfId="4302"/>
    <cellStyle name="好 2 2 2 2_10月考核记账审批表" xfId="4303"/>
    <cellStyle name="好 2 2 3" xfId="4304"/>
    <cellStyle name="好 2 2 3 2" xfId="4305"/>
    <cellStyle name="好 2 2 3_10月考核记账审批表" xfId="4306"/>
    <cellStyle name="好 2 2_交易指令表 (2)" xfId="4307"/>
    <cellStyle name="好 2 3" xfId="4308"/>
    <cellStyle name="好 2 3 2" xfId="4309"/>
    <cellStyle name="好 2 3_10月考核记账审批表" xfId="4310"/>
    <cellStyle name="好 2 4" xfId="4311"/>
    <cellStyle name="好 2 4 2" xfId="4312"/>
    <cellStyle name="好 2 5" xfId="4313"/>
    <cellStyle name="好 3" xfId="4314"/>
    <cellStyle name="好_10月考核记账审批表" xfId="4315"/>
    <cellStyle name="好_10月考核记账审批表 2" xfId="4316"/>
    <cellStyle name="好_10月考核记账审批表 2_系统内台帐20130619" xfId="4317"/>
    <cellStyle name="好_10月考核记账审批表(单月)" xfId="4318"/>
    <cellStyle name="好_10月考核记账审批表(单月) 2" xfId="4319"/>
    <cellStyle name="好_10月考核记账审批表(单月) 2_系统内台帐20130619" xfId="4320"/>
    <cellStyle name="好_10月考核记账审批表_10月考核记账审批表(单月)" xfId="4321"/>
    <cellStyle name="好_10月考核记账审批表_10月考核记账审批表(单月) 2" xfId="4322"/>
    <cellStyle name="好_10月考核记账审批表_10月考核记账审批表(单月) 2_系统内台帐20130619" xfId="4323"/>
    <cellStyle name="好_10月考核记账审批表_11月考核记账审批表(单月)" xfId="4324"/>
    <cellStyle name="好_10月考核记账审批表_11月考核记账审批表(单月)_系统内台帐20130619" xfId="4325"/>
    <cellStyle name="好_10月考核记账审批表_12月考核记账审批表(单月)" xfId="4326"/>
    <cellStyle name="好_10月考核记账审批表_12月考核记账审批表（单月）" xfId="4327"/>
    <cellStyle name="好_10月考核记账审批表_12月考核记账审批表（单月） 2" xfId="4328"/>
    <cellStyle name="好_10月考核记账审批表_12月考核记账审批表（单月） 2_系统内台帐20130619" xfId="4329"/>
    <cellStyle name="好_10月考核记账审批表_12月考核记账审批表(单月)_系统内台帐20130619" xfId="4330"/>
    <cellStyle name="好_10月考核记账审批表_1月考核记账审批表（单月）" xfId="4331"/>
    <cellStyle name="好_10月考核记账审批表_1月考核记账审批表（单月） 2" xfId="4332"/>
    <cellStyle name="好_10月考核记账审批表_1月考核记账审批表（单月） 2_系统内台帐20130619" xfId="4333"/>
    <cellStyle name="好_10月考核记账审批表_2月考核记账审批表（单月）" xfId="4334"/>
    <cellStyle name="好_10月考核记账审批表_2月考核记账审批表（单月） 2" xfId="4335"/>
    <cellStyle name="好_10月考核记账审批表_2月考核记账审批表（单月） 2_系统内台帐20130619" xfId="4336"/>
    <cellStyle name="好_10月考核记账审批表_3月考核记账审批表（单月）" xfId="4337"/>
    <cellStyle name="好_10月考核记账审批表_3月考核记账审批表（单月） 2" xfId="4338"/>
    <cellStyle name="好_10月考核记账审批表_3月考核记账审批表（单月） 2_系统内台帐20130619" xfId="4339"/>
    <cellStyle name="好_10月考核记账审批表_4月考核记账审批表(单月)" xfId="4340"/>
    <cellStyle name="好_10月考核记账审批表_4月考核记账审批表（单月）" xfId="4341"/>
    <cellStyle name="好_10月考核记账审批表_4月考核记账审批表(单月) 2" xfId="4342"/>
    <cellStyle name="好_10月考核记账审批表_4月考核记账审批表（单月） 2" xfId="4343"/>
    <cellStyle name="好_10月考核记账审批表_4月考核记账审批表(单月) 2_系统内台帐20130619" xfId="4344"/>
    <cellStyle name="好_10月考核记账审批表_4月考核记账审批表（单月） 2_系统内台帐20130619" xfId="4345"/>
    <cellStyle name="好_10月考核记账审批表_5月考核记账审批表(单月)" xfId="4346"/>
    <cellStyle name="好_10月考核记账审批表_5月考核记账审批表(单月) (version 1)" xfId="4347"/>
    <cellStyle name="好_10月考核记账审批表_5月考核记账审批表(单月) (version 1) 2" xfId="4348"/>
    <cellStyle name="好_10月考核记账审批表_5月考核记账审批表(单月) (version 1) 2_系统内台帐20130619" xfId="4349"/>
    <cellStyle name="好_10月考核记账审批表_5月考核记账审批表(单月) 2" xfId="4350"/>
    <cellStyle name="好_10月考核记账审批表_5月考核记账审批表(单月) 2_系统内台帐20130619" xfId="4351"/>
    <cellStyle name="好_10月考核记账审批表_6月考核记账审批表(单月)" xfId="4352"/>
    <cellStyle name="好_10月考核记账审批表_6月考核记账审批表(单月) 2" xfId="4353"/>
    <cellStyle name="好_10月考核记账审批表_6月考核记账审批表(单月) 2_系统内台帐20130619" xfId="4354"/>
    <cellStyle name="好_10月考核记账审批表_7月考核记账审批表(单月)" xfId="4355"/>
    <cellStyle name="好_10月考核记账审批表_7月考核记账审批表(单月) 2" xfId="4356"/>
    <cellStyle name="好_10月考核记账审批表_7月考核记账审批表(单月) 2_系统内台帐20130619" xfId="4357"/>
    <cellStyle name="好_10月考核记账审批表_8月考核记账审批表(单月)" xfId="4358"/>
    <cellStyle name="好_10月考核记账审批表_8月考核记账审批表(单月) 2" xfId="4359"/>
    <cellStyle name="好_10月考核记账审批表_8月考核记账审批表(单月) 2_系统内台帐20130619" xfId="4360"/>
    <cellStyle name="好_10月考核记账审批表_9月考核记账审批表(单月)" xfId="4361"/>
    <cellStyle name="好_10月考核记账审批表_9月考核记账审批表(单月) 2" xfId="4362"/>
    <cellStyle name="好_10月考核记账审批表_9月考核记账审批表(单月) 2_系统内台帐20130619" xfId="4363"/>
    <cellStyle name="好_11月考核记账审批表" xfId="4364"/>
    <cellStyle name="好_11月考核记账审批表 2" xfId="4365"/>
    <cellStyle name="好_11月考核记账审批表 2_系统内台帐20130619" xfId="4366"/>
    <cellStyle name="好_11月考核记账审批表(单月)" xfId="4367"/>
    <cellStyle name="好_11月考核记账审批表(单月)_系统内台帐20130619" xfId="4368"/>
    <cellStyle name="好_11月考核记账审批表_10月考核记账审批表(单月)" xfId="4369"/>
    <cellStyle name="好_11月考核记账审批表_10月考核记账审批表(单月) 2" xfId="4370"/>
    <cellStyle name="好_11月考核记账审批表_10月考核记账审批表(单月) 2_系统内台帐20130619" xfId="4371"/>
    <cellStyle name="好_11月考核记账审批表_11月考核记账审批表(单月)" xfId="4372"/>
    <cellStyle name="好_11月考核记账审批表_11月考核记账审批表(单月)_系统内台帐20130619" xfId="4373"/>
    <cellStyle name="好_11月考核记账审批表_12月考核记账审批表(单月)" xfId="4374"/>
    <cellStyle name="好_11月考核记账审批表_12月考核记账审批表（单月）" xfId="4375"/>
    <cellStyle name="好_11月考核记账审批表_12月考核记账审批表（单月） 2" xfId="4376"/>
    <cellStyle name="好_11月考核记账审批表_12月考核记账审批表（单月） 2_系统内台帐20130619" xfId="4377"/>
    <cellStyle name="好_11月考核记账审批表_12月考核记账审批表(单月)_系统内台帐20130619" xfId="4378"/>
    <cellStyle name="好_11月考核记账审批表_1月考核记账审批表（单月）" xfId="4379"/>
    <cellStyle name="好_11月考核记账审批表_1月考核记账审批表（单月） 2" xfId="4380"/>
    <cellStyle name="好_11月考核记账审批表_1月考核记账审批表（单月） 2_系统内台帐20130619" xfId="4381"/>
    <cellStyle name="好_11月考核记账审批表_2月考核记账审批表（单月）" xfId="4382"/>
    <cellStyle name="好_11月考核记账审批表_2月考核记账审批表（单月） 2" xfId="4383"/>
    <cellStyle name="好_11月考核记账审批表_2月考核记账审批表（单月） 2_系统内台帐20130619" xfId="4384"/>
    <cellStyle name="好_11月考核记账审批表_3月考核记账审批表（单月）" xfId="4385"/>
    <cellStyle name="好_11月考核记账审批表_3月考核记账审批表（单月） 2" xfId="4386"/>
    <cellStyle name="好_11月考核记账审批表_3月考核记账审批表（单月） 2_系统内台帐20130619" xfId="4387"/>
    <cellStyle name="好_11月考核记账审批表_4月考核记账审批表(单月)" xfId="4388"/>
    <cellStyle name="好_11月考核记账审批表_4月考核记账审批表（单月）" xfId="4389"/>
    <cellStyle name="好_11月考核记账审批表_4月考核记账审批表(单月) 2" xfId="4390"/>
    <cellStyle name="好_11月考核记账审批表_4月考核记账审批表（单月） 2" xfId="4391"/>
    <cellStyle name="好_11月考核记账审批表_4月考核记账审批表(单月) 2_系统内台帐20130619" xfId="4392"/>
    <cellStyle name="好_11月考核记账审批表_4月考核记账审批表（单月） 2_系统内台帐20130619" xfId="4393"/>
    <cellStyle name="好_11月考核记账审批表_5月考核记账审批表(单月)" xfId="4394"/>
    <cellStyle name="好_11月考核记账审批表_5月考核记账审批表(单月) (version 1)" xfId="4395"/>
    <cellStyle name="好_11月考核记账审批表_5月考核记账审批表(单月) (version 1) 2" xfId="4396"/>
    <cellStyle name="好_11月考核记账审批表_5月考核记账审批表(单月) (version 1) 2_系统内台帐20130619" xfId="4397"/>
    <cellStyle name="好_11月考核记账审批表_5月考核记账审批表(单月) 2" xfId="4398"/>
    <cellStyle name="好_11月考核记账审批表_5月考核记账审批表(单月) 2_系统内台帐20130619" xfId="4399"/>
    <cellStyle name="好_11月考核记账审批表_6月考核记账审批表(单月)" xfId="4400"/>
    <cellStyle name="好_11月考核记账审批表_6月考核记账审批表(单月) 2" xfId="4401"/>
    <cellStyle name="好_11月考核记账审批表_6月考核记账审批表(单月) 2_系统内台帐20130619" xfId="4402"/>
    <cellStyle name="好_11月考核记账审批表_7月考核记账审批表(单月)" xfId="4403"/>
    <cellStyle name="好_11月考核记账审批表_7月考核记账审批表(单月) 2" xfId="4404"/>
    <cellStyle name="好_11月考核记账审批表_7月考核记账审批表(单月) 2_系统内台帐20130619" xfId="4405"/>
    <cellStyle name="好_11月考核记账审批表_8月考核记账审批表(单月)" xfId="4406"/>
    <cellStyle name="好_11月考核记账审批表_8月考核记账审批表(单月) 2" xfId="4407"/>
    <cellStyle name="好_11月考核记账审批表_8月考核记账审批表(单月) 2_系统内台帐20130619" xfId="4408"/>
    <cellStyle name="好_11月考核记账审批表_9月考核记账审批表(单月)" xfId="4409"/>
    <cellStyle name="好_11月考核记账审批表_9月考核记账审批表(单月) 2" xfId="4410"/>
    <cellStyle name="好_11月考核记账审批表_9月考核记账审批表(单月) 2_系统内台帐20130619" xfId="4411"/>
    <cellStyle name="好_12月考核记账审批表" xfId="4412"/>
    <cellStyle name="好_12月考核记账审批表 2" xfId="4413"/>
    <cellStyle name="好_12月考核记账审批表 2_系统内台帐20130619" xfId="4414"/>
    <cellStyle name="好_12月考核记账审批表(单月)" xfId="4415"/>
    <cellStyle name="好_12月考核记账审批表(单月)_系统内台帐20130619" xfId="4416"/>
    <cellStyle name="好_12月考核记账审批表_10月考核记账审批表(单月)" xfId="4417"/>
    <cellStyle name="好_12月考核记账审批表_10月考核记账审批表(单月) 2" xfId="4418"/>
    <cellStyle name="好_12月考核记账审批表_10月考核记账审批表(单月) 2_系统内台帐20130619" xfId="4419"/>
    <cellStyle name="好_12月考核记账审批表_11月考核记账审批表(单月)" xfId="4420"/>
    <cellStyle name="好_12月考核记账审批表_11月考核记账审批表(单月)_系统内台帐20130619" xfId="4421"/>
    <cellStyle name="好_12月考核记账审批表_12月考核记账审批表(单月)" xfId="4422"/>
    <cellStyle name="好_12月考核记账审批表_12月考核记账审批表（单月）" xfId="4423"/>
    <cellStyle name="好_12月考核记账审批表_12月考核记账审批表（单月） 2" xfId="4424"/>
    <cellStyle name="好_12月考核记账审批表_12月考核记账审批表（单月） 2_系统内台帐20130619" xfId="4425"/>
    <cellStyle name="好_12月考核记账审批表_12月考核记账审批表(单月)_系统内台帐20130619" xfId="4426"/>
    <cellStyle name="好_12月考核记账审批表_1月考核记账审批表（单月）" xfId="4427"/>
    <cellStyle name="好_12月考核记账审批表_1月考核记账审批表（单月） 2" xfId="4428"/>
    <cellStyle name="好_12月考核记账审批表_1月考核记账审批表（单月） 2_系统内台帐20130619" xfId="4429"/>
    <cellStyle name="好_12月考核记账审批表_2月考核记账审批表（单月）" xfId="4430"/>
    <cellStyle name="好_12月考核记账审批表_2月考核记账审批表（单月） 2" xfId="4431"/>
    <cellStyle name="好_12月考核记账审批表_2月考核记账审批表（单月） 2_系统内台帐20130619" xfId="4432"/>
    <cellStyle name="好_12月考核记账审批表_3月考核记账审批表（单月）" xfId="4433"/>
    <cellStyle name="好_12月考核记账审批表_3月考核记账审批表（单月） 2" xfId="4434"/>
    <cellStyle name="好_12月考核记账审批表_3月考核记账审批表（单月） 2_系统内台帐20130619" xfId="4435"/>
    <cellStyle name="好_12月考核记账审批表_4月考核记账审批表(单月)" xfId="4436"/>
    <cellStyle name="好_12月考核记账审批表_4月考核记账审批表（单月）" xfId="4437"/>
    <cellStyle name="好_12月考核记账审批表_4月考核记账审批表(单月) 2" xfId="4438"/>
    <cellStyle name="好_12月考核记账审批表_4月考核记账审批表（单月） 2" xfId="4439"/>
    <cellStyle name="好_12月考核记账审批表_4月考核记账审批表(单月) 2_系统内台帐20130619" xfId="4440"/>
    <cellStyle name="好_12月考核记账审批表_4月考核记账审批表（单月） 2_系统内台帐20130619" xfId="4441"/>
    <cellStyle name="好_12月考核记账审批表_5月考核记账审批表(单月)" xfId="4442"/>
    <cellStyle name="好_12月考核记账审批表_5月考核记账审批表(单月) (version 1)" xfId="4443"/>
    <cellStyle name="好_12月考核记账审批表_5月考核记账审批表(单月) (version 1) 2" xfId="4444"/>
    <cellStyle name="好_12月考核记账审批表_5月考核记账审批表(单月) (version 1) 2_系统内台帐20130619" xfId="4445"/>
    <cellStyle name="好_12月考核记账审批表_5月考核记账审批表(单月) 2" xfId="4446"/>
    <cellStyle name="好_12月考核记账审批表_5月考核记账审批表(单月) 2_系统内台帐20130619" xfId="4447"/>
    <cellStyle name="好_12月考核记账审批表_6月考核记账审批表(单月)" xfId="4448"/>
    <cellStyle name="好_12月考核记账审批表_6月考核记账审批表(单月) 2" xfId="4449"/>
    <cellStyle name="好_12月考核记账审批表_6月考核记账审批表(单月) 2_系统内台帐20130619" xfId="4450"/>
    <cellStyle name="好_12月考核记账审批表_7月考核记账审批表(单月)" xfId="4451"/>
    <cellStyle name="好_12月考核记账审批表_7月考核记账审批表(单月) 2" xfId="4452"/>
    <cellStyle name="好_12月考核记账审批表_7月考核记账审批表(单月) 2_系统内台帐20130619" xfId="4453"/>
    <cellStyle name="好_12月考核记账审批表_8月考核记账审批表(单月)" xfId="4454"/>
    <cellStyle name="好_12月考核记账审批表_8月考核记账审批表(单月) 2" xfId="4455"/>
    <cellStyle name="好_12月考核记账审批表_8月考核记账审批表(单月) 2_系统内台帐20130619" xfId="4456"/>
    <cellStyle name="好_12月考核记账审批表_9月考核记账审批表(单月)" xfId="4457"/>
    <cellStyle name="好_12月考核记账审批表_9月考核记账审批表(单月) 2" xfId="4458"/>
    <cellStyle name="好_12月考核记账审批表_9月考核记账审批表(单月) 2_系统内台帐20130619" xfId="4459"/>
    <cellStyle name="好_2013普通资产池台帐（保本）" xfId="4460"/>
    <cellStyle name="好_2013普通资产池台帐（非保本）" xfId="4461"/>
    <cellStyle name="好_3月考核记账审批表（单月）" xfId="4462"/>
    <cellStyle name="好_3月考核记账审批表（单月） 2" xfId="4463"/>
    <cellStyle name="好_3月考核记账审批表（单月） 2_系统内台帐20130619" xfId="4464"/>
    <cellStyle name="好_4月考核记账审批表(单月)" xfId="4465"/>
    <cellStyle name="好_4月考核记账审批表（单月）" xfId="4466"/>
    <cellStyle name="好_4月考核记账审批表(单月) 2" xfId="4467"/>
    <cellStyle name="好_4月考核记账审批表（单月） 2" xfId="4468"/>
    <cellStyle name="好_4月考核记账审批表(单月) 2_系统内台帐20130619" xfId="4469"/>
    <cellStyle name="好_4月考核记账审批表（单月） 2_系统内台帐20130619" xfId="4470"/>
    <cellStyle name="好_5月考核记账审批表(单月)" xfId="4471"/>
    <cellStyle name="好_5月考核记账审批表(单月) (version 1)" xfId="4472"/>
    <cellStyle name="好_5月考核记账审批表(单月) (version 1) 2" xfId="4473"/>
    <cellStyle name="好_5月考核记账审批表(单月) (version 1) 2_系统内台帐20130619" xfId="4474"/>
    <cellStyle name="好_5月考核记账审批表(单月) 2" xfId="4475"/>
    <cellStyle name="好_5月考核记账审批表(单月) 2_系统内台帐20130619" xfId="4476"/>
    <cellStyle name="好_6月考核记账审批表(单月)" xfId="4477"/>
    <cellStyle name="好_6月考核记账审批表(单月) 2" xfId="4478"/>
    <cellStyle name="好_6月考核记账审批表(单月) 2_系统内台帐20130619" xfId="4479"/>
    <cellStyle name="好_7月考核记账审批表(单月)" xfId="4480"/>
    <cellStyle name="好_7月考核记账审批表(单月) 2" xfId="4481"/>
    <cellStyle name="好_7月考核记账审批表(单月) 2_系统内台帐20130619" xfId="4482"/>
    <cellStyle name="好_8月考核记账审批表(单月)" xfId="4483"/>
    <cellStyle name="好_8月考核记账审批表(单月) 2" xfId="4484"/>
    <cellStyle name="好_8月考核记账审批表(单月) 2_系统内台帐20130619" xfId="4485"/>
    <cellStyle name="好_9月考核记账审批表" xfId="4486"/>
    <cellStyle name="好_9月考核记账审批表 2" xfId="4487"/>
    <cellStyle name="好_9月考核记账审批表 2_系统内台帐20130619" xfId="4488"/>
    <cellStyle name="好_9月考核记账审批表(单月)" xfId="4489"/>
    <cellStyle name="好_9月考核记账审批表(单月) 2" xfId="4490"/>
    <cellStyle name="好_9月考核记账审批表(单月) 2_系统内台帐20130619" xfId="4491"/>
    <cellStyle name="好_9月考核记账审批表_10月考核记账审批表(单月)" xfId="4492"/>
    <cellStyle name="好_9月考核记账审批表_10月考核记账审批表(单月) 2" xfId="4493"/>
    <cellStyle name="好_9月考核记账审批表_10月考核记账审批表(单月) 2_系统内台帐20130619" xfId="4494"/>
    <cellStyle name="好_9月考核记账审批表_11月考核记账审批表(单月)" xfId="4495"/>
    <cellStyle name="好_9月考核记账审批表_11月考核记账审批表(单月)_系统内台帐20130619" xfId="4496"/>
    <cellStyle name="好_9月考核记账审批表_12月考核记账审批表(单月)" xfId="4497"/>
    <cellStyle name="好_9月考核记账审批表_12月考核记账审批表（单月）" xfId="4498"/>
    <cellStyle name="好_9月考核记账审批表_12月考核记账审批表（单月） 2" xfId="4499"/>
    <cellStyle name="好_9月考核记账审批表_12月考核记账审批表（单月） 2_系统内台帐20130619" xfId="4500"/>
    <cellStyle name="好_9月考核记账审批表_12月考核记账审批表(单月)_系统内台帐20130619" xfId="4501"/>
    <cellStyle name="好_9月考核记账审批表_1月考核记账审批表（单月）" xfId="4502"/>
    <cellStyle name="好_9月考核记账审批表_1月考核记账审批表（单月） 2" xfId="4503"/>
    <cellStyle name="好_9月考核记账审批表_1月考核记账审批表（单月） 2_系统内台帐20130619" xfId="4504"/>
    <cellStyle name="好_9月考核记账审批表_2月考核记账审批表（单月）" xfId="4505"/>
    <cellStyle name="好_9月考核记账审批表_2月考核记账审批表（单月） 2" xfId="4506"/>
    <cellStyle name="好_9月考核记账审批表_2月考核记账审批表（单月） 2_系统内台帐20130619" xfId="4507"/>
    <cellStyle name="好_9月考核记账审批表_3月考核记账审批表（单月）" xfId="4508"/>
    <cellStyle name="好_9月考核记账审批表_3月考核记账审批表（单月） 2" xfId="4509"/>
    <cellStyle name="好_9月考核记账审批表_3月考核记账审批表（单月） 2_系统内台帐20130619" xfId="4510"/>
    <cellStyle name="好_9月考核记账审批表_4月考核记账审批表(单月)" xfId="4511"/>
    <cellStyle name="好_9月考核记账审批表_4月考核记账审批表（单月）" xfId="4512"/>
    <cellStyle name="好_9月考核记账审批表_4月考核记账审批表(单月) 2" xfId="4513"/>
    <cellStyle name="好_9月考核记账审批表_4月考核记账审批表（单月） 2" xfId="4514"/>
    <cellStyle name="好_9月考核记账审批表_4月考核记账审批表(单月) 2_系统内台帐20130619" xfId="4515"/>
    <cellStyle name="好_9月考核记账审批表_4月考核记账审批表（单月） 2_系统内台帐20130619" xfId="4516"/>
    <cellStyle name="好_9月考核记账审批表_5月考核记账审批表(单月)" xfId="4517"/>
    <cellStyle name="好_9月考核记账审批表_5月考核记账审批表(单月) (version 1)" xfId="4518"/>
    <cellStyle name="好_9月考核记账审批表_5月考核记账审批表(单月) (version 1) 2" xfId="4519"/>
    <cellStyle name="好_9月考核记账审批表_5月考核记账审批表(单月) (version 1) 2_系统内台帐20130619" xfId="4520"/>
    <cellStyle name="好_9月考核记账审批表_5月考核记账审批表(单月) 2" xfId="4521"/>
    <cellStyle name="好_9月考核记账审批表_5月考核记账审批表(单月) 2_系统内台帐20130619" xfId="4522"/>
    <cellStyle name="好_9月考核记账审批表_6月考核记账审批表(单月)" xfId="4523"/>
    <cellStyle name="好_9月考核记账审批表_6月考核记账审批表(单月) 2" xfId="4524"/>
    <cellStyle name="好_9月考核记账审批表_6月考核记账审批表(单月) 2_系统内台帐20130619" xfId="4525"/>
    <cellStyle name="好_9月考核记账审批表_7月考核记账审批表(单月)" xfId="4526"/>
    <cellStyle name="好_9月考核记账审批表_7月考核记账审批表(单月) 2" xfId="4527"/>
    <cellStyle name="好_9月考核记账审批表_7月考核记账审批表(单月) 2_系统内台帐20130619" xfId="4528"/>
    <cellStyle name="好_9月考核记账审批表_8月考核记账审批表(单月)" xfId="4529"/>
    <cellStyle name="好_9月考核记账审批表_8月考核记账审批表(单月) 2" xfId="4530"/>
    <cellStyle name="好_9月考核记账审批表_8月考核记账审批表(单月) 2_系统内台帐20130619" xfId="4531"/>
    <cellStyle name="好_9月考核记账审批表_9月考核记账审批表(单月)" xfId="4532"/>
    <cellStyle name="好_9月考核记账审批表_9月考核记账审批表(单月) 2" xfId="4533"/>
    <cellStyle name="好_9月考核记账审批表_9月考核记账审批表(单月) 2_系统内台帐20130619" xfId="4534"/>
    <cellStyle name="好_Sheet2" xfId="4535"/>
    <cellStyle name="好_Sheet2 2" xfId="4536"/>
    <cellStyle name="好_交易指令表 (2)" xfId="4537"/>
    <cellStyle name="好_交易指令表 (2) 2" xfId="4538"/>
    <cellStyle name="好_交易指令表 (2) 2_系统内台帐20130619" xfId="4539"/>
    <cellStyle name="好_交易指令表 (2)_10月考核记账审批表(单月)" xfId="4540"/>
    <cellStyle name="好_交易指令表 (2)_10月考核记账审批表(单月) 2" xfId="4541"/>
    <cellStyle name="好_交易指令表 (2)_10月考核记账审批表(单月) 2_系统内台帐20130619" xfId="4542"/>
    <cellStyle name="好_交易指令表 (2)_11月考核记账审批表(单月)" xfId="4543"/>
    <cellStyle name="好_交易指令表 (2)_11月考核记账审批表(单月)_系统内台帐20130619" xfId="4544"/>
    <cellStyle name="好_交易指令表 (2)_12月考核记账审批表(单月)" xfId="4545"/>
    <cellStyle name="好_交易指令表 (2)_12月考核记账审批表（单月）" xfId="4546"/>
    <cellStyle name="好_交易指令表 (2)_12月考核记账审批表（单月） 2" xfId="4547"/>
    <cellStyle name="好_交易指令表 (2)_12月考核记账审批表（单月） 2_系统内台帐20130619" xfId="4548"/>
    <cellStyle name="好_交易指令表 (2)_12月考核记账审批表(单月)_系统内台帐20130619" xfId="4549"/>
    <cellStyle name="好_交易指令表 (2)_1月考核记账审批表（单月）" xfId="4550"/>
    <cellStyle name="好_交易指令表 (2)_1月考核记账审批表（单月） 2" xfId="4551"/>
    <cellStyle name="好_交易指令表 (2)_1月考核记账审批表（单月） 2_系统内台帐20130619" xfId="4552"/>
    <cellStyle name="好_交易指令表 (2)_2月考核记账审批表（单月）" xfId="4553"/>
    <cellStyle name="好_交易指令表 (2)_2月考核记账审批表（单月） 2" xfId="4554"/>
    <cellStyle name="好_交易指令表 (2)_2月考核记账审批表（单月） 2_系统内台帐20130619" xfId="4555"/>
    <cellStyle name="好_交易指令表 (2)_3月考核记账审批表（单月）" xfId="4556"/>
    <cellStyle name="好_交易指令表 (2)_3月考核记账审批表（单月） 2" xfId="4557"/>
    <cellStyle name="好_交易指令表 (2)_3月考核记账审批表（单月） 2_系统内台帐20130619" xfId="4558"/>
    <cellStyle name="好_交易指令表 (2)_4月考核记账审批表(单月)" xfId="4559"/>
    <cellStyle name="好_交易指令表 (2)_4月考核记账审批表（单月）" xfId="4560"/>
    <cellStyle name="好_交易指令表 (2)_4月考核记账审批表(单月) 2" xfId="4561"/>
    <cellStyle name="好_交易指令表 (2)_4月考核记账审批表（单月） 2" xfId="4562"/>
    <cellStyle name="好_交易指令表 (2)_4月考核记账审批表(单月) 2_系统内台帐20130619" xfId="4563"/>
    <cellStyle name="好_交易指令表 (2)_4月考核记账审批表（单月） 2_系统内台帐20130619" xfId="4564"/>
    <cellStyle name="好_交易指令表 (2)_5月考核记账审批表(单月)" xfId="4565"/>
    <cellStyle name="好_交易指令表 (2)_5月考核记账审批表(单月) (version 1)" xfId="4566"/>
    <cellStyle name="好_交易指令表 (2)_5月考核记账审批表(单月) (version 1) 2" xfId="4567"/>
    <cellStyle name="好_交易指令表 (2)_5月考核记账审批表(单月) (version 1) 2_系统内台帐20130619" xfId="4568"/>
    <cellStyle name="好_交易指令表 (2)_5月考核记账审批表(单月) 2" xfId="4569"/>
    <cellStyle name="好_交易指令表 (2)_5月考核记账审批表(单月) 2_系统内台帐20130619" xfId="4570"/>
    <cellStyle name="好_交易指令表 (2)_6月考核记账审批表(单月)" xfId="4571"/>
    <cellStyle name="好_交易指令表 (2)_6月考核记账审批表(单月) 2" xfId="4572"/>
    <cellStyle name="好_交易指令表 (2)_6月考核记账审批表(单月) 2_系统内台帐20130619" xfId="4573"/>
    <cellStyle name="好_交易指令表 (2)_7月考核记账审批表(单月)" xfId="4574"/>
    <cellStyle name="好_交易指令表 (2)_7月考核记账审批表(单月) 2" xfId="4575"/>
    <cellStyle name="好_交易指令表 (2)_7月考核记账审批表(单月) 2_系统内台帐20130619" xfId="4576"/>
    <cellStyle name="好_交易指令表 (2)_8月考核记账审批表(单月)" xfId="4577"/>
    <cellStyle name="好_交易指令表 (2)_8月考核记账审批表(单月) 2" xfId="4578"/>
    <cellStyle name="好_交易指令表 (2)_8月考核记账审批表(单月) 2_系统内台帐20130619" xfId="4579"/>
    <cellStyle name="好_交易指令表 (2)_9月考核记账审批表(单月)" xfId="4580"/>
    <cellStyle name="好_交易指令表 (2)_9月考核记账审批表(单月) 2" xfId="4581"/>
    <cellStyle name="好_交易指令表 (2)_9月考核记账审批表(单月) 2_系统内台帐20130619" xfId="4582"/>
    <cellStyle name="好_损益明细表" xfId="4583"/>
    <cellStyle name="好_新分析模板数据" xfId="4584"/>
    <cellStyle name="好_新分析模板数据 2" xfId="4585"/>
    <cellStyle name="好_业务状况表" xfId="4586"/>
    <cellStyle name="好_因素变动分析表" xfId="4587"/>
    <cellStyle name="好_因素变动分析表 2" xfId="4588"/>
    <cellStyle name="好_月度分析用表" xfId="4589"/>
    <cellStyle name="好_月度分析用表 2" xfId="4590"/>
    <cellStyle name="好_资产负债表" xfId="4591"/>
    <cellStyle name="汇总 2" xfId="4592"/>
    <cellStyle name="汇总 2 2" xfId="4593"/>
    <cellStyle name="汇总 2 2 2" xfId="4594"/>
    <cellStyle name="汇总 2 2 2 2" xfId="4595"/>
    <cellStyle name="汇总 2 2 2 2 2" xfId="4596"/>
    <cellStyle name="汇总 2 2 2 2_10月考核记账审批表" xfId="4597"/>
    <cellStyle name="汇总 2 2 3" xfId="4598"/>
    <cellStyle name="汇总 2 2 3 2" xfId="4599"/>
    <cellStyle name="汇总 2 2 3_10月考核记账审批表" xfId="4600"/>
    <cellStyle name="汇总 2 2_交易指令表 (2)" xfId="4601"/>
    <cellStyle name="汇总 2 3" xfId="4602"/>
    <cellStyle name="汇总 2 3 2" xfId="4603"/>
    <cellStyle name="汇总 2 3_10月考核记账审批表" xfId="4604"/>
    <cellStyle name="汇总 2 4" xfId="4605"/>
    <cellStyle name="汇总 2 4 2" xfId="4606"/>
    <cellStyle name="汇总 2 5" xfId="4607"/>
    <cellStyle name="汇总 3" xfId="4608"/>
    <cellStyle name="计算 2" xfId="4609"/>
    <cellStyle name="计算 2 2" xfId="4610"/>
    <cellStyle name="计算 2 2 2" xfId="4611"/>
    <cellStyle name="计算 2 2 2 2" xfId="4612"/>
    <cellStyle name="计算 2 2 2 2 2" xfId="4613"/>
    <cellStyle name="计算 2 2 2 2_10月考核记账审批表" xfId="4614"/>
    <cellStyle name="计算 2 2 3" xfId="4615"/>
    <cellStyle name="计算 2 2 3 2" xfId="4616"/>
    <cellStyle name="计算 2 2 3_10月考核记账审批表" xfId="4617"/>
    <cellStyle name="计算 2 2_交易指令表 (2)" xfId="4618"/>
    <cellStyle name="计算 2 3" xfId="4619"/>
    <cellStyle name="计算 2 3 2" xfId="4620"/>
    <cellStyle name="计算 2 3_10月考核记账审批表" xfId="4621"/>
    <cellStyle name="计算 2 4" xfId="4622"/>
    <cellStyle name="计算 2 4 2" xfId="4623"/>
    <cellStyle name="计算 2 5" xfId="4624"/>
    <cellStyle name="计算 3" xfId="4625"/>
    <cellStyle name="检查单元格 2" xfId="4626"/>
    <cellStyle name="检查单元格 2 2" xfId="4627"/>
    <cellStyle name="检查单元格 2 2 2" xfId="4628"/>
    <cellStyle name="检查单元格 2 2 2 2" xfId="4629"/>
    <cellStyle name="检查单元格 2 2 2 2 2" xfId="4630"/>
    <cellStyle name="检查单元格 2 2 2 2_10月考核记账审批表" xfId="4631"/>
    <cellStyle name="检查单元格 2 2 3" xfId="4632"/>
    <cellStyle name="检查单元格 2 2 3 2" xfId="4633"/>
    <cellStyle name="检查单元格 2 2 3_10月考核记账审批表" xfId="4634"/>
    <cellStyle name="检查单元格 2 2_交易指令表 (2)" xfId="4635"/>
    <cellStyle name="检查单元格 2 3" xfId="4636"/>
    <cellStyle name="检查单元格 2 3 2" xfId="4637"/>
    <cellStyle name="检查单元格 2 3_10月考核记账审批表" xfId="4638"/>
    <cellStyle name="检查单元格 2 4" xfId="4639"/>
    <cellStyle name="检查单元格 2 4 2" xfId="4640"/>
    <cellStyle name="检查单元格 2 5" xfId="4641"/>
    <cellStyle name="检查单元格 3" xfId="4642"/>
    <cellStyle name="解释性文本 2" xfId="4643"/>
    <cellStyle name="解释性文本 2 2" xfId="4644"/>
    <cellStyle name="解释性文本 2 2 2" xfId="4645"/>
    <cellStyle name="解释性文本 2 2 2 2" xfId="4646"/>
    <cellStyle name="解释性文本 2 2 2 2 2" xfId="4647"/>
    <cellStyle name="解释性文本 2 2 2 2_10月考核记账审批表" xfId="4648"/>
    <cellStyle name="解释性文本 2 2 3" xfId="4649"/>
    <cellStyle name="解释性文本 2 2 3 2" xfId="4650"/>
    <cellStyle name="解释性文本 2 2 3_10月考核记账审批表" xfId="4651"/>
    <cellStyle name="解释性文本 2 2_交易指令表 (2)" xfId="4652"/>
    <cellStyle name="解释性文本 2 3" xfId="4653"/>
    <cellStyle name="解释性文本 2 3 2" xfId="4654"/>
    <cellStyle name="解释性文本 2 3_10月考核记账审批表" xfId="4655"/>
    <cellStyle name="解释性文本 2 4" xfId="4656"/>
    <cellStyle name="解释性文本 2 4 2" xfId="4657"/>
    <cellStyle name="解释性文本 2 5" xfId="4658"/>
    <cellStyle name="解释性文本 3" xfId="4659"/>
    <cellStyle name="警告文本 2" xfId="4660"/>
    <cellStyle name="警告文本 2 2" xfId="4661"/>
    <cellStyle name="警告文本 2 2 2" xfId="4662"/>
    <cellStyle name="警告文本 2 2 2 2" xfId="4663"/>
    <cellStyle name="警告文本 2 2 2 2 2" xfId="4664"/>
    <cellStyle name="警告文本 2 2 2 2_10月考核记账审批表" xfId="4665"/>
    <cellStyle name="警告文本 2 2 3" xfId="4666"/>
    <cellStyle name="警告文本 2 2 3 2" xfId="4667"/>
    <cellStyle name="警告文本 2 2 3_10月考核记账审批表" xfId="4668"/>
    <cellStyle name="警告文本 2 2_交易指令表 (2)" xfId="4669"/>
    <cellStyle name="警告文本 2 3" xfId="4670"/>
    <cellStyle name="警告文本 2 3 2" xfId="4671"/>
    <cellStyle name="警告文本 2 3 2 2" xfId="4672"/>
    <cellStyle name="警告文本 2 3 2_10月考核记账审批表" xfId="4673"/>
    <cellStyle name="警告文本 2 4" xfId="4674"/>
    <cellStyle name="警告文本 2 4 2" xfId="4675"/>
    <cellStyle name="警告文本 2 4_10月考核记账审批表" xfId="4676"/>
    <cellStyle name="警告文本 2 5" xfId="4677"/>
    <cellStyle name="警告文本 2 5 2" xfId="4678"/>
    <cellStyle name="警告文本 2 6" xfId="4679"/>
    <cellStyle name="警告文本 2_交易指令表 (2)" xfId="4680"/>
    <cellStyle name="警告文本 3" xfId="4681"/>
    <cellStyle name="链接单元格 2" xfId="4682"/>
    <cellStyle name="链接单元格 2 2" xfId="4683"/>
    <cellStyle name="链接单元格 2 2 2" xfId="4684"/>
    <cellStyle name="链接单元格 2 2 2 2" xfId="4685"/>
    <cellStyle name="链接单元格 2 2 2 2 2" xfId="4686"/>
    <cellStyle name="链接单元格 2 2 2 2_10月考核记账审批表" xfId="4687"/>
    <cellStyle name="链接单元格 2 2 3" xfId="4688"/>
    <cellStyle name="链接单元格 2 2 3 2" xfId="4689"/>
    <cellStyle name="链接单元格 2 2 3_10月考核记账审批表" xfId="4690"/>
    <cellStyle name="链接单元格 2 2_交易指令表 (2)" xfId="4691"/>
    <cellStyle name="链接单元格 2 3" xfId="4692"/>
    <cellStyle name="链接单元格 2 3 2" xfId="4693"/>
    <cellStyle name="链接单元格 2 3_10月考核记账审批表" xfId="4694"/>
    <cellStyle name="链接单元格 2 4" xfId="4695"/>
    <cellStyle name="链接单元格 2 4 2" xfId="4696"/>
    <cellStyle name="链接单元格 2 5" xfId="4697"/>
    <cellStyle name="链接单元格 3" xfId="4698"/>
    <cellStyle name="千位分隔" xfId="1" builtinId="3"/>
    <cellStyle name="千位分隔 10" xfId="4699"/>
    <cellStyle name="千位分隔 11" xfId="4700"/>
    <cellStyle name="千位分隔 12" xfId="4701"/>
    <cellStyle name="千位分隔 13" xfId="4702"/>
    <cellStyle name="千位分隔 14" xfId="4703"/>
    <cellStyle name="千位分隔 2" xfId="4704"/>
    <cellStyle name="千位分隔 2 10" xfId="4705"/>
    <cellStyle name="千位分隔 2 11" xfId="4706"/>
    <cellStyle name="千位分隔 2 2" xfId="4707"/>
    <cellStyle name="千位分隔 2 2 2" xfId="4708"/>
    <cellStyle name="千位分隔 2 2 2 2" xfId="4709"/>
    <cellStyle name="千位分隔 2 2 2 2 2" xfId="4710"/>
    <cellStyle name="千位分隔 2 2 3" xfId="4711"/>
    <cellStyle name="千位分隔 2 2 3 2" xfId="4712"/>
    <cellStyle name="千位分隔 2 3" xfId="4713"/>
    <cellStyle name="千位分隔 2 3 2" xfId="4714"/>
    <cellStyle name="千位分隔 2 3 2 2" xfId="4715"/>
    <cellStyle name="千位分隔 2 4" xfId="4716"/>
    <cellStyle name="千位分隔 2 4 2" xfId="4717"/>
    <cellStyle name="千位分隔 2 5" xfId="4718"/>
    <cellStyle name="千位分隔 2 5 2" xfId="4719"/>
    <cellStyle name="千位分隔 2 6" xfId="4720"/>
    <cellStyle name="千位分隔 2 6 2" xfId="4721"/>
    <cellStyle name="千位分隔 2 6 2 2" xfId="4722"/>
    <cellStyle name="千位分隔 2 7" xfId="4723"/>
    <cellStyle name="千位分隔 2 8" xfId="4724"/>
    <cellStyle name="千位分隔 2 9" xfId="4725"/>
    <cellStyle name="千位分隔 3" xfId="4726"/>
    <cellStyle name="千位分隔 3 2" xfId="4727"/>
    <cellStyle name="千位分隔 3 2 2" xfId="4728"/>
    <cellStyle name="千位分隔 3 2 2 2" xfId="4729"/>
    <cellStyle name="千位分隔 3 3" xfId="4730"/>
    <cellStyle name="千位分隔 3 3 2" xfId="4731"/>
    <cellStyle name="千位分隔 3 4" xfId="4732"/>
    <cellStyle name="千位分隔 3 5" xfId="4733"/>
    <cellStyle name="千位分隔 4" xfId="4734"/>
    <cellStyle name="千位分隔 4 2" xfId="4735"/>
    <cellStyle name="千位分隔 4 2 2" xfId="4736"/>
    <cellStyle name="千位分隔 4 3" xfId="4737"/>
    <cellStyle name="千位分隔 4 4" xfId="4738"/>
    <cellStyle name="千位分隔 5" xfId="4739"/>
    <cellStyle name="千位分隔 5 2" xfId="4740"/>
    <cellStyle name="千位分隔 5 2 2" xfId="4741"/>
    <cellStyle name="千位分隔 6" xfId="4742"/>
    <cellStyle name="千位分隔 6 2" xfId="4743"/>
    <cellStyle name="千位分隔 7" xfId="4744"/>
    <cellStyle name="千位分隔 7 2" xfId="4745"/>
    <cellStyle name="千位分隔 7 3" xfId="4746"/>
    <cellStyle name="千位分隔 8" xfId="4747"/>
    <cellStyle name="千位分隔 8 2" xfId="4748"/>
    <cellStyle name="千位分隔 9" xfId="4749"/>
    <cellStyle name="强调文字颜色 1 2" xfId="4750"/>
    <cellStyle name="强调文字颜色 1 2 2" xfId="4751"/>
    <cellStyle name="强调文字颜色 1 2 2 2" xfId="4752"/>
    <cellStyle name="强调文字颜色 1 2 2 2 2" xfId="4753"/>
    <cellStyle name="强调文字颜色 1 2 2 2 2 2" xfId="4754"/>
    <cellStyle name="强调文字颜色 1 2 2 2 2_10月考核记账审批表" xfId="4755"/>
    <cellStyle name="强调文字颜色 1 2 2 3" xfId="4756"/>
    <cellStyle name="强调文字颜色 1 2 2 3 2" xfId="4757"/>
    <cellStyle name="强调文字颜色 1 2 2 3_10月考核记账审批表" xfId="4758"/>
    <cellStyle name="强调文字颜色 1 2 2_交易指令表 (2)" xfId="4759"/>
    <cellStyle name="强调文字颜色 1 2 3" xfId="4760"/>
    <cellStyle name="强调文字颜色 1 2 3 2" xfId="4761"/>
    <cellStyle name="强调文字颜色 1 2 3_10月考核记账审批表" xfId="4762"/>
    <cellStyle name="强调文字颜色 1 2 4" xfId="4763"/>
    <cellStyle name="强调文字颜色 1 2 4 2" xfId="4764"/>
    <cellStyle name="强调文字颜色 1 2 5" xfId="4765"/>
    <cellStyle name="强调文字颜色 1 3" xfId="4766"/>
    <cellStyle name="强调文字颜色 2 2" xfId="4767"/>
    <cellStyle name="强调文字颜色 2 2 2" xfId="4768"/>
    <cellStyle name="强调文字颜色 2 2 2 2" xfId="4769"/>
    <cellStyle name="强调文字颜色 2 2 2 2 2" xfId="4770"/>
    <cellStyle name="强调文字颜色 2 2 2 2 2 2" xfId="4771"/>
    <cellStyle name="强调文字颜色 2 2 2 2 2_10月考核记账审批表" xfId="4772"/>
    <cellStyle name="强调文字颜色 2 2 2 3" xfId="4773"/>
    <cellStyle name="强调文字颜色 2 2 2 3 2" xfId="4774"/>
    <cellStyle name="强调文字颜色 2 2 2 3_10月考核记账审批表" xfId="4775"/>
    <cellStyle name="强调文字颜色 2 2 2_交易指令表 (2)" xfId="4776"/>
    <cellStyle name="强调文字颜色 2 2 3" xfId="4777"/>
    <cellStyle name="强调文字颜色 2 2 3 2" xfId="4778"/>
    <cellStyle name="强调文字颜色 2 2 3_10月考核记账审批表" xfId="4779"/>
    <cellStyle name="强调文字颜色 2 2 4" xfId="4780"/>
    <cellStyle name="强调文字颜色 2 2 4 2" xfId="4781"/>
    <cellStyle name="强调文字颜色 2 2 5" xfId="4782"/>
    <cellStyle name="强调文字颜色 2 3" xfId="4783"/>
    <cellStyle name="强调文字颜色 3 2" xfId="4784"/>
    <cellStyle name="强调文字颜色 3 2 2" xfId="4785"/>
    <cellStyle name="强调文字颜色 3 2 2 2" xfId="4786"/>
    <cellStyle name="强调文字颜色 3 2 2 2 2" xfId="4787"/>
    <cellStyle name="强调文字颜色 3 2 2 2 2 2" xfId="4788"/>
    <cellStyle name="强调文字颜色 3 2 2 2 2_10月考核记账审批表" xfId="4789"/>
    <cellStyle name="强调文字颜色 3 2 2 3" xfId="4790"/>
    <cellStyle name="强调文字颜色 3 2 2 3 2" xfId="4791"/>
    <cellStyle name="强调文字颜色 3 2 2 3_10月考核记账审批表" xfId="4792"/>
    <cellStyle name="强调文字颜色 3 2 2_交易指令表 (2)" xfId="4793"/>
    <cellStyle name="强调文字颜色 3 2 3" xfId="4794"/>
    <cellStyle name="强调文字颜色 3 2 3 2" xfId="4795"/>
    <cellStyle name="强调文字颜色 3 2 3_10月考核记账审批表" xfId="4796"/>
    <cellStyle name="强调文字颜色 3 2 4" xfId="4797"/>
    <cellStyle name="强调文字颜色 3 2 4 2" xfId="4798"/>
    <cellStyle name="强调文字颜色 3 2 5" xfId="4799"/>
    <cellStyle name="强调文字颜色 3 3" xfId="4800"/>
    <cellStyle name="强调文字颜色 4 2" xfId="4801"/>
    <cellStyle name="强调文字颜色 4 2 2" xfId="4802"/>
    <cellStyle name="强调文字颜色 4 2 2 2" xfId="4803"/>
    <cellStyle name="强调文字颜色 4 2 2 2 2" xfId="4804"/>
    <cellStyle name="强调文字颜色 4 2 2 2 2 2" xfId="4805"/>
    <cellStyle name="强调文字颜色 4 2 2 2 2_10月考核记账审批表" xfId="4806"/>
    <cellStyle name="强调文字颜色 4 2 2 3" xfId="4807"/>
    <cellStyle name="强调文字颜色 4 2 2 3 2" xfId="4808"/>
    <cellStyle name="强调文字颜色 4 2 2 3_10月考核记账审批表" xfId="4809"/>
    <cellStyle name="强调文字颜色 4 2 2_交易指令表 (2)" xfId="4810"/>
    <cellStyle name="强调文字颜色 4 2 3" xfId="4811"/>
    <cellStyle name="强调文字颜色 4 2 3 2" xfId="4812"/>
    <cellStyle name="强调文字颜色 4 2 3_10月考核记账审批表" xfId="4813"/>
    <cellStyle name="强调文字颜色 4 2 4" xfId="4814"/>
    <cellStyle name="强调文字颜色 4 2 4 2" xfId="4815"/>
    <cellStyle name="强调文字颜色 4 2 5" xfId="4816"/>
    <cellStyle name="强调文字颜色 4 3" xfId="4817"/>
    <cellStyle name="强调文字颜色 5 2" xfId="4818"/>
    <cellStyle name="强调文字颜色 5 2 2" xfId="4819"/>
    <cellStyle name="强调文字颜色 5 2 2 2" xfId="4820"/>
    <cellStyle name="强调文字颜色 5 2 2 2 2" xfId="4821"/>
    <cellStyle name="强调文字颜色 5 2 2 2 2 2" xfId="4822"/>
    <cellStyle name="强调文字颜色 5 2 2 2 2_10月考核记账审批表" xfId="4823"/>
    <cellStyle name="强调文字颜色 5 2 2 3" xfId="4824"/>
    <cellStyle name="强调文字颜色 5 2 2 3 2" xfId="4825"/>
    <cellStyle name="强调文字颜色 5 2 2 3_10月考核记账审批表" xfId="4826"/>
    <cellStyle name="强调文字颜色 5 2 2_交易指令表 (2)" xfId="4827"/>
    <cellStyle name="强调文字颜色 5 2 3" xfId="4828"/>
    <cellStyle name="强调文字颜色 5 2 3 2" xfId="4829"/>
    <cellStyle name="强调文字颜色 5 2 3_10月考核记账审批表" xfId="4830"/>
    <cellStyle name="强调文字颜色 5 2 4" xfId="4831"/>
    <cellStyle name="强调文字颜色 5 2 4 2" xfId="4832"/>
    <cellStyle name="强调文字颜色 5 2 5" xfId="4833"/>
    <cellStyle name="强调文字颜色 5 3" xfId="4834"/>
    <cellStyle name="强调文字颜色 6 2" xfId="4835"/>
    <cellStyle name="强调文字颜色 6 2 2" xfId="4836"/>
    <cellStyle name="强调文字颜色 6 2 2 2" xfId="4837"/>
    <cellStyle name="强调文字颜色 6 2 2 2 2" xfId="4838"/>
    <cellStyle name="强调文字颜色 6 2 2 2 2 2" xfId="4839"/>
    <cellStyle name="强调文字颜色 6 2 2 2 2_10月考核记账审批表" xfId="4840"/>
    <cellStyle name="强调文字颜色 6 2 2 3" xfId="4841"/>
    <cellStyle name="强调文字颜色 6 2 2 3 2" xfId="4842"/>
    <cellStyle name="强调文字颜色 6 2 2 3_10月考核记账审批表" xfId="4843"/>
    <cellStyle name="强调文字颜色 6 2 2_交易指令表 (2)" xfId="4844"/>
    <cellStyle name="强调文字颜色 6 2 3" xfId="4845"/>
    <cellStyle name="强调文字颜色 6 2 3 2" xfId="4846"/>
    <cellStyle name="强调文字颜色 6 2 3_10月考核记账审批表" xfId="4847"/>
    <cellStyle name="强调文字颜色 6 2 4" xfId="4848"/>
    <cellStyle name="强调文字颜色 6 2 4 2" xfId="4849"/>
    <cellStyle name="强调文字颜色 6 2 5" xfId="4850"/>
    <cellStyle name="强调文字颜色 6 3" xfId="4851"/>
    <cellStyle name="适中 2" xfId="4852"/>
    <cellStyle name="适中 2 2" xfId="4853"/>
    <cellStyle name="适中 2 2 2" xfId="4854"/>
    <cellStyle name="适中 2 2 2 2" xfId="4855"/>
    <cellStyle name="适中 2 2 2 2 2" xfId="4856"/>
    <cellStyle name="适中 2 2 2 2_10月考核记账审批表" xfId="4857"/>
    <cellStyle name="适中 2 2 3" xfId="4858"/>
    <cellStyle name="适中 2 2 3 2" xfId="4859"/>
    <cellStyle name="适中 2 2 3_10月考核记账审批表" xfId="4860"/>
    <cellStyle name="适中 2 2_交易指令表 (2)" xfId="4861"/>
    <cellStyle name="适中 2 3" xfId="4862"/>
    <cellStyle name="适中 2 3 2" xfId="4863"/>
    <cellStyle name="适中 2 3_10月考核记账审批表" xfId="4864"/>
    <cellStyle name="适中 2 4" xfId="4865"/>
    <cellStyle name="适中 2 4 2" xfId="4866"/>
    <cellStyle name="适中 2 5" xfId="4867"/>
    <cellStyle name="适中 3" xfId="4868"/>
    <cellStyle name="输出 2" xfId="4869"/>
    <cellStyle name="输出 2 2" xfId="4870"/>
    <cellStyle name="输出 2 2 2" xfId="4871"/>
    <cellStyle name="输出 2 2 2 2" xfId="4872"/>
    <cellStyle name="输出 2 2 2 2 2" xfId="4873"/>
    <cellStyle name="输出 2 2 2 2_10月考核记账审批表" xfId="4874"/>
    <cellStyle name="输出 2 2 3" xfId="4875"/>
    <cellStyle name="输出 2 2 3 2" xfId="4876"/>
    <cellStyle name="输出 2 2 3_10月考核记账审批表" xfId="4877"/>
    <cellStyle name="输出 2 2_交易指令表 (2)" xfId="4878"/>
    <cellStyle name="输出 2 3" xfId="4879"/>
    <cellStyle name="输出 2 3 2" xfId="4880"/>
    <cellStyle name="输出 2 3_10月考核记账审批表" xfId="4881"/>
    <cellStyle name="输出 2 4" xfId="4882"/>
    <cellStyle name="输出 2 4 2" xfId="4883"/>
    <cellStyle name="输出 2 5" xfId="4884"/>
    <cellStyle name="输出 3" xfId="4885"/>
    <cellStyle name="输入 2" xfId="4886"/>
    <cellStyle name="输入 2 2" xfId="4887"/>
    <cellStyle name="输入 2 2 2" xfId="4888"/>
    <cellStyle name="输入 2 2 2 2" xfId="4889"/>
    <cellStyle name="输入 2 2 2 2 2" xfId="4890"/>
    <cellStyle name="输入 2 2 2 2_10月考核记账审批表" xfId="4891"/>
    <cellStyle name="输入 2 2 3" xfId="4892"/>
    <cellStyle name="输入 2 2 3 2" xfId="4893"/>
    <cellStyle name="输入 2 2 3_10月考核记账审批表" xfId="4894"/>
    <cellStyle name="输入 2 2_交易指令表 (2)" xfId="4895"/>
    <cellStyle name="输入 2 3" xfId="4896"/>
    <cellStyle name="输入 2 3 2" xfId="4897"/>
    <cellStyle name="输入 2 3_10月考核记账审批表" xfId="4898"/>
    <cellStyle name="输入 2 4" xfId="4899"/>
    <cellStyle name="输入 2 4 2" xfId="4900"/>
    <cellStyle name="输入 2 5" xfId="4901"/>
    <cellStyle name="输入 3" xfId="4902"/>
    <cellStyle name="样式 1" xfId="4903"/>
    <cellStyle name="样式 1 2" xfId="4904"/>
    <cellStyle name="样式 1 2 2" xfId="4905"/>
    <cellStyle name="样式 1 3" xfId="4906"/>
    <cellStyle name="样式 1 3 2" xfId="4907"/>
    <cellStyle name="样式 1 4" xfId="4908"/>
    <cellStyle name="样式 1 5" xfId="4909"/>
    <cellStyle name="样式 1 6" xfId="4910"/>
    <cellStyle name="样式 1_逆回购" xfId="4911"/>
    <cellStyle name="注释 2" xfId="4912"/>
    <cellStyle name="注释 2 2" xfId="4913"/>
    <cellStyle name="注释 2 2 2" xfId="4914"/>
    <cellStyle name="注释 2 2 2 2" xfId="4915"/>
    <cellStyle name="注释 2 2 2 2 2" xfId="4916"/>
    <cellStyle name="注释 2 2 3" xfId="4917"/>
    <cellStyle name="注释 2 2 3 2" xfId="4918"/>
    <cellStyle name="注释 2 3" xfId="4919"/>
    <cellStyle name="注释 2 3 2" xfId="4920"/>
    <cellStyle name="注释 2 3 2 2" xfId="4921"/>
    <cellStyle name="注释 2 4" xfId="4922"/>
    <cellStyle name="注释 2 4 2" xfId="4923"/>
    <cellStyle name="注释 2 5" xfId="4924"/>
    <cellStyle name="注释 2 6" xfId="4925"/>
    <cellStyle name="注释 3" xfId="4926"/>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9525</xdr:colOff>
      <xdr:row>2</xdr:row>
      <xdr:rowOff>95250</xdr:rowOff>
    </xdr:from>
    <xdr:to>
      <xdr:col>2</xdr:col>
      <xdr:colOff>9525</xdr:colOff>
      <xdr:row>12</xdr:row>
      <xdr:rowOff>208500</xdr:rowOff>
    </xdr:to>
    <xdr:cxnSp macro="">
      <xdr:nvCxnSpPr>
        <xdr:cNvPr id="2" name="直接箭头连接符 1">
          <a:extLst>
            <a:ext uri="{FF2B5EF4-FFF2-40B4-BE49-F238E27FC236}">
              <a16:creationId xmlns:a16="http://schemas.microsoft.com/office/drawing/2014/main" id="{00000000-0008-0000-0000-000002000000}"/>
            </a:ext>
          </a:extLst>
        </xdr:cNvPr>
        <xdr:cNvCxnSpPr/>
      </xdr:nvCxnSpPr>
      <xdr:spPr>
        <a:xfrm rot="5400000" flipH="1" flipV="1">
          <a:off x="276750" y="1685400"/>
          <a:ext cx="23040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5100</xdr:colOff>
      <xdr:row>13</xdr:row>
      <xdr:rowOff>3675</xdr:rowOff>
    </xdr:from>
    <xdr:to>
      <xdr:col>7</xdr:col>
      <xdr:colOff>117975</xdr:colOff>
      <xdr:row>13</xdr:row>
      <xdr:rowOff>3675</xdr:rowOff>
    </xdr:to>
    <xdr:cxnSp macro="">
      <xdr:nvCxnSpPr>
        <xdr:cNvPr id="3" name="直接箭头连接符 2">
          <a:extLst>
            <a:ext uri="{FF2B5EF4-FFF2-40B4-BE49-F238E27FC236}">
              <a16:creationId xmlns:a16="http://schemas.microsoft.com/office/drawing/2014/main" id="{00000000-0008-0000-0000-000003000000}"/>
            </a:ext>
          </a:extLst>
        </xdr:cNvPr>
        <xdr:cNvCxnSpPr/>
      </xdr:nvCxnSpPr>
      <xdr:spPr>
        <a:xfrm rot="10800000" flipH="1" flipV="1">
          <a:off x="1424325" y="2851650"/>
          <a:ext cx="37800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6164;&#20135;&#36127;&#20538;&#31649;&#29702;/02_&#21518;&#26399;&#32500;&#25252;/&#19994;&#21153;&#25968;&#25454;&#34917;&#24405;/&#19994;&#21153;&#37096;&#38376;&#21488;&#36134;/2014&#24180;12&#26376;&#20195;&#23458;&#29702;&#36130;&#21488;&#36134;-/12&#26376;&#20195;&#23458;&#29702;&#36130;&#21488;&#36134;-/&#20195;&#23458;&#29702;&#36130;&#20132;&#26131;&#35201;&#32032;&#34920;/20131220&#26032;&#29256;&#20195;&#23458;&#29702;&#36130;&#20132;&#26131;&#35201;&#32032;&#34920;-&#38463;&#2749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9977;&#22240;&#32032;&#20998;&#26512;&#34920;-2015.09&#27604;2014.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ckup/Desktop/&#24635;&#24080;&#31185;&#30446;&#26597;&#35810;-2016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同业理财发行"/>
      <sheetName val="理财投资-债券资产"/>
      <sheetName val="理财投资-存放同业资产"/>
      <sheetName val="理财投资-非标资产"/>
      <sheetName val="理财投资-其他金融资产"/>
      <sheetName val="划款指令"/>
      <sheetName val="附1-行业填报分类"/>
      <sheetName val="附2-地区填报"/>
      <sheetName val="附3-资产负债类别"/>
      <sheetName val="Sheet2"/>
    </sheetNames>
    <sheetDataSet>
      <sheetData sheetId="0" refreshError="1"/>
      <sheetData sheetId="1" refreshError="1"/>
      <sheetData sheetId="2" refreshError="1"/>
      <sheetData sheetId="3" refreshError="1"/>
      <sheetData sheetId="4" refreshError="1"/>
      <sheetData sheetId="5" refreshError="1"/>
      <sheetData sheetId="6">
        <row r="3">
          <cell r="B3" t="str">
            <v>农、林、牧、渔业</v>
          </cell>
          <cell r="C3" t="str">
            <v>采矿业</v>
          </cell>
          <cell r="D3" t="str">
            <v>制造业</v>
          </cell>
          <cell r="E3" t="str">
            <v>电力、热力、燃气及水生产和供应业</v>
          </cell>
          <cell r="F3" t="str">
            <v>建筑业</v>
          </cell>
          <cell r="G3" t="str">
            <v>批发和零售业</v>
          </cell>
          <cell r="H3" t="str">
            <v>交通运输、仓储和邮政业</v>
          </cell>
          <cell r="I3" t="str">
            <v>住宿和餐饮业</v>
          </cell>
          <cell r="J3" t="str">
            <v>信息传输、软件和信息技术服务业</v>
          </cell>
          <cell r="K3" t="str">
            <v>金融业</v>
          </cell>
          <cell r="L3" t="str">
            <v>房地产</v>
          </cell>
          <cell r="M3" t="str">
            <v xml:space="preserve">租赁和商务服务业 </v>
          </cell>
          <cell r="N3" t="str">
            <v xml:space="preserve">科学研究和技术服务业 </v>
          </cell>
          <cell r="O3" t="str">
            <v>水利、环境和公共设施管理业</v>
          </cell>
          <cell r="P3" t="str">
            <v>居民服务、修理和其他服务业</v>
          </cell>
          <cell r="Q3" t="str">
            <v>教育</v>
          </cell>
          <cell r="R3" t="str">
            <v>卫生和社会工作</v>
          </cell>
          <cell r="S3" t="str">
            <v>文化、体育和娱乐业</v>
          </cell>
          <cell r="T3" t="str">
            <v>公共管理、社会保障和社会组织</v>
          </cell>
          <cell r="U3" t="str">
            <v>国际组织</v>
          </cell>
          <cell r="V3" t="str">
            <v>多行业</v>
          </cell>
        </row>
      </sheetData>
      <sheetData sheetId="7" refreshError="1"/>
      <sheetData sheetId="8">
        <row r="2">
          <cell r="B2" t="str">
            <v>1002 本行存款</v>
          </cell>
        </row>
        <row r="3">
          <cell r="B3" t="str">
            <v xml:space="preserve">1003 他行存款  </v>
          </cell>
        </row>
        <row r="4">
          <cell r="B4" t="str">
            <v xml:space="preserve">1101 国债  </v>
          </cell>
        </row>
        <row r="5">
          <cell r="B5" t="str">
            <v xml:space="preserve">1102 政策性金融债   </v>
          </cell>
        </row>
        <row r="6">
          <cell r="B6" t="str">
            <v xml:space="preserve">1103 AA+（含）以上信用债券   </v>
          </cell>
        </row>
        <row r="7">
          <cell r="B7" t="str">
            <v xml:space="preserve">1104 AA+以下信用债券     </v>
          </cell>
        </row>
        <row r="8">
          <cell r="B8" t="str">
            <v xml:space="preserve">1105 私募债     </v>
          </cell>
        </row>
        <row r="9">
          <cell r="B9" t="str">
            <v xml:space="preserve">1106 基金及类基金   </v>
          </cell>
        </row>
        <row r="10">
          <cell r="B10" t="str">
            <v xml:space="preserve">1107 拆出  </v>
          </cell>
        </row>
        <row r="11">
          <cell r="B11" t="str">
            <v xml:space="preserve">1108 逆回购 </v>
          </cell>
        </row>
        <row r="12">
          <cell r="B12" t="str">
            <v xml:space="preserve">1109 央票  </v>
          </cell>
        </row>
        <row r="13">
          <cell r="B13" t="str">
            <v>2101 理财直接融资工具</v>
          </cell>
        </row>
        <row r="14">
          <cell r="B14" t="str">
            <v xml:space="preserve">1201 票据类   </v>
          </cell>
        </row>
        <row r="15">
          <cell r="B15" t="str">
            <v xml:space="preserve">1202 信托贷款  </v>
          </cell>
        </row>
        <row r="16">
          <cell r="B16" t="str">
            <v>1203 委托贷款</v>
          </cell>
        </row>
        <row r="17">
          <cell r="B17" t="str">
            <v>1204 信贷资产转让</v>
          </cell>
        </row>
        <row r="18">
          <cell r="B18" t="str">
            <v>1205 收/受益权</v>
          </cell>
        </row>
        <row r="19">
          <cell r="B19" t="str">
            <v xml:space="preserve">1206 交易所委托债权 </v>
          </cell>
        </row>
        <row r="20">
          <cell r="B20" t="str">
            <v xml:space="preserve">1207 应收账款    </v>
          </cell>
        </row>
        <row r="21">
          <cell r="B21" t="str">
            <v xml:space="preserve">1208 带回购条款的股权性融资 </v>
          </cell>
        </row>
        <row r="22">
          <cell r="B22" t="str">
            <v xml:space="preserve">1301 股权类投资  </v>
          </cell>
        </row>
        <row r="23">
          <cell r="B23" t="str">
            <v xml:space="preserve">1302 二级市场股票   </v>
          </cell>
        </row>
        <row r="24">
          <cell r="B24" t="str">
            <v>1303 基金</v>
          </cell>
        </row>
        <row r="25">
          <cell r="B25" t="str">
            <v xml:space="preserve">1304 PE投资       </v>
          </cell>
        </row>
        <row r="26">
          <cell r="B26" t="str">
            <v xml:space="preserve">1401 远期    </v>
          </cell>
        </row>
        <row r="27">
          <cell r="B27" t="str">
            <v xml:space="preserve">1402 互换 </v>
          </cell>
        </row>
        <row r="28">
          <cell r="B28" t="str">
            <v>1403 期货</v>
          </cell>
        </row>
        <row r="29">
          <cell r="B29" t="str">
            <v xml:space="preserve">1404 期权 </v>
          </cell>
        </row>
        <row r="30">
          <cell r="B30" t="str">
            <v xml:space="preserve">1405 债券借贷 </v>
          </cell>
        </row>
        <row r="31">
          <cell r="B31" t="str">
            <v>1406 权证</v>
          </cell>
        </row>
        <row r="32">
          <cell r="B32" t="str">
            <v>1501 QDII债券及货币市场</v>
          </cell>
        </row>
        <row r="33">
          <cell r="B33" t="str">
            <v>1502 QDII股票</v>
          </cell>
        </row>
        <row r="34">
          <cell r="B34" t="str">
            <v>1503 QDII结构性票据</v>
          </cell>
        </row>
        <row r="35">
          <cell r="B35" t="str">
            <v>1504 QDII拆出/逆回购资产</v>
          </cell>
        </row>
        <row r="36">
          <cell r="B36" t="str">
            <v>1505 QDII股票型基金</v>
          </cell>
        </row>
        <row r="37">
          <cell r="B37" t="str">
            <v>1601 贵金属类</v>
          </cell>
        </row>
        <row r="38">
          <cell r="B38" t="str">
            <v>1602 大宗商品类</v>
          </cell>
        </row>
        <row r="39">
          <cell r="B39" t="str">
            <v>1603 另类</v>
          </cell>
        </row>
        <row r="40">
          <cell r="B40" t="str">
            <v>1701 信托计划</v>
          </cell>
        </row>
        <row r="41">
          <cell r="B41" t="str">
            <v>1702 保险资产管理计划</v>
          </cell>
        </row>
        <row r="42">
          <cell r="B42" t="str">
            <v>1703 券商资产管理计划</v>
          </cell>
        </row>
        <row r="43">
          <cell r="B43" t="str">
            <v>1704 基金资产管理计划</v>
          </cell>
        </row>
        <row r="44">
          <cell r="B44" t="str">
            <v>1705 其他资产管理计划</v>
          </cell>
        </row>
        <row r="45">
          <cell r="B45" t="str">
            <v>1901 拆入</v>
          </cell>
        </row>
        <row r="46">
          <cell r="B46" t="str">
            <v>1902 正回购</v>
          </cell>
        </row>
        <row r="47">
          <cell r="B47" t="str">
            <v>1800 其他（资产）</v>
          </cell>
        </row>
        <row r="48">
          <cell r="B48" t="str">
            <v>2000 其他（负债）</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解"/>
      <sheetName val="汇总"/>
      <sheetName val="原表"/>
      <sheetName val="调整表"/>
      <sheetName val="口径"/>
      <sheetName val="2014.12.31"/>
      <sheetName val="利息收支变动"/>
      <sheetName val="等比增长"/>
      <sheetName val="结构调整"/>
      <sheetName val="利率变动"/>
      <sheetName val="收支变动汇总"/>
      <sheetName val="重要业务"/>
      <sheetName val="2015.09.30"/>
      <sheetName val="2015.9.30ftp"/>
      <sheetName val="保证金存款"/>
      <sheetName val="日计表"/>
      <sheetName val="日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10">
          <cell r="J310">
            <v>3348351.6483519999</v>
          </cell>
          <cell r="L310">
            <v>1592979.16</v>
          </cell>
        </row>
        <row r="311">
          <cell r="J311">
            <v>321379758.18472397</v>
          </cell>
          <cell r="L311">
            <v>6715228.9500000002</v>
          </cell>
        </row>
        <row r="314">
          <cell r="J314">
            <v>128375648340.26137</v>
          </cell>
          <cell r="L314">
            <v>6285662193.8479929</v>
          </cell>
        </row>
        <row r="315">
          <cell r="J315">
            <v>30167547776.759644</v>
          </cell>
          <cell r="L315">
            <v>1355120137.1400001</v>
          </cell>
        </row>
        <row r="316">
          <cell r="J316">
            <v>21662969263.544495</v>
          </cell>
          <cell r="L316">
            <v>1559119789.9299989</v>
          </cell>
        </row>
      </sheetData>
      <sheetData sheetId="14">
        <row r="2">
          <cell r="D2">
            <v>30000516.499999993</v>
          </cell>
        </row>
        <row r="3">
          <cell r="D3">
            <v>228098431.56</v>
          </cell>
        </row>
        <row r="4">
          <cell r="D4">
            <v>76349.760000000009</v>
          </cell>
        </row>
        <row r="5">
          <cell r="D5">
            <v>3640097.0399999996</v>
          </cell>
        </row>
      </sheetData>
      <sheetData sheetId="15">
        <row r="1111">
          <cell r="H1111">
            <v>222545785</v>
          </cell>
        </row>
        <row r="1112">
          <cell r="H1112">
            <v>365126611.93000001</v>
          </cell>
        </row>
        <row r="1113">
          <cell r="H1113">
            <v>1353521826.77</v>
          </cell>
        </row>
        <row r="1114">
          <cell r="H1114">
            <v>1337646608.02</v>
          </cell>
        </row>
      </sheetData>
      <sheetData sheetId="16">
        <row r="5">
          <cell r="F5">
            <v>2704394858.9620132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总帐科目查询_1"/>
    </sheetNames>
    <sheetDataSet>
      <sheetData sheetId="0">
        <row r="4">
          <cell r="E4">
            <v>2008</v>
          </cell>
          <cell r="F4">
            <v>5646321013000</v>
          </cell>
        </row>
        <row r="5">
          <cell r="E5">
            <v>200801</v>
          </cell>
          <cell r="F5">
            <v>824900000</v>
          </cell>
        </row>
        <row r="6">
          <cell r="E6">
            <v>20080101</v>
          </cell>
          <cell r="F6">
            <v>824900000</v>
          </cell>
        </row>
        <row r="7">
          <cell r="E7">
            <v>200802</v>
          </cell>
          <cell r="F7">
            <v>3546281400000</v>
          </cell>
        </row>
        <row r="8">
          <cell r="E8">
            <v>20080201</v>
          </cell>
          <cell r="F8">
            <v>3453533900000</v>
          </cell>
        </row>
        <row r="9">
          <cell r="E9">
            <v>20080203</v>
          </cell>
          <cell r="F9">
            <v>92747500000</v>
          </cell>
        </row>
        <row r="10">
          <cell r="E10">
            <v>200803</v>
          </cell>
          <cell r="F10">
            <v>413380000</v>
          </cell>
        </row>
        <row r="11">
          <cell r="E11">
            <v>20080301</v>
          </cell>
          <cell r="F11">
            <v>413380000</v>
          </cell>
        </row>
        <row r="12">
          <cell r="E12">
            <v>200804</v>
          </cell>
          <cell r="F12">
            <v>2098801333000</v>
          </cell>
        </row>
        <row r="13">
          <cell r="E13">
            <v>20080401</v>
          </cell>
          <cell r="F13">
            <v>2098801333000</v>
          </cell>
        </row>
        <row r="14">
          <cell r="E14">
            <v>201401</v>
          </cell>
          <cell r="F14">
            <v>596840575281.87</v>
          </cell>
        </row>
        <row r="15">
          <cell r="E15">
            <v>20140101</v>
          </cell>
          <cell r="F15">
            <v>77289490651.680023</v>
          </cell>
        </row>
        <row r="16">
          <cell r="E16">
            <v>20140103</v>
          </cell>
          <cell r="F16">
            <v>64052402582.980057</v>
          </cell>
        </row>
        <row r="17">
          <cell r="E17">
            <v>20140105</v>
          </cell>
          <cell r="F17">
            <v>303553684237.05005</v>
          </cell>
        </row>
        <row r="18">
          <cell r="E18">
            <v>20140107</v>
          </cell>
          <cell r="F18">
            <v>151744997810.16031</v>
          </cell>
        </row>
        <row r="19">
          <cell r="E19">
            <v>20140117</v>
          </cell>
          <cell r="F19">
            <v>200000000</v>
          </cell>
        </row>
        <row r="20">
          <cell r="E20">
            <v>201402</v>
          </cell>
          <cell r="F20">
            <v>1406467939312.1006</v>
          </cell>
        </row>
        <row r="21">
          <cell r="E21">
            <v>20140201</v>
          </cell>
          <cell r="F21">
            <v>182167718932.01993</v>
          </cell>
        </row>
        <row r="22">
          <cell r="E22">
            <v>20140203</v>
          </cell>
          <cell r="F22">
            <v>8253812872.8600006</v>
          </cell>
        </row>
        <row r="23">
          <cell r="E23">
            <v>20140205</v>
          </cell>
          <cell r="F23">
            <v>111251498363.52998</v>
          </cell>
        </row>
        <row r="24">
          <cell r="E24">
            <v>20140207</v>
          </cell>
          <cell r="F24">
            <v>1011407600966.6102</v>
          </cell>
        </row>
        <row r="25">
          <cell r="E25">
            <v>20140209</v>
          </cell>
          <cell r="F25">
            <v>4790000760.2400064</v>
          </cell>
        </row>
        <row r="26">
          <cell r="E26">
            <v>20140211</v>
          </cell>
          <cell r="F26">
            <v>2015053460.0700083</v>
          </cell>
        </row>
        <row r="27">
          <cell r="E27">
            <v>20140213</v>
          </cell>
          <cell r="F27">
            <v>13950654903.119995</v>
          </cell>
        </row>
        <row r="28">
          <cell r="E28">
            <v>20140215</v>
          </cell>
          <cell r="F28">
            <v>26000519053.649944</v>
          </cell>
        </row>
        <row r="29">
          <cell r="E29">
            <v>20140217</v>
          </cell>
          <cell r="F29">
            <v>46631080000</v>
          </cell>
        </row>
        <row r="30">
          <cell r="E30">
            <v>201403</v>
          </cell>
          <cell r="F30">
            <v>33577522752.330025</v>
          </cell>
        </row>
        <row r="31">
          <cell r="E31">
            <v>20140301</v>
          </cell>
          <cell r="F31">
            <v>6926473305.0500069</v>
          </cell>
        </row>
        <row r="32">
          <cell r="E32">
            <v>20140303</v>
          </cell>
          <cell r="F32">
            <v>1840554155.3200002</v>
          </cell>
        </row>
        <row r="33">
          <cell r="E33">
            <v>20140305</v>
          </cell>
          <cell r="F33">
            <v>4187248817.5499978</v>
          </cell>
        </row>
        <row r="34">
          <cell r="E34">
            <v>20140307</v>
          </cell>
          <cell r="F34">
            <v>19995646453.449978</v>
          </cell>
        </row>
        <row r="35">
          <cell r="E35">
            <v>20140317</v>
          </cell>
          <cell r="F35">
            <v>627600020.95999885</v>
          </cell>
        </row>
        <row r="36">
          <cell r="E36">
            <v>201404</v>
          </cell>
          <cell r="F36">
            <v>16758387899.61998</v>
          </cell>
        </row>
        <row r="37">
          <cell r="E37">
            <v>20140401</v>
          </cell>
          <cell r="F37">
            <v>12019662913.619978</v>
          </cell>
        </row>
        <row r="38">
          <cell r="E38">
            <v>20140403</v>
          </cell>
          <cell r="F38">
            <v>1703601944</v>
          </cell>
        </row>
        <row r="39">
          <cell r="E39">
            <v>20140405</v>
          </cell>
          <cell r="F39">
            <v>2143523042</v>
          </cell>
        </row>
        <row r="40">
          <cell r="E40">
            <v>20140407</v>
          </cell>
          <cell r="F40">
            <v>891600000</v>
          </cell>
        </row>
        <row r="41">
          <cell r="E41">
            <v>201405</v>
          </cell>
          <cell r="F41">
            <v>3717903221.7800083</v>
          </cell>
        </row>
        <row r="42">
          <cell r="E42">
            <v>20140501</v>
          </cell>
          <cell r="F42">
            <v>1703569944.0400031</v>
          </cell>
        </row>
        <row r="43">
          <cell r="E43">
            <v>20140509</v>
          </cell>
          <cell r="F43">
            <v>139277.73999999958</v>
          </cell>
        </row>
        <row r="44">
          <cell r="E44">
            <v>20140513</v>
          </cell>
          <cell r="F44">
            <v>2014194000</v>
          </cell>
        </row>
        <row r="45">
          <cell r="E45">
            <v>201406</v>
          </cell>
          <cell r="F45">
            <v>897660.0600000011</v>
          </cell>
        </row>
        <row r="46">
          <cell r="E46">
            <v>20140601</v>
          </cell>
          <cell r="F46">
            <v>897660.0600000011</v>
          </cell>
        </row>
        <row r="47">
          <cell r="E47">
            <v>201407</v>
          </cell>
          <cell r="F47">
            <v>215904.54000000021</v>
          </cell>
        </row>
        <row r="48">
          <cell r="E48">
            <v>20140701</v>
          </cell>
          <cell r="F48">
            <v>215904.54000000021</v>
          </cell>
        </row>
        <row r="49">
          <cell r="E49">
            <v>201499</v>
          </cell>
          <cell r="F49">
            <v>267550311939.31995</v>
          </cell>
        </row>
        <row r="50">
          <cell r="E50">
            <v>20149901</v>
          </cell>
          <cell r="F50">
            <v>79853187218.850037</v>
          </cell>
        </row>
        <row r="51">
          <cell r="E51">
            <v>20149903</v>
          </cell>
          <cell r="F51">
            <v>5901874754.5200081</v>
          </cell>
        </row>
        <row r="52">
          <cell r="E52">
            <v>20149905</v>
          </cell>
          <cell r="F52">
            <v>9534038763.3399677</v>
          </cell>
        </row>
        <row r="53">
          <cell r="E53">
            <v>20149907</v>
          </cell>
          <cell r="F53">
            <v>157868761796.43985</v>
          </cell>
        </row>
        <row r="54">
          <cell r="E54">
            <v>20149909</v>
          </cell>
          <cell r="F54">
            <v>1858546192.9700015</v>
          </cell>
        </row>
        <row r="55">
          <cell r="E55">
            <v>20149911</v>
          </cell>
          <cell r="F55">
            <v>74357507.9799992</v>
          </cell>
        </row>
        <row r="56">
          <cell r="E56">
            <v>20149913</v>
          </cell>
          <cell r="F56">
            <v>1962243041.9100001</v>
          </cell>
        </row>
        <row r="57">
          <cell r="E57">
            <v>20149915</v>
          </cell>
          <cell r="F57">
            <v>4963302663.3099995</v>
          </cell>
        </row>
        <row r="58">
          <cell r="E58">
            <v>20149917</v>
          </cell>
          <cell r="F58">
            <v>5534000000</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22"/>
  <sheetViews>
    <sheetView workbookViewId="0">
      <selection activeCell="L4" sqref="L4"/>
    </sheetView>
  </sheetViews>
  <sheetFormatPr defaultColWidth="9" defaultRowHeight="17.25"/>
  <cols>
    <col min="1" max="1" width="9" style="81"/>
    <col min="2" max="7" width="9.625" style="62" customWidth="1"/>
    <col min="8" max="8" width="9" style="63"/>
    <col min="9" max="9" width="9.625" style="63" customWidth="1"/>
    <col min="10" max="12" width="9.625" style="68" customWidth="1"/>
    <col min="13" max="13" width="9" style="68"/>
    <col min="14" max="15" width="9" style="60"/>
    <col min="16" max="16" width="9" style="65"/>
    <col min="17" max="16384" width="9" style="59"/>
  </cols>
  <sheetData>
    <row r="1" spans="2:16" ht="17.25" customHeight="1">
      <c r="C1" s="825" t="s">
        <v>49</v>
      </c>
      <c r="D1" s="825"/>
      <c r="E1" s="825"/>
      <c r="F1" s="825"/>
      <c r="G1" s="825"/>
      <c r="I1" s="826" t="s">
        <v>50</v>
      </c>
      <c r="J1" s="826"/>
      <c r="K1" s="826"/>
      <c r="L1" s="826"/>
      <c r="M1" s="64"/>
    </row>
    <row r="2" spans="2:16" ht="17.25" customHeight="1">
      <c r="C2" s="825"/>
      <c r="D2" s="825"/>
      <c r="E2" s="825"/>
      <c r="F2" s="825"/>
      <c r="G2" s="825"/>
      <c r="I2" s="826"/>
      <c r="J2" s="826"/>
      <c r="K2" s="826"/>
      <c r="L2" s="826"/>
      <c r="M2" s="64"/>
    </row>
    <row r="3" spans="2:16">
      <c r="I3" s="66"/>
      <c r="J3" s="67">
        <v>2013</v>
      </c>
      <c r="K3" s="67">
        <v>2014</v>
      </c>
      <c r="L3" s="67" t="s">
        <v>18</v>
      </c>
    </row>
    <row r="4" spans="2:16" ht="17.25" customHeight="1">
      <c r="B4" s="827" t="s">
        <v>51</v>
      </c>
      <c r="C4" s="828" t="s">
        <v>52</v>
      </c>
      <c r="D4" s="829"/>
      <c r="E4" s="830"/>
      <c r="F4" s="834" t="s">
        <v>53</v>
      </c>
      <c r="G4" s="834" t="s">
        <v>54</v>
      </c>
      <c r="I4" s="66" t="s">
        <v>55</v>
      </c>
      <c r="J4" s="69">
        <v>100</v>
      </c>
      <c r="K4" s="69">
        <v>120</v>
      </c>
      <c r="L4" s="70">
        <f>K4/J4-1</f>
        <v>0.19999999999999996</v>
      </c>
    </row>
    <row r="5" spans="2:16" ht="17.25" customHeight="1">
      <c r="B5" s="827"/>
      <c r="C5" s="831"/>
      <c r="D5" s="832"/>
      <c r="E5" s="833"/>
      <c r="F5" s="835"/>
      <c r="G5" s="835"/>
      <c r="I5" s="66" t="s">
        <v>56</v>
      </c>
      <c r="J5" s="69">
        <v>10</v>
      </c>
      <c r="K5" s="69">
        <v>15</v>
      </c>
      <c r="L5" s="70">
        <f>K5/J5-1</f>
        <v>0.5</v>
      </c>
    </row>
    <row r="6" spans="2:16" ht="17.25" customHeight="1">
      <c r="B6" s="827" t="s">
        <v>57</v>
      </c>
      <c r="C6" s="828" t="s">
        <v>58</v>
      </c>
      <c r="D6" s="829"/>
      <c r="E6" s="830"/>
      <c r="F6" s="834" t="s">
        <v>59</v>
      </c>
      <c r="G6" s="834" t="s">
        <v>60</v>
      </c>
      <c r="I6" s="66"/>
      <c r="J6" s="69"/>
      <c r="K6" s="69"/>
      <c r="L6" s="69"/>
    </row>
    <row r="7" spans="2:16" ht="17.25" customHeight="1">
      <c r="B7" s="827"/>
      <c r="C7" s="831"/>
      <c r="D7" s="832"/>
      <c r="E7" s="833"/>
      <c r="F7" s="835"/>
      <c r="G7" s="835"/>
      <c r="I7" s="71" t="s">
        <v>61</v>
      </c>
      <c r="J7" s="69">
        <v>40</v>
      </c>
      <c r="K7" s="69">
        <v>60</v>
      </c>
      <c r="L7" s="70">
        <f>K7/J7-1</f>
        <v>0.5</v>
      </c>
    </row>
    <row r="8" spans="2:16" ht="17.25" customHeight="1">
      <c r="B8" s="827" t="s">
        <v>62</v>
      </c>
      <c r="C8" s="837" t="s">
        <v>63</v>
      </c>
      <c r="D8" s="838"/>
      <c r="E8" s="839"/>
      <c r="F8" s="843" t="s">
        <v>64</v>
      </c>
      <c r="G8" s="843" t="s">
        <v>65</v>
      </c>
      <c r="I8" s="66" t="s">
        <v>56</v>
      </c>
      <c r="J8" s="72">
        <v>6</v>
      </c>
      <c r="K8" s="72">
        <v>12</v>
      </c>
      <c r="L8" s="70">
        <f t="shared" ref="L8" si="0">K8/J8-1</f>
        <v>1</v>
      </c>
    </row>
    <row r="9" spans="2:16">
      <c r="B9" s="827"/>
      <c r="C9" s="840"/>
      <c r="D9" s="841"/>
      <c r="E9" s="842"/>
      <c r="F9" s="843"/>
      <c r="G9" s="843"/>
      <c r="I9" s="66" t="s">
        <v>66</v>
      </c>
      <c r="J9" s="70">
        <f>J8/J7</f>
        <v>0.15</v>
      </c>
      <c r="K9" s="70">
        <f>K8/K7</f>
        <v>0.2</v>
      </c>
      <c r="L9" s="70"/>
    </row>
    <row r="10" spans="2:16" ht="17.25" customHeight="1">
      <c r="B10" s="827" t="s">
        <v>67</v>
      </c>
      <c r="C10" s="837" t="s">
        <v>68</v>
      </c>
      <c r="D10" s="838"/>
      <c r="E10" s="839"/>
      <c r="F10" s="843"/>
      <c r="G10" s="843"/>
      <c r="I10" s="66"/>
      <c r="J10" s="69"/>
      <c r="K10" s="69"/>
      <c r="L10" s="73"/>
      <c r="M10" s="74"/>
      <c r="N10" s="65"/>
      <c r="O10" s="65"/>
    </row>
    <row r="11" spans="2:16">
      <c r="B11" s="827"/>
      <c r="C11" s="844"/>
      <c r="D11" s="845"/>
      <c r="E11" s="846"/>
      <c r="F11" s="843"/>
      <c r="G11" s="843"/>
      <c r="I11" s="66"/>
      <c r="J11" s="69" t="s">
        <v>69</v>
      </c>
      <c r="K11" s="73" t="s">
        <v>70</v>
      </c>
      <c r="L11" s="73" t="s">
        <v>71</v>
      </c>
      <c r="M11" s="60"/>
      <c r="O11" s="65"/>
      <c r="P11" s="59"/>
    </row>
    <row r="12" spans="2:16">
      <c r="B12" s="827"/>
      <c r="C12" s="844"/>
      <c r="D12" s="845"/>
      <c r="E12" s="846"/>
      <c r="F12" s="843"/>
      <c r="G12" s="843"/>
      <c r="I12" s="75" t="s">
        <v>72</v>
      </c>
      <c r="J12" s="76">
        <f>J7*L4</f>
        <v>7.9999999999999982</v>
      </c>
      <c r="K12" s="76">
        <f>J12*J9</f>
        <v>1.1999999999999997</v>
      </c>
      <c r="L12" s="70">
        <f>K12/(K$8-J$8)</f>
        <v>0.19999999999999996</v>
      </c>
      <c r="M12" s="60"/>
      <c r="O12" s="65"/>
      <c r="P12" s="59"/>
    </row>
    <row r="13" spans="2:16">
      <c r="B13" s="827"/>
      <c r="C13" s="840"/>
      <c r="D13" s="841"/>
      <c r="E13" s="842"/>
      <c r="F13" s="843"/>
      <c r="G13" s="843"/>
      <c r="I13" s="75" t="s">
        <v>20</v>
      </c>
      <c r="J13" s="76">
        <f>K7-J7-J12</f>
        <v>12.000000000000002</v>
      </c>
      <c r="K13" s="76">
        <f>J13*J9</f>
        <v>1.8000000000000003</v>
      </c>
      <c r="L13" s="70">
        <f>K13/(K$8-J$8)</f>
        <v>0.30000000000000004</v>
      </c>
      <c r="M13" s="60"/>
      <c r="O13" s="65"/>
      <c r="P13" s="59"/>
    </row>
    <row r="14" spans="2:16">
      <c r="C14" s="836" t="s">
        <v>73</v>
      </c>
      <c r="D14" s="836"/>
      <c r="E14" s="836"/>
      <c r="F14" s="62" t="s">
        <v>72</v>
      </c>
      <c r="G14" s="62" t="s">
        <v>20</v>
      </c>
      <c r="I14" s="75" t="s">
        <v>22</v>
      </c>
      <c r="J14" s="77">
        <f>K9-J9</f>
        <v>5.0000000000000017E-2</v>
      </c>
      <c r="K14" s="78">
        <f>J14*K7</f>
        <v>3.0000000000000009</v>
      </c>
      <c r="L14" s="70">
        <f>K14/(K$8-J$8)</f>
        <v>0.50000000000000011</v>
      </c>
      <c r="M14" s="60"/>
      <c r="O14" s="65"/>
      <c r="P14" s="59"/>
    </row>
    <row r="15" spans="2:16">
      <c r="I15" s="75" t="s">
        <v>74</v>
      </c>
      <c r="J15" s="76"/>
      <c r="K15" s="76">
        <f>SUM(K12:K14)</f>
        <v>6.0000000000000009</v>
      </c>
      <c r="L15" s="70">
        <f>K15/(K$8-J$8)</f>
        <v>1.0000000000000002</v>
      </c>
      <c r="M15" s="60"/>
      <c r="O15" s="65"/>
      <c r="P15" s="59"/>
    </row>
    <row r="16" spans="2:16">
      <c r="I16" s="79"/>
      <c r="J16" s="80"/>
      <c r="K16" s="80"/>
      <c r="L16" s="80"/>
      <c r="M16" s="60"/>
      <c r="O16" s="65"/>
      <c r="P16" s="59"/>
    </row>
    <row r="17" spans="2:12">
      <c r="I17" s="79"/>
      <c r="J17" s="80"/>
      <c r="K17" s="80"/>
      <c r="L17" s="80"/>
    </row>
    <row r="18" spans="2:12">
      <c r="I18" s="79"/>
      <c r="J18" s="80"/>
      <c r="K18" s="80"/>
      <c r="L18" s="80"/>
    </row>
    <row r="19" spans="2:12">
      <c r="I19" s="79"/>
      <c r="J19" s="80"/>
      <c r="K19" s="80"/>
      <c r="L19" s="80"/>
    </row>
    <row r="22" spans="2:12" ht="34.5">
      <c r="B22" s="62" t="s">
        <v>75</v>
      </c>
      <c r="D22" s="62" t="s">
        <v>76</v>
      </c>
    </row>
  </sheetData>
  <mergeCells count="17">
    <mergeCell ref="C14:E14"/>
    <mergeCell ref="B6:B7"/>
    <mergeCell ref="C6:E7"/>
    <mergeCell ref="F6:F7"/>
    <mergeCell ref="G6:G7"/>
    <mergeCell ref="B8:B9"/>
    <mergeCell ref="C8:E9"/>
    <mergeCell ref="F8:F13"/>
    <mergeCell ref="G8:G13"/>
    <mergeCell ref="B10:B13"/>
    <mergeCell ref="C10:E13"/>
    <mergeCell ref="C1:G2"/>
    <mergeCell ref="I1:L2"/>
    <mergeCell ref="B4:B5"/>
    <mergeCell ref="C4:E5"/>
    <mergeCell ref="F4:F5"/>
    <mergeCell ref="G4:G5"/>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I14" sqref="I14"/>
    </sheetView>
  </sheetViews>
  <sheetFormatPr defaultColWidth="9" defaultRowHeight="17.25"/>
  <cols>
    <col min="1" max="1" width="30.875" style="210" bestFit="1" customWidth="1"/>
    <col min="2" max="2" width="11.625" style="210" bestFit="1" customWidth="1"/>
    <col min="3" max="3" width="9.5" style="210" bestFit="1" customWidth="1"/>
    <col min="4" max="4" width="9.125" style="210" bestFit="1" customWidth="1"/>
    <col min="5" max="5" width="11.625" style="210" bestFit="1" customWidth="1"/>
    <col min="6" max="6" width="9.5" style="210" bestFit="1" customWidth="1"/>
    <col min="7" max="7" width="9.125" style="210" bestFit="1" customWidth="1"/>
    <col min="8" max="8" width="9" style="210"/>
    <col min="9" max="9" width="11.875" style="210" customWidth="1"/>
    <col min="10" max="16384" width="9" style="210"/>
  </cols>
  <sheetData>
    <row r="1" spans="1:10">
      <c r="A1" s="154">
        <v>41640</v>
      </c>
      <c r="B1" s="154">
        <v>42004</v>
      </c>
      <c r="C1" s="124">
        <f>B1-A1+1</f>
        <v>365</v>
      </c>
    </row>
    <row r="2" spans="1:10">
      <c r="A2" s="905" t="s">
        <v>179</v>
      </c>
      <c r="B2" s="904">
        <v>41639</v>
      </c>
      <c r="C2" s="905"/>
      <c r="D2" s="905"/>
      <c r="E2" s="904">
        <v>42004</v>
      </c>
      <c r="F2" s="905"/>
      <c r="G2" s="905"/>
      <c r="H2" s="905" t="s">
        <v>194</v>
      </c>
      <c r="I2" s="905"/>
    </row>
    <row r="3" spans="1:10" ht="34.5">
      <c r="A3" s="905"/>
      <c r="B3" s="274" t="s">
        <v>180</v>
      </c>
      <c r="C3" s="275" t="s">
        <v>181</v>
      </c>
      <c r="D3" s="276" t="s">
        <v>182</v>
      </c>
      <c r="E3" s="274" t="s">
        <v>180</v>
      </c>
      <c r="F3" s="275" t="s">
        <v>181</v>
      </c>
      <c r="G3" s="276" t="s">
        <v>182</v>
      </c>
      <c r="H3" s="274" t="s">
        <v>180</v>
      </c>
      <c r="I3" s="275" t="s">
        <v>120</v>
      </c>
    </row>
    <row r="4" spans="1:10">
      <c r="A4" s="269" t="s">
        <v>183</v>
      </c>
      <c r="B4" s="270">
        <f>三因素分析!B4</f>
        <v>5413.1624358578647</v>
      </c>
      <c r="C4" s="270">
        <f>三因素分析!D4</f>
        <v>114.91593472880001</v>
      </c>
      <c r="D4" s="271">
        <f>三因素分析!G4</f>
        <v>4.2691252048216791E-2</v>
      </c>
      <c r="E4" s="270">
        <f>三因素分析!I4</f>
        <v>5993.6183767887069</v>
      </c>
      <c r="F4" s="270">
        <f>三因素分析!K4</f>
        <v>118.71727195060001</v>
      </c>
      <c r="G4" s="271">
        <f>三因素分析!O4</f>
        <v>3.9942855624353187E-2</v>
      </c>
      <c r="H4" s="272">
        <f>E4/B4-1</f>
        <v>0.10723046792126301</v>
      </c>
      <c r="I4" s="272">
        <f>F4*365/$C$1/C4-1</f>
        <v>3.3079287313557471E-2</v>
      </c>
    </row>
    <row r="5" spans="1:10">
      <c r="A5" s="273" t="s">
        <v>187</v>
      </c>
      <c r="B5" s="270">
        <f>三因素分析!B12</f>
        <v>2174.5914955227863</v>
      </c>
      <c r="C5" s="270">
        <f>三因素分析!D12</f>
        <v>59.762100101800002</v>
      </c>
      <c r="D5" s="271">
        <f>三因素分析!G12</f>
        <v>5.5265978380667199E-2</v>
      </c>
      <c r="E5" s="270">
        <f>三因素分析!I12</f>
        <v>2368.219616483143</v>
      </c>
      <c r="F5" s="270">
        <f>三因素分析!K12</f>
        <v>60.351951442400001</v>
      </c>
      <c r="G5" s="271">
        <f>三因素分析!O12</f>
        <v>5.1390593433634529E-2</v>
      </c>
      <c r="H5" s="272">
        <f t="shared" ref="H5:H14" si="0">E5/B5-1</f>
        <v>8.9041146973587004E-2</v>
      </c>
      <c r="I5" s="272">
        <f t="shared" ref="I5:I14" si="1">F5*365/$C$1/C5-1</f>
        <v>9.8699901709482507E-3</v>
      </c>
    </row>
    <row r="6" spans="1:10">
      <c r="A6" s="273" t="s">
        <v>185</v>
      </c>
      <c r="B6" s="270" t="e">
        <f>三因素分析!#REF!</f>
        <v>#REF!</v>
      </c>
      <c r="C6" s="270" t="e">
        <f>三因素分析!#REF!</f>
        <v>#REF!</v>
      </c>
      <c r="D6" s="271" t="e">
        <f>三因素分析!#REF!</f>
        <v>#REF!</v>
      </c>
      <c r="E6" s="270" t="e">
        <f>三因素分析!#REF!</f>
        <v>#REF!</v>
      </c>
      <c r="F6" s="270" t="e">
        <f>三因素分析!#REF!</f>
        <v>#REF!</v>
      </c>
      <c r="G6" s="271" t="e">
        <f>三因素分析!#REF!</f>
        <v>#REF!</v>
      </c>
      <c r="H6" s="272" t="e">
        <f t="shared" si="0"/>
        <v>#REF!</v>
      </c>
      <c r="I6" s="272" t="e">
        <f t="shared" si="1"/>
        <v>#REF!</v>
      </c>
    </row>
    <row r="7" spans="1:10">
      <c r="A7" s="273" t="s">
        <v>186</v>
      </c>
      <c r="B7" s="270">
        <f>三因素分析!B10</f>
        <v>914.76715803359752</v>
      </c>
      <c r="C7" s="270">
        <f>三因素分析!D10</f>
        <v>16.378491565699999</v>
      </c>
      <c r="D7" s="271">
        <f>三因素分析!G10</f>
        <v>3.600584724313987E-2</v>
      </c>
      <c r="E7" s="270">
        <f>三因素分析!I10</f>
        <v>1086.5358718850757</v>
      </c>
      <c r="F7" s="270">
        <f>三因素分析!K10</f>
        <v>18.232511329600001</v>
      </c>
      <c r="G7" s="271">
        <f>三因素分析!O10</f>
        <v>3.3838937057633592E-2</v>
      </c>
      <c r="H7" s="272">
        <f t="shared" si="0"/>
        <v>0.18777315335709677</v>
      </c>
      <c r="I7" s="272">
        <f t="shared" si="1"/>
        <v>0.11319844421953418</v>
      </c>
    </row>
    <row r="8" spans="1:10">
      <c r="A8" s="273" t="s">
        <v>188</v>
      </c>
      <c r="B8" s="270">
        <f>三因素分析!B11</f>
        <v>421.52017695787248</v>
      </c>
      <c r="C8" s="270">
        <f>三因素分析!D11</f>
        <v>11.1807493778</v>
      </c>
      <c r="D8" s="271">
        <f>三因素分析!G11</f>
        <v>5.334113374037882E-2</v>
      </c>
      <c r="E8" s="270">
        <f>三因素分析!I11</f>
        <v>436.09546762160102</v>
      </c>
      <c r="F8" s="270">
        <f>三因素分析!K11</f>
        <v>7.6821806823999985</v>
      </c>
      <c r="G8" s="271">
        <f>三因素分析!O11</f>
        <v>3.5523621492505028E-2</v>
      </c>
      <c r="H8" s="272">
        <f t="shared" si="0"/>
        <v>3.4577919303695026E-2</v>
      </c>
      <c r="I8" s="272">
        <f t="shared" si="1"/>
        <v>-0.31291003645485549</v>
      </c>
      <c r="J8" s="278">
        <f>E8-B8</f>
        <v>14.575290663728538</v>
      </c>
    </row>
    <row r="9" spans="1:10">
      <c r="A9" s="273" t="s">
        <v>184</v>
      </c>
      <c r="B9" s="270">
        <f>三因素分析!B5</f>
        <v>560.08057982086314</v>
      </c>
      <c r="C9" s="270">
        <f>三因素分析!D5</f>
        <v>4.2982293080999998</v>
      </c>
      <c r="D9" s="271">
        <f>三因素分析!G5</f>
        <v>1.54329434312195E-2</v>
      </c>
      <c r="E9" s="270">
        <f>三因素分析!I5</f>
        <v>658.88284908867092</v>
      </c>
      <c r="F9" s="270">
        <f>三因素分析!K5</f>
        <v>4.9541583614999993</v>
      </c>
      <c r="G9" s="271">
        <f>三因素分析!O5</f>
        <v>1.5162680071020215E-2</v>
      </c>
      <c r="H9" s="272">
        <f t="shared" si="0"/>
        <v>0.17640724000715902</v>
      </c>
      <c r="I9" s="272">
        <f t="shared" si="1"/>
        <v>0.15260448114387559</v>
      </c>
    </row>
    <row r="10" spans="1:10">
      <c r="A10" s="269" t="s">
        <v>189</v>
      </c>
      <c r="B10" s="270">
        <f>三因素分析!B19</f>
        <v>5030.1940274967264</v>
      </c>
      <c r="C10" s="270">
        <f>三因素分析!D19</f>
        <v>60.606757155300002</v>
      </c>
      <c r="D10" s="271">
        <f>三因素分析!G19</f>
        <v>2.4229586764397872E-2</v>
      </c>
      <c r="E10" s="270">
        <f>三因素分析!I19</f>
        <v>5591.1211965240627</v>
      </c>
      <c r="F10" s="270">
        <f>三因素分析!K19</f>
        <v>67.283992149300005</v>
      </c>
      <c r="G10" s="271">
        <f>三因素分析!O19</f>
        <v>2.4267617141391987E-2</v>
      </c>
      <c r="H10" s="272">
        <f>E10/B10-1</f>
        <v>0.11151203431937629</v>
      </c>
      <c r="I10" s="272">
        <f t="shared" si="1"/>
        <v>0.11017311117455297</v>
      </c>
    </row>
    <row r="11" spans="1:10">
      <c r="A11" s="273" t="s">
        <v>191</v>
      </c>
      <c r="B11" s="270">
        <f>三因素分析!B24</f>
        <v>3551.3950394711728</v>
      </c>
      <c r="C11" s="270">
        <f>三因素分析!D24</f>
        <v>37.8356472336</v>
      </c>
      <c r="D11" s="271">
        <f>三因素分析!G24</f>
        <v>2.1424558508635037E-2</v>
      </c>
      <c r="E11" s="270">
        <f>三因素分析!I24</f>
        <v>3919.8902196483955</v>
      </c>
      <c r="F11" s="270">
        <f>三因素分析!K24</f>
        <v>36.859539958500001</v>
      </c>
      <c r="G11" s="271">
        <f>三因素分析!O24</f>
        <v>1.8962268674246014E-2</v>
      </c>
      <c r="H11" s="272">
        <f t="shared" si="0"/>
        <v>0.10376068448642495</v>
      </c>
      <c r="I11" s="272">
        <f t="shared" si="1"/>
        <v>-2.5798614440858958E-2</v>
      </c>
    </row>
    <row r="12" spans="1:10">
      <c r="A12" s="273" t="s">
        <v>190</v>
      </c>
      <c r="B12" s="270">
        <f>三因素分析!B20</f>
        <v>1402.8548728877113</v>
      </c>
      <c r="C12" s="270">
        <f>三因素分析!D20</f>
        <v>20.441984777800002</v>
      </c>
      <c r="D12" s="271">
        <f>三因素分析!G20</f>
        <v>2.9303534916865846E-2</v>
      </c>
      <c r="E12" s="270">
        <f>三因素分析!I20</f>
        <v>1595.472637775428</v>
      </c>
      <c r="F12" s="270">
        <f>三因素分析!K20</f>
        <v>28.122507041800002</v>
      </c>
      <c r="G12" s="271">
        <f>三因素分析!O20</f>
        <v>3.5545036399945912E-2</v>
      </c>
      <c r="H12" s="272">
        <f t="shared" si="0"/>
        <v>0.13730412789686652</v>
      </c>
      <c r="I12" s="272">
        <f t="shared" si="1"/>
        <v>0.37572292257751072</v>
      </c>
    </row>
    <row r="13" spans="1:10">
      <c r="A13" s="273" t="s">
        <v>192</v>
      </c>
      <c r="B13" s="270" t="e">
        <f>三因素分析!#REF!</f>
        <v>#REF!</v>
      </c>
      <c r="C13" s="270" t="e">
        <f>三因素分析!#REF!</f>
        <v>#REF!</v>
      </c>
      <c r="D13" s="271" t="e">
        <f>三因素分析!#REF!</f>
        <v>#REF!</v>
      </c>
      <c r="E13" s="270" t="e">
        <f>三因素分析!#REF!</f>
        <v>#REF!</v>
      </c>
      <c r="F13" s="270" t="e">
        <f>三因素分析!#REF!</f>
        <v>#REF!</v>
      </c>
      <c r="G13" s="271" t="e">
        <f>三因素分析!#REF!</f>
        <v>#REF!</v>
      </c>
      <c r="H13" s="272" t="e">
        <f t="shared" si="0"/>
        <v>#REF!</v>
      </c>
      <c r="I13" s="272" t="e">
        <f t="shared" si="1"/>
        <v>#REF!</v>
      </c>
      <c r="J13" s="278" t="e">
        <f>E13-B13</f>
        <v>#REF!</v>
      </c>
    </row>
    <row r="14" spans="1:10">
      <c r="A14" s="273" t="s">
        <v>193</v>
      </c>
      <c r="B14" s="270">
        <f>三因素分析!B34</f>
        <v>75.944115137841905</v>
      </c>
      <c r="C14" s="270">
        <f>三因素分析!D34</f>
        <v>2.3291251438999998</v>
      </c>
      <c r="D14" s="271">
        <f>三因素分析!G34</f>
        <v>6.1674891610755019E-2</v>
      </c>
      <c r="E14" s="270">
        <f>三因素分析!I34</f>
        <v>75.758339100238601</v>
      </c>
      <c r="F14" s="270">
        <f>三因素分析!K34</f>
        <v>2.3019451490000002</v>
      </c>
      <c r="G14" s="271">
        <f>三因素分析!O34</f>
        <v>6.127436451395725E-2</v>
      </c>
      <c r="H14" s="272">
        <f t="shared" si="0"/>
        <v>-2.4462203195877441E-3</v>
      </c>
      <c r="I14" s="272">
        <f t="shared" si="1"/>
        <v>-1.1669615508288267E-2</v>
      </c>
    </row>
  </sheetData>
  <mergeCells count="4">
    <mergeCell ref="B2:D2"/>
    <mergeCell ref="E2:G2"/>
    <mergeCell ref="A2:A3"/>
    <mergeCell ref="H2:I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5" sqref="E15"/>
    </sheetView>
  </sheetViews>
  <sheetFormatPr defaultColWidth="9" defaultRowHeight="17.25"/>
  <cols>
    <col min="1" max="1" width="26.625" style="188" customWidth="1"/>
    <col min="2" max="2" width="10.25" style="188" bestFit="1" customWidth="1"/>
    <col min="3" max="3" width="13.875" style="188" bestFit="1" customWidth="1"/>
    <col min="4" max="4" width="10.25" style="188" bestFit="1" customWidth="1"/>
    <col min="5" max="5" width="15" style="188" bestFit="1" customWidth="1"/>
    <col min="6" max="16384" width="9" style="188"/>
  </cols>
  <sheetData>
    <row r="1" spans="1:6">
      <c r="A1" s="906" t="s">
        <v>126</v>
      </c>
      <c r="B1" s="907" t="s">
        <v>127</v>
      </c>
      <c r="C1" s="907"/>
      <c r="D1" s="907" t="s">
        <v>213</v>
      </c>
      <c r="E1" s="907"/>
    </row>
    <row r="2" spans="1:6">
      <c r="A2" s="906"/>
      <c r="B2" s="192" t="s">
        <v>128</v>
      </c>
      <c r="C2" s="192" t="s">
        <v>129</v>
      </c>
      <c r="D2" s="192" t="s">
        <v>130</v>
      </c>
      <c r="E2" s="192" t="s">
        <v>131</v>
      </c>
    </row>
    <row r="3" spans="1:6">
      <c r="A3" s="192" t="s">
        <v>132</v>
      </c>
      <c r="B3" s="193">
        <f>利息收支变动!B4</f>
        <v>5413.1624358578647</v>
      </c>
      <c r="C3" s="195">
        <f>利息收支变动!D4</f>
        <v>4.2691252048216791E-2</v>
      </c>
      <c r="D3" s="194">
        <f>B3*(1+$F$3)</f>
        <v>5993.6183767887078</v>
      </c>
      <c r="E3" s="277">
        <f>B3*$F$3*C3</f>
        <v>24.78039087716342</v>
      </c>
      <c r="F3" s="203">
        <f>三因素分析!R4</f>
        <v>0.10723046792126292</v>
      </c>
    </row>
    <row r="4" spans="1:6">
      <c r="A4" s="198" t="s">
        <v>133</v>
      </c>
      <c r="B4" s="193">
        <f>利息收支变动!B5</f>
        <v>2174.5914955227863</v>
      </c>
      <c r="C4" s="195">
        <f>利息收支变动!D5</f>
        <v>5.5265978380667199E-2</v>
      </c>
      <c r="D4" s="194">
        <f t="shared" ref="D4:D15" si="0">B4*(1+$F$3)</f>
        <v>2407.7739591252939</v>
      </c>
      <c r="E4" s="277">
        <f t="shared" ref="E4:E14" si="1">B4*$F$3*C4</f>
        <v>12.887056992206885</v>
      </c>
    </row>
    <row r="5" spans="1:6">
      <c r="A5" s="198" t="s">
        <v>134</v>
      </c>
      <c r="B5" s="193" t="e">
        <f>利息收支变动!B6</f>
        <v>#REF!</v>
      </c>
      <c r="C5" s="195" t="e">
        <f>利息收支变动!D6</f>
        <v>#REF!</v>
      </c>
      <c r="D5" s="194" t="e">
        <f t="shared" si="0"/>
        <v>#REF!</v>
      </c>
      <c r="E5" s="277" t="e">
        <f t="shared" si="1"/>
        <v>#REF!</v>
      </c>
    </row>
    <row r="6" spans="1:6">
      <c r="A6" s="198" t="s">
        <v>135</v>
      </c>
      <c r="B6" s="193">
        <f>利息收支变动!B7</f>
        <v>914.76715803359752</v>
      </c>
      <c r="C6" s="195">
        <f>利息收支变动!D7</f>
        <v>3.600584724313987E-2</v>
      </c>
      <c r="D6" s="194">
        <f t="shared" si="0"/>
        <v>1012.8580684285441</v>
      </c>
      <c r="E6" s="277">
        <f t="shared" si="1"/>
        <v>3.5318463356209655</v>
      </c>
    </row>
    <row r="7" spans="1:6">
      <c r="A7" s="198" t="s">
        <v>136</v>
      </c>
      <c r="B7" s="193">
        <f>利息收支变动!B8</f>
        <v>421.52017695787248</v>
      </c>
      <c r="C7" s="195">
        <f>利息收支变动!D8</f>
        <v>5.334113374037882E-2</v>
      </c>
      <c r="D7" s="194">
        <f t="shared" si="0"/>
        <v>466.71998277131871</v>
      </c>
      <c r="E7" s="277">
        <f t="shared" si="1"/>
        <v>2.4110088869341868</v>
      </c>
    </row>
    <row r="8" spans="1:6">
      <c r="A8" s="198" t="s">
        <v>137</v>
      </c>
      <c r="B8" s="193">
        <f>利息收支变动!B9</f>
        <v>560.08057982086314</v>
      </c>
      <c r="C8" s="195">
        <f>利息收支变动!D9</f>
        <v>1.54329434312195E-2</v>
      </c>
      <c r="D8" s="194">
        <f t="shared" si="0"/>
        <v>620.1382824686666</v>
      </c>
      <c r="E8" s="277">
        <f t="shared" si="1"/>
        <v>0.92686712757255152</v>
      </c>
    </row>
    <row r="9" spans="1:6">
      <c r="A9" s="192" t="s">
        <v>138</v>
      </c>
      <c r="B9" s="193">
        <f>利息收支变动!B10</f>
        <v>5030.1940274967264</v>
      </c>
      <c r="C9" s="195">
        <f>三因素分析!G19</f>
        <v>2.4229586764397872E-2</v>
      </c>
      <c r="D9" s="194">
        <f t="shared" si="0"/>
        <v>5569.5840867999432</v>
      </c>
      <c r="E9" s="277">
        <f>B9*$F$3*C9</f>
        <v>13.069198241740986</v>
      </c>
    </row>
    <row r="10" spans="1:6">
      <c r="A10" s="198" t="s">
        <v>150</v>
      </c>
      <c r="B10" s="193">
        <f>利息收支变动!B11</f>
        <v>3551.3950394711728</v>
      </c>
      <c r="C10" s="195">
        <f>三因素分析!F24</f>
        <v>2.1424558508635033E-2</v>
      </c>
      <c r="D10" s="194">
        <f t="shared" si="0"/>
        <v>3932.2127913269192</v>
      </c>
      <c r="E10" s="277">
        <f t="shared" si="1"/>
        <v>8.1588522057602848</v>
      </c>
    </row>
    <row r="11" spans="1:6">
      <c r="A11" s="225" t="s">
        <v>196</v>
      </c>
      <c r="B11" s="194">
        <f>三因素分析!B32</f>
        <v>1293.7669117389821</v>
      </c>
      <c r="C11" s="195">
        <f>三因素分析!G32</f>
        <v>4.0290332060326913E-3</v>
      </c>
      <c r="D11" s="194">
        <f t="shared" si="0"/>
        <v>1432.4981430658006</v>
      </c>
      <c r="E11" s="277">
        <f>B11*$F$3*C11</f>
        <v>0.55895273772955378</v>
      </c>
    </row>
    <row r="12" spans="1:6">
      <c r="A12" s="225" t="s">
        <v>197</v>
      </c>
      <c r="B12" s="194">
        <f>三因素分析!B33</f>
        <v>2257.6281277321909</v>
      </c>
      <c r="C12" s="195">
        <f>三因素分析!G33</f>
        <v>3.1393319427392902E-2</v>
      </c>
      <c r="D12" s="194">
        <f t="shared" ref="D12" si="2">B12*(1+$F$3)</f>
        <v>2499.7146482611188</v>
      </c>
      <c r="E12" s="277">
        <f>B12*$F$3*C12</f>
        <v>7.5998994680307321</v>
      </c>
    </row>
    <row r="13" spans="1:6">
      <c r="A13" s="198" t="s">
        <v>140</v>
      </c>
      <c r="B13" s="194">
        <f>利息收支变动!B12</f>
        <v>1402.8548728877113</v>
      </c>
      <c r="C13" s="195">
        <f>利息收支变动!D12</f>
        <v>2.9303534916865846E-2</v>
      </c>
      <c r="D13" s="194">
        <f t="shared" si="0"/>
        <v>1553.2836573330844</v>
      </c>
      <c r="E13" s="277">
        <f t="shared" si="1"/>
        <v>4.4080951374966766</v>
      </c>
    </row>
    <row r="14" spans="1:6">
      <c r="A14" s="198" t="s">
        <v>149</v>
      </c>
      <c r="B14" s="194" t="e">
        <f>利息收支变动!B13</f>
        <v>#REF!</v>
      </c>
      <c r="C14" s="195" t="e">
        <f>利息收支变动!D13</f>
        <v>#REF!</v>
      </c>
      <c r="D14" s="194" t="e">
        <f t="shared" si="0"/>
        <v>#REF!</v>
      </c>
      <c r="E14" s="277" t="e">
        <f t="shared" si="1"/>
        <v>#REF!</v>
      </c>
    </row>
    <row r="15" spans="1:6">
      <c r="A15" s="198" t="s">
        <v>141</v>
      </c>
      <c r="B15" s="194">
        <f>利息收支变动!B14</f>
        <v>75.944115137841905</v>
      </c>
      <c r="C15" s="195">
        <f>利息收支变动!D14</f>
        <v>6.1674891610755019E-2</v>
      </c>
      <c r="D15" s="194">
        <f t="shared" si="0"/>
        <v>84.08763813993896</v>
      </c>
      <c r="E15" s="277">
        <v>0.2207654030554802</v>
      </c>
    </row>
    <row r="16" spans="1:6">
      <c r="A16" s="252" t="s">
        <v>142</v>
      </c>
      <c r="B16" s="253">
        <f>三因素分析!B36</f>
        <v>382.96840836113824</v>
      </c>
      <c r="C16" s="254">
        <f>三因素分析!G37</f>
        <v>2.017585110188019E-2</v>
      </c>
      <c r="D16" s="255">
        <f>D3-D9</f>
        <v>424.03428998876461</v>
      </c>
      <c r="E16" s="256">
        <f>E3-E9</f>
        <v>11.711192635422433</v>
      </c>
    </row>
  </sheetData>
  <mergeCells count="3">
    <mergeCell ref="A1:A2"/>
    <mergeCell ref="B1:C1"/>
    <mergeCell ref="D1:E1"/>
  </mergeCells>
  <phoneticPr fontId="1"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16" sqref="J16"/>
    </sheetView>
  </sheetViews>
  <sheetFormatPr defaultColWidth="9" defaultRowHeight="17.25"/>
  <cols>
    <col min="1" max="1" width="27.5" style="188" customWidth="1"/>
    <col min="2" max="2" width="9.5" style="188" customWidth="1"/>
    <col min="3" max="3" width="9.5" style="188" bestFit="1" customWidth="1"/>
    <col min="4" max="4" width="9.375" style="188" customWidth="1"/>
    <col min="5" max="5" width="10.875" style="188" customWidth="1"/>
    <col min="6" max="6" width="9.25" style="188" customWidth="1"/>
    <col min="7" max="7" width="7.875" style="188" customWidth="1"/>
    <col min="8" max="8" width="10.875" style="188" customWidth="1"/>
    <col min="9" max="9" width="7.5" style="188" hidden="1" customWidth="1"/>
    <col min="10" max="10" width="12.75" style="188" bestFit="1" customWidth="1"/>
    <col min="11" max="16384" width="9" style="188"/>
  </cols>
  <sheetData>
    <row r="1" spans="1:10" ht="17.25" customHeight="1">
      <c r="A1" s="908" t="s">
        <v>126</v>
      </c>
      <c r="B1" s="189" t="s">
        <v>127</v>
      </c>
      <c r="C1" s="910" t="s">
        <v>214</v>
      </c>
      <c r="D1" s="911"/>
      <c r="E1" s="911"/>
      <c r="F1" s="911"/>
      <c r="G1" s="911"/>
      <c r="H1" s="912"/>
      <c r="I1" s="190"/>
    </row>
    <row r="2" spans="1:10" ht="34.5">
      <c r="A2" s="909"/>
      <c r="B2" s="192" t="s">
        <v>128</v>
      </c>
      <c r="C2" s="192" t="s">
        <v>130</v>
      </c>
      <c r="D2" s="192" t="s">
        <v>129</v>
      </c>
      <c r="E2" s="192" t="s">
        <v>143</v>
      </c>
      <c r="F2" s="192" t="s">
        <v>144</v>
      </c>
      <c r="G2" s="192" t="s">
        <v>145</v>
      </c>
      <c r="H2" s="192" t="s">
        <v>146</v>
      </c>
      <c r="I2" s="191" t="s">
        <v>131</v>
      </c>
    </row>
    <row r="3" spans="1:10">
      <c r="A3" s="192" t="s">
        <v>132</v>
      </c>
      <c r="B3" s="193">
        <f>等比增长!B3</f>
        <v>5413.1624358578647</v>
      </c>
      <c r="C3" s="194">
        <f t="shared" ref="C3:C15" si="0">B3*(1+$J$3)</f>
        <v>5993.6183767887078</v>
      </c>
      <c r="D3" s="195">
        <f>等比增长!C3</f>
        <v>4.2691252048216791E-2</v>
      </c>
      <c r="E3" s="194">
        <f>三因素分析!I4</f>
        <v>5993.6183767887069</v>
      </c>
      <c r="F3" s="194">
        <f t="shared" ref="F3:F15" si="1">E3-C3</f>
        <v>0</v>
      </c>
      <c r="G3" s="194" t="e">
        <f>SUM(G4:G8)</f>
        <v>#REF!</v>
      </c>
      <c r="H3" s="196" t="e">
        <f>SUM(H4:H8)</f>
        <v>#REF!</v>
      </c>
      <c r="I3" s="197">
        <f t="shared" ref="I3:I15" si="2">B3*$J$3*D3</f>
        <v>24.78039087716342</v>
      </c>
      <c r="J3" s="203">
        <f>等比增长!F3</f>
        <v>0.10723046792126292</v>
      </c>
    </row>
    <row r="4" spans="1:10">
      <c r="A4" s="198" t="s">
        <v>133</v>
      </c>
      <c r="B4" s="193">
        <f>等比增长!B4</f>
        <v>2174.5914955227863</v>
      </c>
      <c r="C4" s="194">
        <f t="shared" si="0"/>
        <v>2407.7739591252939</v>
      </c>
      <c r="D4" s="195">
        <f>等比增长!C4</f>
        <v>5.5265978380667199E-2</v>
      </c>
      <c r="E4" s="194">
        <f>三因素分析!I12</f>
        <v>2368.219616483143</v>
      </c>
      <c r="F4" s="194">
        <f t="shared" si="1"/>
        <v>-39.554342642150914</v>
      </c>
      <c r="G4" s="194">
        <f>三因素分析!AB12</f>
        <v>-2.3463807413454925</v>
      </c>
      <c r="H4" s="196">
        <f>三因素分析!AD12</f>
        <v>-3.9147983635932606</v>
      </c>
      <c r="I4" s="197">
        <f t="shared" si="2"/>
        <v>12.887056992206885</v>
      </c>
    </row>
    <row r="5" spans="1:10">
      <c r="A5" s="198" t="s">
        <v>134</v>
      </c>
      <c r="B5" s="193" t="e">
        <f>等比增长!B5</f>
        <v>#REF!</v>
      </c>
      <c r="C5" s="194" t="e">
        <f t="shared" si="0"/>
        <v>#REF!</v>
      </c>
      <c r="D5" s="195" t="e">
        <f>等比增长!C5</f>
        <v>#REF!</v>
      </c>
      <c r="E5" s="194" t="e">
        <f>三因素分析!#REF!</f>
        <v>#REF!</v>
      </c>
      <c r="F5" s="194" t="e">
        <f t="shared" si="1"/>
        <v>#REF!</v>
      </c>
      <c r="G5" s="194" t="e">
        <f>三因素分析!#REF!</f>
        <v>#REF!</v>
      </c>
      <c r="H5" s="196" t="e">
        <f>三因素分析!#REF!</f>
        <v>#REF!</v>
      </c>
      <c r="I5" s="197" t="e">
        <f t="shared" si="2"/>
        <v>#REF!</v>
      </c>
    </row>
    <row r="6" spans="1:10">
      <c r="A6" s="198" t="s">
        <v>135</v>
      </c>
      <c r="B6" s="193">
        <f>等比增长!B6</f>
        <v>914.76715803359752</v>
      </c>
      <c r="C6" s="194">
        <f t="shared" si="0"/>
        <v>1012.8580684285441</v>
      </c>
      <c r="D6" s="195">
        <f>等比增长!C6</f>
        <v>3.600584724313987E-2</v>
      </c>
      <c r="E6" s="194">
        <f>三因素分析!I10</f>
        <v>1086.5358718850757</v>
      </c>
      <c r="F6" s="194">
        <f t="shared" si="1"/>
        <v>73.677803456531592</v>
      </c>
      <c r="G6" s="194">
        <f>三因素分析!AB10</f>
        <v>2.6528317364659593</v>
      </c>
      <c r="H6" s="196">
        <f>三因素分析!AD10</f>
        <v>4.4260938379718926</v>
      </c>
      <c r="I6" s="197">
        <f t="shared" si="2"/>
        <v>3.5318463356209655</v>
      </c>
    </row>
    <row r="7" spans="1:10">
      <c r="A7" s="198" t="s">
        <v>136</v>
      </c>
      <c r="B7" s="193">
        <f>等比增长!B7</f>
        <v>421.52017695787248</v>
      </c>
      <c r="C7" s="194">
        <f t="shared" si="0"/>
        <v>466.71998277131871</v>
      </c>
      <c r="D7" s="195">
        <f>等比增长!C7</f>
        <v>5.334113374037882E-2</v>
      </c>
      <c r="E7" s="194">
        <f>三因素分析!I11</f>
        <v>436.09546762160102</v>
      </c>
      <c r="F7" s="194">
        <f>E7-C7</f>
        <v>-30.624515149717695</v>
      </c>
      <c r="G7" s="194">
        <f>三因素分析!AB11</f>
        <v>-1.63354635833535</v>
      </c>
      <c r="H7" s="196">
        <f>三因素分析!AD11</f>
        <v>-2.7254760908060685</v>
      </c>
      <c r="I7" s="197">
        <f t="shared" si="2"/>
        <v>2.4110088869341868</v>
      </c>
    </row>
    <row r="8" spans="1:10">
      <c r="A8" s="198" t="s">
        <v>137</v>
      </c>
      <c r="B8" s="193">
        <f>等比增长!B8</f>
        <v>560.08057982086314</v>
      </c>
      <c r="C8" s="194">
        <f t="shared" si="0"/>
        <v>620.1382824686666</v>
      </c>
      <c r="D8" s="195">
        <f>等比增长!C8</f>
        <v>1.54329434312195E-2</v>
      </c>
      <c r="E8" s="194">
        <f>三因素分析!I5</f>
        <v>658.88284908867092</v>
      </c>
      <c r="F8" s="194">
        <f t="shared" si="1"/>
        <v>38.744566620004321</v>
      </c>
      <c r="G8" s="194">
        <f>三因素分析!AB5</f>
        <v>0.59794270491364221</v>
      </c>
      <c r="H8" s="196">
        <f>三因素分析!AD5</f>
        <v>0.99763226038760777</v>
      </c>
      <c r="I8" s="197">
        <f t="shared" si="2"/>
        <v>0.92686712757255152</v>
      </c>
    </row>
    <row r="9" spans="1:10">
      <c r="A9" s="192" t="s">
        <v>138</v>
      </c>
      <c r="B9" s="193">
        <f>等比增长!B9</f>
        <v>5030.1940274967264</v>
      </c>
      <c r="C9" s="194">
        <f>B9*(1+$J$3)</f>
        <v>5569.5840867999432</v>
      </c>
      <c r="D9" s="195">
        <f>等比增长!C9</f>
        <v>2.4229586764397872E-2</v>
      </c>
      <c r="E9" s="196">
        <f>三因素分析!I19</f>
        <v>5591.1211965240627</v>
      </c>
      <c r="F9" s="194">
        <f>E9-C9</f>
        <v>21.537109724119546</v>
      </c>
      <c r="G9" s="226" t="e">
        <f>G10+G13+G14+G15</f>
        <v>#REF!</v>
      </c>
      <c r="H9" s="196" t="e">
        <f>H10+H13+H14+H15</f>
        <v>#REF!</v>
      </c>
      <c r="I9" s="197">
        <f t="shared" si="2"/>
        <v>13.069198241740986</v>
      </c>
    </row>
    <row r="10" spans="1:10">
      <c r="A10" s="198" t="s">
        <v>150</v>
      </c>
      <c r="B10" s="193">
        <f>等比增长!B10</f>
        <v>3551.3950394711728</v>
      </c>
      <c r="C10" s="194">
        <f t="shared" si="0"/>
        <v>3932.2127913269192</v>
      </c>
      <c r="D10" s="195">
        <f>等比增长!C10</f>
        <v>2.1424558508635033E-2</v>
      </c>
      <c r="E10" s="194">
        <f>三因素分析!I24</f>
        <v>3919.8902196483955</v>
      </c>
      <c r="F10" s="194">
        <f>E10-C10</f>
        <v>-12.322571678523673</v>
      </c>
      <c r="G10" s="194">
        <f>三因素分析!AB24</f>
        <v>-2.7864227199799085</v>
      </c>
      <c r="H10" s="196">
        <f>三因素分析!AD24</f>
        <v>4.6489825424501472</v>
      </c>
      <c r="I10" s="197">
        <f t="shared" si="2"/>
        <v>8.1588522057602848</v>
      </c>
    </row>
    <row r="11" spans="1:10">
      <c r="A11" s="225" t="s">
        <v>196</v>
      </c>
      <c r="B11" s="193">
        <f>等比增长!B11</f>
        <v>1293.7669117389821</v>
      </c>
      <c r="C11" s="194">
        <f t="shared" si="0"/>
        <v>1432.4981430658006</v>
      </c>
      <c r="D11" s="195">
        <f>等比增长!C11</f>
        <v>4.0290332060326913E-3</v>
      </c>
      <c r="E11" s="194">
        <f>三因素分析!I32</f>
        <v>1548.4476185137191</v>
      </c>
      <c r="F11" s="194">
        <f t="shared" si="1"/>
        <v>115.94947544791853</v>
      </c>
      <c r="G11" s="194">
        <f>三因素分析!AB32</f>
        <v>0.5546824709343261</v>
      </c>
      <c r="H11" s="196">
        <f>三因素分析!AD32</f>
        <v>-0.92545510251774976</v>
      </c>
      <c r="I11" s="197"/>
    </row>
    <row r="12" spans="1:10">
      <c r="A12" s="225" t="s">
        <v>197</v>
      </c>
      <c r="B12" s="193">
        <f>等比增长!B12</f>
        <v>2257.6281277321909</v>
      </c>
      <c r="C12" s="194">
        <f t="shared" si="0"/>
        <v>2499.7146482611188</v>
      </c>
      <c r="D12" s="195">
        <f>等比增长!C12</f>
        <v>3.1393319427392902E-2</v>
      </c>
      <c r="E12" s="194">
        <f>三因素分析!I33</f>
        <v>2371.4426011346764</v>
      </c>
      <c r="F12" s="194">
        <f t="shared" si="1"/>
        <v>-128.27204712644243</v>
      </c>
      <c r="G12" s="194">
        <f>三因素分析!AB33</f>
        <v>-3.3411051909142344</v>
      </c>
      <c r="H12" s="196">
        <f>三因素分析!AD33</f>
        <v>5.5744376449678956</v>
      </c>
      <c r="I12" s="197"/>
    </row>
    <row r="13" spans="1:10">
      <c r="A13" s="198" t="s">
        <v>140</v>
      </c>
      <c r="B13" s="193">
        <f>等比增长!B13</f>
        <v>1402.8548728877113</v>
      </c>
      <c r="C13" s="194">
        <f t="shared" si="0"/>
        <v>1553.2836573330844</v>
      </c>
      <c r="D13" s="195">
        <f>等比增长!C13</f>
        <v>2.9303534916865846E-2</v>
      </c>
      <c r="E13" s="194">
        <f>三因素分析!I20</f>
        <v>1595.472637775428</v>
      </c>
      <c r="F13" s="194">
        <f t="shared" si="1"/>
        <v>42.188980442343563</v>
      </c>
      <c r="G13" s="194">
        <f>三因素分析!AB20</f>
        <v>1.5620462040149299</v>
      </c>
      <c r="H13" s="196">
        <f>三因素分析!AD20</f>
        <v>-2.6061822855859758</v>
      </c>
      <c r="I13" s="197">
        <f t="shared" si="2"/>
        <v>4.4080951374966766</v>
      </c>
    </row>
    <row r="14" spans="1:10">
      <c r="A14" s="198" t="s">
        <v>149</v>
      </c>
      <c r="B14" s="193" t="e">
        <f>等比增长!B14</f>
        <v>#REF!</v>
      </c>
      <c r="C14" s="194" t="e">
        <f t="shared" si="0"/>
        <v>#REF!</v>
      </c>
      <c r="D14" s="195" t="e">
        <f>等比增长!C14</f>
        <v>#REF!</v>
      </c>
      <c r="E14" s="194" t="e">
        <f>三因素分析!#REF!</f>
        <v>#REF!</v>
      </c>
      <c r="F14" s="194" t="e">
        <f t="shared" si="1"/>
        <v>#REF!</v>
      </c>
      <c r="G14" s="194" t="e">
        <f>三因素分析!#REF!</f>
        <v>#REF!</v>
      </c>
      <c r="H14" s="196" t="e">
        <f>三因素分析!#REF!</f>
        <v>#REF!</v>
      </c>
      <c r="I14" s="197" t="e">
        <f t="shared" si="2"/>
        <v>#REF!</v>
      </c>
    </row>
    <row r="15" spans="1:10">
      <c r="A15" s="198" t="s">
        <v>141</v>
      </c>
      <c r="B15" s="193">
        <f>等比增长!B15</f>
        <v>75.944115137841905</v>
      </c>
      <c r="C15" s="194">
        <f t="shared" si="0"/>
        <v>84.08763813993896</v>
      </c>
      <c r="D15" s="195">
        <f>等比增长!C15</f>
        <v>6.1674891610755019E-2</v>
      </c>
      <c r="E15" s="194">
        <f>三因素分析!I34</f>
        <v>75.758339100238601</v>
      </c>
      <c r="F15" s="194">
        <f t="shared" si="1"/>
        <v>-8.3292990397003592</v>
      </c>
      <c r="G15" s="194">
        <f>三因素分析!AB34</f>
        <v>-0.51370861546708579</v>
      </c>
      <c r="H15" s="196">
        <f>三因素分析!AD34</f>
        <v>0.85709263281844683</v>
      </c>
      <c r="I15" s="197">
        <f t="shared" si="2"/>
        <v>0.50225089848402615</v>
      </c>
    </row>
    <row r="16" spans="1:10">
      <c r="A16" s="202" t="s">
        <v>147</v>
      </c>
      <c r="B16" s="193">
        <f>等比增长!B16</f>
        <v>382.96840836113824</v>
      </c>
      <c r="C16" s="200">
        <f>C3-C9</f>
        <v>424.03428998876461</v>
      </c>
      <c r="D16" s="199"/>
      <c r="E16" s="200">
        <f>E3-E9</f>
        <v>402.49718026464416</v>
      </c>
      <c r="F16" s="200">
        <f>F3-F9</f>
        <v>-21.537109724119546</v>
      </c>
      <c r="G16" s="200" t="e">
        <f>G3-G9</f>
        <v>#REF!</v>
      </c>
      <c r="H16" s="201" t="e">
        <f>H3+H9</f>
        <v>#REF!</v>
      </c>
    </row>
    <row r="17" spans="4:8">
      <c r="G17" s="204" t="e">
        <f>G5+G6-G13</f>
        <v>#REF!</v>
      </c>
      <c r="H17" s="208" t="e">
        <f>H5+H6-H13</f>
        <v>#REF!</v>
      </c>
    </row>
    <row r="18" spans="4:8">
      <c r="G18" s="204">
        <f>G4-G10</f>
        <v>0.44004197863441608</v>
      </c>
      <c r="H18" s="208">
        <f>H4-H10</f>
        <v>-8.5637809060434087</v>
      </c>
    </row>
    <row r="19" spans="4:8">
      <c r="D19" s="207"/>
    </row>
    <row r="20" spans="4:8">
      <c r="G20" s="204" t="e">
        <f>G17+利率变动!H14</f>
        <v>#REF!</v>
      </c>
      <c r="H20" s="208" t="e">
        <f>H17+利率变动!I14</f>
        <v>#REF!</v>
      </c>
    </row>
    <row r="21" spans="4:8">
      <c r="G21" s="204">
        <f>G18+利率变动!H15</f>
        <v>-1.447860600644284</v>
      </c>
      <c r="H21" s="208">
        <f>H18+利率变动!I15</f>
        <v>-35.503901413514413</v>
      </c>
    </row>
    <row r="22" spans="4:8">
      <c r="G22" s="204" t="e">
        <f>G7-G14</f>
        <v>#REF!</v>
      </c>
    </row>
  </sheetData>
  <mergeCells count="2">
    <mergeCell ref="A1:A2"/>
    <mergeCell ref="C1:H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I12" sqref="I12"/>
    </sheetView>
  </sheetViews>
  <sheetFormatPr defaultColWidth="9" defaultRowHeight="17.25"/>
  <cols>
    <col min="1" max="1" width="21.625" style="188" customWidth="1"/>
    <col min="2" max="3" width="9.5" style="188" hidden="1" customWidth="1"/>
    <col min="4" max="5" width="15" style="188" bestFit="1" customWidth="1"/>
    <col min="6" max="7" width="12.875" style="188" bestFit="1" customWidth="1"/>
    <col min="8" max="8" width="15" style="188" bestFit="1" customWidth="1"/>
    <col min="9" max="9" width="12.625" style="188" bestFit="1" customWidth="1"/>
    <col min="10" max="10" width="7.5" style="188" hidden="1" customWidth="1"/>
    <col min="11" max="16384" width="9" style="188"/>
  </cols>
  <sheetData>
    <row r="1" spans="1:13" ht="28.5" customHeight="1">
      <c r="A1" s="202" t="s">
        <v>151</v>
      </c>
      <c r="B1" s="192" t="s">
        <v>128</v>
      </c>
      <c r="C1" s="192" t="s">
        <v>152</v>
      </c>
      <c r="D1" s="192" t="s">
        <v>153</v>
      </c>
      <c r="E1" s="192" t="s">
        <v>154</v>
      </c>
      <c r="F1" s="192" t="s">
        <v>155</v>
      </c>
      <c r="G1" s="192" t="s">
        <v>156</v>
      </c>
      <c r="H1" s="192" t="s">
        <v>157</v>
      </c>
      <c r="I1" s="192" t="s">
        <v>158</v>
      </c>
      <c r="J1" s="191" t="s">
        <v>131</v>
      </c>
    </row>
    <row r="2" spans="1:13">
      <c r="A2" s="192" t="s">
        <v>132</v>
      </c>
      <c r="B2" s="193">
        <v>3415.5305537780473</v>
      </c>
      <c r="C2" s="194">
        <f t="shared" ref="C2:C12" si="0">B2*(1+$K$2)</f>
        <v>3781.7794932590377</v>
      </c>
      <c r="D2" s="194">
        <f>结构调整!E3</f>
        <v>5993.6183767887069</v>
      </c>
      <c r="E2" s="194">
        <f t="shared" ref="E2:E12" si="1">D2-C2</f>
        <v>2211.8388835296691</v>
      </c>
      <c r="F2" s="195">
        <f>结构调整!D3</f>
        <v>4.2691252048216791E-2</v>
      </c>
      <c r="G2" s="195">
        <f>三因素分析!O4</f>
        <v>3.9942855624353187E-2</v>
      </c>
      <c r="H2" s="194" t="e">
        <f>SUM(H3:H7)</f>
        <v>#REF!</v>
      </c>
      <c r="I2" s="196" t="e">
        <f>SUM(I3:I7)</f>
        <v>#REF!</v>
      </c>
      <c r="J2" s="197">
        <f t="shared" ref="J2:J12" si="2">B2*$K$2*F2</f>
        <v>15.635625787775055</v>
      </c>
      <c r="K2" s="203">
        <f>等比增长!F3</f>
        <v>0.10723046792126292</v>
      </c>
      <c r="L2" s="207">
        <f>G2-F2</f>
        <v>-2.7483964238636041E-3</v>
      </c>
    </row>
    <row r="3" spans="1:13">
      <c r="A3" s="198" t="s">
        <v>159</v>
      </c>
      <c r="B3" s="193">
        <v>1477.2087341730478</v>
      </c>
      <c r="C3" s="194">
        <f t="shared" si="0"/>
        <v>1635.6105179558003</v>
      </c>
      <c r="D3" s="194">
        <f>结构调整!E4</f>
        <v>2368.219616483143</v>
      </c>
      <c r="E3" s="194">
        <f t="shared" si="1"/>
        <v>732.60909852734267</v>
      </c>
      <c r="F3" s="195">
        <f>结构调整!D4</f>
        <v>5.5265978380667199E-2</v>
      </c>
      <c r="G3" s="195">
        <f>三因素分析!O12</f>
        <v>5.1390593433634529E-2</v>
      </c>
      <c r="H3" s="194">
        <f>三因素分析!AF12</f>
        <v>-9.0173913569633743</v>
      </c>
      <c r="I3" s="196">
        <f>三因素分析!AJ12</f>
        <v>-15.044987501848192</v>
      </c>
      <c r="J3" s="197">
        <f t="shared" si="2"/>
        <v>8.7542295579967142</v>
      </c>
      <c r="L3" s="207">
        <f>G3-F3</f>
        <v>-3.8753849470326701E-3</v>
      </c>
    </row>
    <row r="4" spans="1:13">
      <c r="A4" s="198" t="s">
        <v>134</v>
      </c>
      <c r="B4" s="194">
        <v>1047.5430967118707</v>
      </c>
      <c r="C4" s="194">
        <f t="shared" si="0"/>
        <v>1159.8716331399735</v>
      </c>
      <c r="D4" s="194" t="e">
        <f>结构调整!E5</f>
        <v>#REF!</v>
      </c>
      <c r="E4" s="194" t="e">
        <f t="shared" si="1"/>
        <v>#REF!</v>
      </c>
      <c r="F4" s="195" t="e">
        <f>结构调整!D5</f>
        <v>#REF!</v>
      </c>
      <c r="G4" s="195" t="e">
        <f>三因素分析!#REF!</f>
        <v>#REF!</v>
      </c>
      <c r="H4" s="194" t="e">
        <f>三因素分析!#REF!</f>
        <v>#REF!</v>
      </c>
      <c r="I4" s="196" t="e">
        <f>三因素分析!#REF!</f>
        <v>#REF!</v>
      </c>
      <c r="J4" s="197" t="e">
        <f t="shared" si="2"/>
        <v>#REF!</v>
      </c>
      <c r="K4" s="207" t="e">
        <f>G4-F4</f>
        <v>#REF!</v>
      </c>
      <c r="L4" s="207" t="e">
        <f>G4-F4</f>
        <v>#REF!</v>
      </c>
    </row>
    <row r="5" spans="1:13">
      <c r="A5" s="198" t="s">
        <v>135</v>
      </c>
      <c r="B5" s="194">
        <v>299.17719500915541</v>
      </c>
      <c r="C5" s="194">
        <f t="shared" si="0"/>
        <v>331.25810562135808</v>
      </c>
      <c r="D5" s="194">
        <f>结构调整!E6</f>
        <v>1086.5358718850757</v>
      </c>
      <c r="E5" s="194">
        <f t="shared" si="1"/>
        <v>755.27776626371769</v>
      </c>
      <c r="F5" s="195">
        <f>结构调整!D6</f>
        <v>3.600584724313987E-2</v>
      </c>
      <c r="G5" s="195">
        <f>三因素分析!O10</f>
        <v>3.3838937057633592E-2</v>
      </c>
      <c r="H5" s="194">
        <f>三因素分析!AF10</f>
        <v>-2.3544256477057148</v>
      </c>
      <c r="I5" s="196">
        <f>三因素分析!AJ10</f>
        <v>-3.928220817033703</v>
      </c>
      <c r="J5" s="197">
        <f t="shared" si="2"/>
        <v>1.1551003669237936</v>
      </c>
      <c r="K5" s="207">
        <f>G5-F5</f>
        <v>-2.1669101855062781E-3</v>
      </c>
      <c r="L5" s="207">
        <f t="shared" ref="L5:L13" si="3">G5-F5</f>
        <v>-2.1669101855062781E-3</v>
      </c>
    </row>
    <row r="6" spans="1:13">
      <c r="A6" s="198" t="s">
        <v>136</v>
      </c>
      <c r="B6" s="194">
        <v>87.534777682532507</v>
      </c>
      <c r="C6" s="194">
        <f t="shared" si="0"/>
        <v>96.921172852814195</v>
      </c>
      <c r="D6" s="194">
        <f>结构调整!E7</f>
        <v>436.09546762160102</v>
      </c>
      <c r="E6" s="194">
        <f t="shared" si="1"/>
        <v>339.17429476878681</v>
      </c>
      <c r="F6" s="195">
        <f>结构调整!D7</f>
        <v>5.334113374037882E-2</v>
      </c>
      <c r="G6" s="195">
        <f>三因素分析!O11</f>
        <v>3.5523621492505028E-2</v>
      </c>
      <c r="H6" s="194">
        <f>三因素分析!AF11</f>
        <v>-7.7701363355901245</v>
      </c>
      <c r="I6" s="196">
        <f>三因素分析!AJ11</f>
        <v>-12.964015803343905</v>
      </c>
      <c r="J6" s="197">
        <f t="shared" si="2"/>
        <v>0.50068096011804109</v>
      </c>
      <c r="K6" s="207">
        <f t="shared" ref="K6:K13" si="4">G6-F6</f>
        <v>-1.7817512247873792E-2</v>
      </c>
      <c r="L6" s="207">
        <f t="shared" si="3"/>
        <v>-1.7817512247873792E-2</v>
      </c>
    </row>
    <row r="7" spans="1:13">
      <c r="A7" s="198" t="s">
        <v>137</v>
      </c>
      <c r="B7" s="194">
        <v>504.06675020144127</v>
      </c>
      <c r="C7" s="194">
        <f t="shared" si="0"/>
        <v>558.1180636890922</v>
      </c>
      <c r="D7" s="194">
        <f>结构调整!E8</f>
        <v>658.88284908867092</v>
      </c>
      <c r="E7" s="194">
        <f t="shared" si="1"/>
        <v>100.76478539957873</v>
      </c>
      <c r="F7" s="195">
        <f>结构调整!D8</f>
        <v>1.54329434312195E-2</v>
      </c>
      <c r="G7" s="195">
        <f>三因素分析!O5</f>
        <v>1.5162680071020215E-2</v>
      </c>
      <c r="H7" s="194">
        <f>三因素分析!AF5</f>
        <v>-0.17807189277238267</v>
      </c>
      <c r="I7" s="196">
        <f>三因素分析!AJ5</f>
        <v>-0.29710248730882827</v>
      </c>
      <c r="J7" s="197">
        <f t="shared" si="2"/>
        <v>0.83417086343802793</v>
      </c>
      <c r="K7" s="207">
        <f t="shared" si="4"/>
        <v>-2.7026336019928508E-4</v>
      </c>
      <c r="L7" s="207">
        <f t="shared" si="3"/>
        <v>-2.7026336019928508E-4</v>
      </c>
    </row>
    <row r="8" spans="1:13">
      <c r="A8" s="192" t="s">
        <v>160</v>
      </c>
      <c r="B8" s="194" t="e">
        <f>SUM(B9:B12)</f>
        <v>#REF!</v>
      </c>
      <c r="C8" s="194" t="e">
        <f t="shared" ref="C8" si="5">SUM(C9:C12)</f>
        <v>#REF!</v>
      </c>
      <c r="D8" s="194">
        <f>结构调整!E9</f>
        <v>5591.1211965240627</v>
      </c>
      <c r="E8" s="194" t="e">
        <f t="shared" si="1"/>
        <v>#REF!</v>
      </c>
      <c r="F8" s="195">
        <f>结构调整!D9</f>
        <v>2.4229586764397872E-2</v>
      </c>
      <c r="G8" s="195">
        <f>三因素分析!O19</f>
        <v>2.4267617141391987E-2</v>
      </c>
      <c r="H8" s="194">
        <f>三因素分析!AF19</f>
        <v>2.4725528470705318</v>
      </c>
      <c r="I8" s="196">
        <f>三因素分析!AJ19</f>
        <v>-4.1253091065088618</v>
      </c>
      <c r="J8" s="197" t="e">
        <f t="shared" si="2"/>
        <v>#REF!</v>
      </c>
      <c r="K8" s="207">
        <f t="shared" si="4"/>
        <v>3.8030376994114407E-5</v>
      </c>
      <c r="L8" s="207">
        <f t="shared" si="3"/>
        <v>3.8030376994114407E-5</v>
      </c>
    </row>
    <row r="9" spans="1:13" ht="34.5">
      <c r="A9" s="198" t="s">
        <v>150</v>
      </c>
      <c r="B9" s="194">
        <f>等比增长!B10</f>
        <v>3551.3950394711728</v>
      </c>
      <c r="C9" s="194">
        <f t="shared" si="0"/>
        <v>3932.2127913269192</v>
      </c>
      <c r="D9" s="194">
        <f>结构调整!E10</f>
        <v>3919.8902196483955</v>
      </c>
      <c r="E9" s="194">
        <f t="shared" si="1"/>
        <v>-12.322571678523673</v>
      </c>
      <c r="F9" s="195">
        <f>结构调整!D10</f>
        <v>2.1424558508635033E-2</v>
      </c>
      <c r="G9" s="195">
        <f>三因素分析!O24</f>
        <v>1.8962268674246014E-2</v>
      </c>
      <c r="H9" s="194">
        <f>三因素分析!AF24</f>
        <v>-7.1294887776846743</v>
      </c>
      <c r="I9" s="196">
        <f>三因素分析!AJ24</f>
        <v>11.895133005622807</v>
      </c>
      <c r="J9" s="197">
        <f t="shared" si="2"/>
        <v>8.1588522057602848</v>
      </c>
      <c r="K9" s="207">
        <f t="shared" si="4"/>
        <v>-2.4622898343890191E-3</v>
      </c>
      <c r="L9" s="207">
        <f t="shared" si="3"/>
        <v>-2.4622898343890191E-3</v>
      </c>
      <c r="M9" s="279">
        <f>D9/D8</f>
        <v>0.70109197813228363</v>
      </c>
    </row>
    <row r="10" spans="1:13">
      <c r="A10" s="198" t="s">
        <v>140</v>
      </c>
      <c r="B10" s="194">
        <f>等比增长!B13</f>
        <v>1402.8548728877113</v>
      </c>
      <c r="C10" s="194">
        <f t="shared" si="0"/>
        <v>1553.2836573330844</v>
      </c>
      <c r="D10" s="194">
        <f>结构调整!E13</f>
        <v>1595.472637775428</v>
      </c>
      <c r="E10" s="194">
        <f t="shared" si="1"/>
        <v>42.188980442343563</v>
      </c>
      <c r="F10" s="195">
        <f>结构调整!D13</f>
        <v>2.9303534916865846E-2</v>
      </c>
      <c r="G10" s="195">
        <f>三因素分析!O20</f>
        <v>3.5545036399945912E-2</v>
      </c>
      <c r="H10" s="194">
        <f>三因素分析!AF20</f>
        <v>9.6323848923732456</v>
      </c>
      <c r="I10" s="196">
        <f>三因素分析!AJ20</f>
        <v>-16.071068070793885</v>
      </c>
      <c r="J10" s="197">
        <f t="shared" si="2"/>
        <v>4.4080951374966766</v>
      </c>
      <c r="K10" s="207">
        <f t="shared" si="4"/>
        <v>6.2415014830800655E-3</v>
      </c>
      <c r="L10" s="207">
        <f t="shared" si="3"/>
        <v>6.2415014830800655E-3</v>
      </c>
      <c r="M10" s="279">
        <f>D10/D8</f>
        <v>0.28535826387868596</v>
      </c>
    </row>
    <row r="11" spans="1:13">
      <c r="A11" s="198" t="s">
        <v>149</v>
      </c>
      <c r="B11" s="194" t="e">
        <f>等比增长!B14</f>
        <v>#REF!</v>
      </c>
      <c r="C11" s="194" t="e">
        <f t="shared" si="0"/>
        <v>#REF!</v>
      </c>
      <c r="D11" s="194" t="e">
        <f>结构调整!E14</f>
        <v>#REF!</v>
      </c>
      <c r="E11" s="194" t="e">
        <f t="shared" si="1"/>
        <v>#REF!</v>
      </c>
      <c r="F11" s="195" t="e">
        <f>结构调整!D14</f>
        <v>#REF!</v>
      </c>
      <c r="G11" s="195" t="e">
        <f>三因素分析!#REF!</f>
        <v>#REF!</v>
      </c>
      <c r="H11" s="194" t="e">
        <f>三因素分析!#REF!</f>
        <v>#REF!</v>
      </c>
      <c r="I11" s="196" t="e">
        <f>三因素分析!#REF!</f>
        <v>#REF!</v>
      </c>
      <c r="J11" s="197" t="e">
        <f t="shared" si="2"/>
        <v>#REF!</v>
      </c>
      <c r="K11" s="207" t="e">
        <f t="shared" si="4"/>
        <v>#REF!</v>
      </c>
      <c r="L11" s="207" t="e">
        <f t="shared" si="3"/>
        <v>#REF!</v>
      </c>
      <c r="M11" s="279" t="e">
        <f>D11/D8</f>
        <v>#REF!</v>
      </c>
    </row>
    <row r="12" spans="1:13">
      <c r="A12" s="198" t="s">
        <v>141</v>
      </c>
      <c r="B12" s="194">
        <f>等比增长!B15</f>
        <v>75.944115137841905</v>
      </c>
      <c r="C12" s="194">
        <f t="shared" si="0"/>
        <v>84.08763813993896</v>
      </c>
      <c r="D12" s="194">
        <f>结构调整!E15</f>
        <v>75.758339100238601</v>
      </c>
      <c r="E12" s="194">
        <f t="shared" si="1"/>
        <v>-8.3292990397003592</v>
      </c>
      <c r="F12" s="195">
        <f>结构调整!D15</f>
        <v>6.1674891610755019E-2</v>
      </c>
      <c r="G12" s="195">
        <f>三因素分析!O34</f>
        <v>6.127436451395725E-2</v>
      </c>
      <c r="H12" s="194">
        <f>三因素分析!AF34</f>
        <v>-3.034326761803947E-2</v>
      </c>
      <c r="I12" s="196">
        <f>三因素分析!AJ34</f>
        <v>5.0625958662214574E-2</v>
      </c>
      <c r="J12" s="197">
        <f t="shared" si="2"/>
        <v>0.50225089848402615</v>
      </c>
      <c r="K12" s="207">
        <f t="shared" si="4"/>
        <v>-4.0052709679776893E-4</v>
      </c>
      <c r="L12" s="207">
        <f t="shared" si="3"/>
        <v>-4.0052709679776893E-4</v>
      </c>
    </row>
    <row r="13" spans="1:13">
      <c r="A13" s="199" t="s">
        <v>161</v>
      </c>
      <c r="B13" s="199"/>
      <c r="C13" s="200" t="e">
        <f>C2-C8</f>
        <v>#REF!</v>
      </c>
      <c r="D13" s="200">
        <f>D2-D8</f>
        <v>402.49718026464416</v>
      </c>
      <c r="E13" s="200" t="e">
        <f>E2-E8</f>
        <v>#REF!</v>
      </c>
      <c r="F13" s="199"/>
      <c r="G13" s="199"/>
      <c r="H13" s="200" t="e">
        <f>H2-H8</f>
        <v>#REF!</v>
      </c>
      <c r="I13" s="201" t="e">
        <f>I2+I8</f>
        <v>#REF!</v>
      </c>
      <c r="K13" s="207">
        <f t="shared" si="4"/>
        <v>0</v>
      </c>
      <c r="L13" s="207">
        <f t="shared" si="3"/>
        <v>0</v>
      </c>
    </row>
    <row r="14" spans="1:13">
      <c r="H14" s="204" t="e">
        <f>H4+H5-H10</f>
        <v>#REF!</v>
      </c>
      <c r="I14" s="208" t="e">
        <f>I4+I5-I10</f>
        <v>#REF!</v>
      </c>
    </row>
    <row r="15" spans="1:13">
      <c r="H15" s="204">
        <f>H3-H9</f>
        <v>-1.8879025792787001</v>
      </c>
      <c r="I15" s="208">
        <f>I3-I9</f>
        <v>-26.940120507471001</v>
      </c>
    </row>
    <row r="16" spans="1:13">
      <c r="F16" s="207" t="e">
        <f>F4-F10</f>
        <v>#REF!</v>
      </c>
      <c r="G16" s="207" t="e">
        <f>G4-G10</f>
        <v>#REF!</v>
      </c>
    </row>
    <row r="17" spans="6:12">
      <c r="F17" s="207" t="e">
        <f>F6-F11</f>
        <v>#REF!</v>
      </c>
      <c r="G17" s="207" t="e">
        <f>G6-G11</f>
        <v>#REF!</v>
      </c>
      <c r="H17" s="204" t="e">
        <f>H6-H11</f>
        <v>#REF!</v>
      </c>
      <c r="I17" s="208" t="e">
        <f>I6+I11</f>
        <v>#REF!</v>
      </c>
      <c r="J17" s="204" t="e">
        <f t="shared" ref="J17" si="6">J6-J11</f>
        <v>#REF!</v>
      </c>
      <c r="L17" s="207" t="e">
        <f t="shared" ref="L17" si="7">G17-F17</f>
        <v>#REF!</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10" sqref="I10"/>
    </sheetView>
  </sheetViews>
  <sheetFormatPr defaultColWidth="9" defaultRowHeight="20.25"/>
  <cols>
    <col min="1" max="1" width="32.25" style="237" customWidth="1"/>
    <col min="2" max="2" width="11.375" style="237" bestFit="1" customWidth="1"/>
    <col min="3" max="3" width="14" style="237" bestFit="1" customWidth="1"/>
    <col min="4" max="4" width="11.375" style="237" bestFit="1" customWidth="1"/>
    <col min="5" max="5" width="14.125" style="237" customWidth="1"/>
    <col min="6" max="6" width="11.375" style="237" bestFit="1" customWidth="1"/>
    <col min="7" max="7" width="16.625" style="237" customWidth="1"/>
    <col min="8" max="9" width="14.375" style="237" customWidth="1"/>
    <col min="10" max="16384" width="9" style="237"/>
  </cols>
  <sheetData>
    <row r="1" spans="1:9">
      <c r="A1" s="914" t="s">
        <v>200</v>
      </c>
      <c r="B1" s="914" t="s">
        <v>201</v>
      </c>
      <c r="C1" s="914"/>
      <c r="D1" s="913" t="s">
        <v>202</v>
      </c>
      <c r="E1" s="913"/>
      <c r="F1" s="913" t="s">
        <v>203</v>
      </c>
      <c r="G1" s="913"/>
      <c r="H1" s="915" t="s">
        <v>199</v>
      </c>
      <c r="I1" s="915"/>
    </row>
    <row r="2" spans="1:9">
      <c r="A2" s="914"/>
      <c r="B2" s="227" t="s">
        <v>204</v>
      </c>
      <c r="C2" s="227" t="s">
        <v>162</v>
      </c>
      <c r="D2" s="227" t="s">
        <v>204</v>
      </c>
      <c r="E2" s="227" t="s">
        <v>162</v>
      </c>
      <c r="F2" s="227" t="s">
        <v>204</v>
      </c>
      <c r="G2" s="227" t="s">
        <v>162</v>
      </c>
      <c r="H2" s="227" t="s">
        <v>204</v>
      </c>
      <c r="I2" s="227" t="s">
        <v>162</v>
      </c>
    </row>
    <row r="3" spans="1:9">
      <c r="A3" s="231" t="s">
        <v>132</v>
      </c>
      <c r="B3" s="229">
        <f>等比增长!E3</f>
        <v>24.78039087716342</v>
      </c>
      <c r="C3" s="230">
        <v>0</v>
      </c>
      <c r="D3" s="232" t="e">
        <f>结构调整!G3</f>
        <v>#REF!</v>
      </c>
      <c r="E3" s="233" t="e">
        <f>结构调整!H3</f>
        <v>#REF!</v>
      </c>
      <c r="F3" s="232" t="e">
        <f>利率变动!H2</f>
        <v>#REF!</v>
      </c>
      <c r="G3" s="233" t="e">
        <f>利率变动!I2</f>
        <v>#REF!</v>
      </c>
      <c r="H3" s="238" t="e">
        <f>B3+D3+F3</f>
        <v>#REF!</v>
      </c>
      <c r="I3" s="239" t="e">
        <f>C3+E3+G3</f>
        <v>#REF!</v>
      </c>
    </row>
    <row r="4" spans="1:9">
      <c r="A4" s="234" t="s">
        <v>133</v>
      </c>
      <c r="B4" s="229">
        <f>等比增长!E4</f>
        <v>12.887056992206885</v>
      </c>
      <c r="C4" s="230">
        <v>0</v>
      </c>
      <c r="D4" s="232">
        <f>结构调整!G4</f>
        <v>-2.3463807413454925</v>
      </c>
      <c r="E4" s="233">
        <f>结构调整!H4</f>
        <v>-3.9147983635932606</v>
      </c>
      <c r="F4" s="232">
        <f>利率变动!H3</f>
        <v>-9.0173913569633743</v>
      </c>
      <c r="G4" s="233">
        <f>利率变动!I3</f>
        <v>-15.044987501848192</v>
      </c>
      <c r="H4" s="238">
        <f t="shared" ref="H4:H15" si="0">B4+D4+F4</f>
        <v>1.5232848938980172</v>
      </c>
      <c r="I4" s="239">
        <f t="shared" ref="I4:I15" si="1">C4+E4+G4</f>
        <v>-18.959785865441454</v>
      </c>
    </row>
    <row r="5" spans="1:9">
      <c r="A5" s="234" t="s">
        <v>134</v>
      </c>
      <c r="B5" s="229" t="e">
        <f>等比增长!E5</f>
        <v>#REF!</v>
      </c>
      <c r="C5" s="230">
        <v>0</v>
      </c>
      <c r="D5" s="232" t="e">
        <f>结构调整!G5</f>
        <v>#REF!</v>
      </c>
      <c r="E5" s="233" t="e">
        <f>结构调整!H5</f>
        <v>#REF!</v>
      </c>
      <c r="F5" s="232" t="e">
        <f>利率变动!H4</f>
        <v>#REF!</v>
      </c>
      <c r="G5" s="233" t="e">
        <f>利率变动!I4</f>
        <v>#REF!</v>
      </c>
      <c r="H5" s="238" t="e">
        <f t="shared" si="0"/>
        <v>#REF!</v>
      </c>
      <c r="I5" s="239" t="e">
        <f t="shared" si="1"/>
        <v>#REF!</v>
      </c>
    </row>
    <row r="6" spans="1:9">
      <c r="A6" s="234" t="s">
        <v>135</v>
      </c>
      <c r="B6" s="229">
        <f>等比增长!E6</f>
        <v>3.5318463356209655</v>
      </c>
      <c r="C6" s="230">
        <v>0</v>
      </c>
      <c r="D6" s="232">
        <f>结构调整!G6</f>
        <v>2.6528317364659593</v>
      </c>
      <c r="E6" s="233">
        <f>结构调整!H6</f>
        <v>4.4260938379718926</v>
      </c>
      <c r="F6" s="232">
        <f>利率变动!H5</f>
        <v>-2.3544256477057148</v>
      </c>
      <c r="G6" s="233">
        <f>利率变动!I5</f>
        <v>-3.928220817033703</v>
      </c>
      <c r="H6" s="238">
        <f t="shared" si="0"/>
        <v>3.8302524243812099</v>
      </c>
      <c r="I6" s="239">
        <f t="shared" si="1"/>
        <v>0.49787302093818964</v>
      </c>
    </row>
    <row r="7" spans="1:9">
      <c r="A7" s="234" t="s">
        <v>136</v>
      </c>
      <c r="B7" s="229">
        <f>等比增长!E7</f>
        <v>2.4110088869341868</v>
      </c>
      <c r="C7" s="230">
        <v>0</v>
      </c>
      <c r="D7" s="232">
        <f>结构调整!G7</f>
        <v>-1.63354635833535</v>
      </c>
      <c r="E7" s="233">
        <f>结构调整!H7</f>
        <v>-2.7254760908060685</v>
      </c>
      <c r="F7" s="232">
        <f>利率变动!H6</f>
        <v>-7.7701363355901245</v>
      </c>
      <c r="G7" s="233">
        <f>利率变动!I6</f>
        <v>-12.964015803343905</v>
      </c>
      <c r="H7" s="238">
        <f t="shared" si="0"/>
        <v>-6.9926738069912879</v>
      </c>
      <c r="I7" s="239">
        <f t="shared" si="1"/>
        <v>-15.689491894149974</v>
      </c>
    </row>
    <row r="8" spans="1:9">
      <c r="A8" s="234" t="s">
        <v>137</v>
      </c>
      <c r="B8" s="229">
        <f>等比增长!E8</f>
        <v>0.92686712757255152</v>
      </c>
      <c r="C8" s="230">
        <v>0</v>
      </c>
      <c r="D8" s="232">
        <f>结构调整!G8</f>
        <v>0.59794270491364221</v>
      </c>
      <c r="E8" s="233">
        <f>结构调整!H8</f>
        <v>0.99763226038760777</v>
      </c>
      <c r="F8" s="232">
        <f>利率变动!H7</f>
        <v>-0.17807189277238267</v>
      </c>
      <c r="G8" s="233">
        <f>利率变动!I7</f>
        <v>-0.29710248730882827</v>
      </c>
      <c r="H8" s="238">
        <f t="shared" si="0"/>
        <v>1.3467379397138108</v>
      </c>
      <c r="I8" s="239">
        <f t="shared" si="1"/>
        <v>0.70052977307877951</v>
      </c>
    </row>
    <row r="9" spans="1:9">
      <c r="A9" s="231" t="s">
        <v>205</v>
      </c>
      <c r="B9" s="229">
        <f>等比增长!E9</f>
        <v>13.069198241740986</v>
      </c>
      <c r="C9" s="230">
        <v>0</v>
      </c>
      <c r="D9" s="232" t="e">
        <f>结构调整!G9</f>
        <v>#REF!</v>
      </c>
      <c r="E9" s="233" t="e">
        <f>结构调整!H9</f>
        <v>#REF!</v>
      </c>
      <c r="F9" s="232">
        <f>利率变动!H8</f>
        <v>2.4725528470705318</v>
      </c>
      <c r="G9" s="233">
        <f>利率变动!I8</f>
        <v>-4.1253091065088618</v>
      </c>
      <c r="H9" s="238" t="e">
        <f t="shared" si="0"/>
        <v>#REF!</v>
      </c>
      <c r="I9" s="239" t="e">
        <f t="shared" si="1"/>
        <v>#REF!</v>
      </c>
    </row>
    <row r="10" spans="1:9">
      <c r="A10" s="234" t="s">
        <v>150</v>
      </c>
      <c r="B10" s="229">
        <f>等比增长!E10</f>
        <v>8.1588522057602848</v>
      </c>
      <c r="C10" s="230">
        <v>0</v>
      </c>
      <c r="D10" s="232">
        <f>结构调整!G10</f>
        <v>-2.7864227199799085</v>
      </c>
      <c r="E10" s="233">
        <f>结构调整!H10</f>
        <v>4.6489825424501472</v>
      </c>
      <c r="F10" s="232">
        <f>利率变动!H9</f>
        <v>-7.1294887776846743</v>
      </c>
      <c r="G10" s="233">
        <f>利率变动!I9</f>
        <v>11.895133005622807</v>
      </c>
      <c r="H10" s="238">
        <f t="shared" si="0"/>
        <v>-1.757059291904298</v>
      </c>
      <c r="I10" s="239">
        <f t="shared" si="1"/>
        <v>16.544115548072952</v>
      </c>
    </row>
    <row r="11" spans="1:9">
      <c r="A11" s="235" t="s">
        <v>206</v>
      </c>
      <c r="B11" s="230">
        <f>三因素分析!Y32</f>
        <v>0.55895273772955423</v>
      </c>
      <c r="C11" s="230">
        <v>0</v>
      </c>
      <c r="D11" s="232">
        <f>结构调整!G11</f>
        <v>0.5546824709343261</v>
      </c>
      <c r="E11" s="233">
        <f>结构调整!H11</f>
        <v>-0.92545510251774976</v>
      </c>
      <c r="F11" s="236">
        <f>三因素分析!AH32</f>
        <v>-0.45007597562273927</v>
      </c>
      <c r="G11" s="233">
        <f>三因素分析!AJ32</f>
        <v>0.75092531310590949</v>
      </c>
      <c r="H11" s="238">
        <f t="shared" si="0"/>
        <v>0.66355923304114106</v>
      </c>
      <c r="I11" s="239">
        <f t="shared" si="1"/>
        <v>-0.17452978941184027</v>
      </c>
    </row>
    <row r="12" spans="1:9">
      <c r="A12" s="235" t="s">
        <v>207</v>
      </c>
      <c r="B12" s="230">
        <f>三因素分析!Y33</f>
        <v>7.5998994680307383</v>
      </c>
      <c r="C12" s="230">
        <v>0</v>
      </c>
      <c r="D12" s="232">
        <f>结构调整!G12</f>
        <v>-3.3411051909142344</v>
      </c>
      <c r="E12" s="233">
        <f>结构调整!H12</f>
        <v>5.5744376449678956</v>
      </c>
      <c r="F12" s="236">
        <f>三因素分析!AH33</f>
        <v>-4.5383516078237811</v>
      </c>
      <c r="G12" s="233">
        <f>三因素分析!AJ33</f>
        <v>7.5719729260696829</v>
      </c>
      <c r="H12" s="238">
        <f t="shared" si="0"/>
        <v>-0.27955733070727717</v>
      </c>
      <c r="I12" s="239">
        <f t="shared" si="1"/>
        <v>13.146410571037578</v>
      </c>
    </row>
    <row r="13" spans="1:9">
      <c r="A13" s="234" t="s">
        <v>140</v>
      </c>
      <c r="B13" s="228">
        <f>等比增长!E13</f>
        <v>4.4080951374966766</v>
      </c>
      <c r="C13" s="230">
        <v>0</v>
      </c>
      <c r="D13" s="232">
        <f>结构调整!G13</f>
        <v>1.5620462040149299</v>
      </c>
      <c r="E13" s="233">
        <f>结构调整!H13</f>
        <v>-2.6061822855859758</v>
      </c>
      <c r="F13" s="232">
        <f>利率变动!H10</f>
        <v>9.6323848923732456</v>
      </c>
      <c r="G13" s="233">
        <f>利率变动!I10</f>
        <v>-16.071068070793885</v>
      </c>
      <c r="H13" s="238">
        <f t="shared" si="0"/>
        <v>15.602526233884852</v>
      </c>
      <c r="I13" s="239">
        <f t="shared" si="1"/>
        <v>-18.677250356379862</v>
      </c>
    </row>
    <row r="14" spans="1:9">
      <c r="A14" s="234" t="s">
        <v>192</v>
      </c>
      <c r="B14" s="228" t="e">
        <f>等比增长!E14</f>
        <v>#REF!</v>
      </c>
      <c r="C14" s="230">
        <v>0</v>
      </c>
      <c r="D14" s="232" t="e">
        <f>结构调整!G14</f>
        <v>#REF!</v>
      </c>
      <c r="E14" s="233" t="e">
        <f>结构调整!H14</f>
        <v>#REF!</v>
      </c>
      <c r="F14" s="232" t="e">
        <f>利率变动!H11</f>
        <v>#REF!</v>
      </c>
      <c r="G14" s="233" t="e">
        <f>利率变动!I11</f>
        <v>#REF!</v>
      </c>
      <c r="H14" s="238" t="e">
        <f t="shared" si="0"/>
        <v>#REF!</v>
      </c>
      <c r="I14" s="239" t="e">
        <f t="shared" si="1"/>
        <v>#REF!</v>
      </c>
    </row>
    <row r="15" spans="1:9">
      <c r="A15" s="234" t="s">
        <v>141</v>
      </c>
      <c r="B15" s="228">
        <f>等比增长!E15</f>
        <v>0.2207654030554802</v>
      </c>
      <c r="C15" s="230">
        <v>0</v>
      </c>
      <c r="D15" s="232">
        <f>结构调整!G15</f>
        <v>-0.51370861546708579</v>
      </c>
      <c r="E15" s="233">
        <f>结构调整!H15</f>
        <v>0.85709263281844683</v>
      </c>
      <c r="F15" s="232">
        <f>利率变动!H12</f>
        <v>-3.034326761803947E-2</v>
      </c>
      <c r="G15" s="233">
        <f>利率变动!I12</f>
        <v>5.0625958662214574E-2</v>
      </c>
      <c r="H15" s="238">
        <f t="shared" si="0"/>
        <v>-0.32328648002964505</v>
      </c>
      <c r="I15" s="239">
        <f t="shared" si="1"/>
        <v>0.90771859148066136</v>
      </c>
    </row>
    <row r="16" spans="1:9">
      <c r="A16" s="231" t="s">
        <v>211</v>
      </c>
      <c r="B16" s="238">
        <f>B3-B9</f>
        <v>11.711192635422433</v>
      </c>
      <c r="C16" s="230">
        <v>0</v>
      </c>
      <c r="D16" s="238" t="e">
        <f>D3-D9</f>
        <v>#REF!</v>
      </c>
      <c r="E16" s="239" t="e">
        <f>E3+E9</f>
        <v>#REF!</v>
      </c>
      <c r="F16" s="238" t="e">
        <f t="shared" ref="F16:H16" si="2">F3-F9</f>
        <v>#REF!</v>
      </c>
      <c r="G16" s="239" t="e">
        <f>G3+G9</f>
        <v>#REF!</v>
      </c>
      <c r="H16" s="238" t="e">
        <f t="shared" si="2"/>
        <v>#REF!</v>
      </c>
      <c r="I16" s="239" t="e">
        <f>I3+I9</f>
        <v>#REF!</v>
      </c>
    </row>
    <row r="18" spans="2:2">
      <c r="B18" s="238"/>
    </row>
  </sheetData>
  <mergeCells count="5">
    <mergeCell ref="D1:E1"/>
    <mergeCell ref="F1:G1"/>
    <mergeCell ref="A1:A2"/>
    <mergeCell ref="B1:C1"/>
    <mergeCell ref="H1:I1"/>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G22" sqref="G22"/>
    </sheetView>
  </sheetViews>
  <sheetFormatPr defaultColWidth="9" defaultRowHeight="13.5"/>
  <cols>
    <col min="1" max="1" width="23.25" style="242" customWidth="1"/>
    <col min="2" max="2" width="17.625" style="242" bestFit="1" customWidth="1"/>
    <col min="3" max="3" width="14" style="242" bestFit="1" customWidth="1"/>
    <col min="4" max="6" width="14.625" style="242" bestFit="1" customWidth="1"/>
    <col min="7" max="7" width="15.375" style="242" bestFit="1" customWidth="1"/>
    <col min="8" max="9" width="16.25" style="242" customWidth="1"/>
    <col min="10" max="16384" width="9" style="242"/>
  </cols>
  <sheetData>
    <row r="1" spans="1:9" ht="20.25">
      <c r="A1" s="913" t="s">
        <v>173</v>
      </c>
      <c r="B1" s="913" t="s">
        <v>198</v>
      </c>
      <c r="C1" s="913"/>
      <c r="D1" s="913" t="s">
        <v>174</v>
      </c>
      <c r="E1" s="913"/>
      <c r="F1" s="913" t="s">
        <v>175</v>
      </c>
      <c r="G1" s="913"/>
      <c r="H1" s="915" t="s">
        <v>199</v>
      </c>
      <c r="I1" s="915"/>
    </row>
    <row r="2" spans="1:9" ht="20.25">
      <c r="A2" s="913"/>
      <c r="B2" s="240" t="s">
        <v>176</v>
      </c>
      <c r="C2" s="240" t="s">
        <v>162</v>
      </c>
      <c r="D2" s="240" t="s">
        <v>176</v>
      </c>
      <c r="E2" s="240" t="s">
        <v>162</v>
      </c>
      <c r="F2" s="240" t="s">
        <v>176</v>
      </c>
      <c r="G2" s="240" t="s">
        <v>162</v>
      </c>
      <c r="H2" s="240" t="s">
        <v>204</v>
      </c>
      <c r="I2" s="240" t="s">
        <v>162</v>
      </c>
    </row>
    <row r="3" spans="1:9" ht="20.25">
      <c r="A3" s="243" t="s">
        <v>134</v>
      </c>
      <c r="B3" s="243"/>
      <c r="C3" s="243"/>
      <c r="D3" s="244"/>
      <c r="E3" s="244"/>
      <c r="F3" s="244"/>
      <c r="G3" s="244"/>
    </row>
    <row r="4" spans="1:9" ht="20.25">
      <c r="A4" s="245" t="s">
        <v>208</v>
      </c>
      <c r="B4" s="246">
        <f>三因素分析!Y7</f>
        <v>0.60255312565130914</v>
      </c>
      <c r="C4" s="247">
        <v>0</v>
      </c>
      <c r="D4" s="248">
        <f>三因素分析!AB7</f>
        <v>-1.5992664574297468</v>
      </c>
      <c r="E4" s="249">
        <f>三因素分析!AD7</f>
        <v>-2.6682820908704743</v>
      </c>
      <c r="F4" s="248">
        <f>三因素分析!AH7</f>
        <v>-0.99281488362776149</v>
      </c>
      <c r="G4" s="249">
        <f>三因素分析!AJ7</f>
        <v>-1.656453282832627</v>
      </c>
      <c r="H4" s="250">
        <f>B4+D4+F4</f>
        <v>-1.9895282154061991</v>
      </c>
      <c r="I4" s="251">
        <f>C4+E4+G4</f>
        <v>-4.3247353737031009</v>
      </c>
    </row>
    <row r="5" spans="1:9" ht="20.25">
      <c r="A5" s="245" t="s">
        <v>163</v>
      </c>
      <c r="B5" s="247">
        <f>三因素分析!Y8</f>
        <v>0.80183158206085947</v>
      </c>
      <c r="C5" s="247">
        <v>0</v>
      </c>
      <c r="D5" s="250">
        <f>三因素分析!AB8</f>
        <v>-0.22147384685290883</v>
      </c>
      <c r="E5" s="251">
        <f>三因素分析!AD8</f>
        <v>-0.36951609683826964</v>
      </c>
      <c r="F5" s="250">
        <f>三因素分析!AF8</f>
        <v>2.5464100351096013</v>
      </c>
      <c r="G5" s="251">
        <f>三因素分析!AJ8</f>
        <v>4.2485354839590741</v>
      </c>
      <c r="H5" s="250">
        <f t="shared" ref="H5:H6" si="0">B5+D5+F5</f>
        <v>3.126767770317552</v>
      </c>
      <c r="I5" s="251">
        <f t="shared" ref="I5:I6" si="1">C5+E5+G5</f>
        <v>3.8790193871208043</v>
      </c>
    </row>
    <row r="6" spans="1:9" ht="20.25">
      <c r="A6" s="245" t="s">
        <v>164</v>
      </c>
      <c r="B6" s="247">
        <f>三因素分析!Y9</f>
        <v>3.619226827116671</v>
      </c>
      <c r="C6" s="247">
        <v>0</v>
      </c>
      <c r="D6" s="250">
        <f>三因素分析!AB9</f>
        <v>0.53290571037345646</v>
      </c>
      <c r="E6" s="251">
        <f>三因素分析!AD9</f>
        <v>0.88912185740290584</v>
      </c>
      <c r="F6" s="250">
        <f>三因素分析!AF9</f>
        <v>3.310578020990917</v>
      </c>
      <c r="G6" s="251">
        <f>三因素分析!AJ9</f>
        <v>5.5235048561177775</v>
      </c>
      <c r="H6" s="250">
        <f t="shared" si="0"/>
        <v>7.462710558481044</v>
      </c>
      <c r="I6" s="251">
        <f t="shared" si="1"/>
        <v>6.4126267135206838</v>
      </c>
    </row>
    <row r="7" spans="1:9" ht="20.25">
      <c r="A7" s="243" t="s">
        <v>165</v>
      </c>
      <c r="B7" s="246"/>
      <c r="C7" s="243"/>
      <c r="D7" s="250"/>
      <c r="E7" s="251"/>
      <c r="F7" s="250"/>
      <c r="G7" s="251"/>
      <c r="H7" s="250"/>
      <c r="I7" s="251"/>
    </row>
    <row r="8" spans="1:9" ht="20.25">
      <c r="A8" s="245" t="s">
        <v>166</v>
      </c>
      <c r="B8" s="247">
        <f>三因素分析!Y13</f>
        <v>7.9735730455991769</v>
      </c>
      <c r="C8" s="247">
        <v>0</v>
      </c>
      <c r="D8" s="250">
        <f>三因素分析!AB13</f>
        <v>2.5065688970657956</v>
      </c>
      <c r="E8" s="251">
        <f>三因素分析!AD13</f>
        <v>4.1820628867078096</v>
      </c>
      <c r="F8" s="250">
        <f>三因素分析!AH13</f>
        <v>-4.0568549579994855</v>
      </c>
      <c r="G8" s="251">
        <f>三因素分析!AJ13</f>
        <v>-6.7686240647391518</v>
      </c>
      <c r="H8" s="250">
        <f>B8+D8+F8</f>
        <v>6.4232869846654861</v>
      </c>
      <c r="I8" s="251">
        <f>C8+E8+G8</f>
        <v>-2.5865611780313422</v>
      </c>
    </row>
    <row r="9" spans="1:9" ht="20.25">
      <c r="A9" s="245" t="s">
        <v>168</v>
      </c>
      <c r="B9" s="247">
        <f>三因素分析!Y14</f>
        <v>1.9698083206650956</v>
      </c>
      <c r="C9" s="247">
        <v>0</v>
      </c>
      <c r="D9" s="250">
        <f>三因素分析!AB14</f>
        <v>3.9165339086130917</v>
      </c>
      <c r="E9" s="251">
        <f>三因素分析!AD14</f>
        <v>6.5345066408974697</v>
      </c>
      <c r="F9" s="250">
        <f>三因素分析!AH14</f>
        <v>-1.9505211709394834</v>
      </c>
      <c r="G9" s="251">
        <f>三因素分析!AJ14</f>
        <v>-3.2543299361420872</v>
      </c>
      <c r="H9" s="250">
        <f t="shared" ref="H9:H10" si="2">B9+D9+F9</f>
        <v>3.9358210583387043</v>
      </c>
      <c r="I9" s="251">
        <f t="shared" ref="I9:I10" si="3">C9+E9+G9</f>
        <v>3.2801767047553825</v>
      </c>
    </row>
    <row r="10" spans="1:9" ht="20.25">
      <c r="A10" s="245" t="s">
        <v>167</v>
      </c>
      <c r="B10" s="247">
        <f>三因素分析!Y16</f>
        <v>1.7791960141213272</v>
      </c>
      <c r="C10" s="247">
        <v>0</v>
      </c>
      <c r="D10" s="250">
        <f>三因素分析!AB16</f>
        <v>-5.5516787160610406</v>
      </c>
      <c r="E10" s="251">
        <f>三因素分析!AD16</f>
        <v>-9.2626496501025954</v>
      </c>
      <c r="F10" s="250">
        <f>三因素分析!AH16</f>
        <v>-1.6293596898894294</v>
      </c>
      <c r="G10" s="251">
        <f>三因素分析!AJ16</f>
        <v>-2.7184908805662342</v>
      </c>
      <c r="H10" s="250">
        <f t="shared" si="2"/>
        <v>-5.4018423918291427</v>
      </c>
      <c r="I10" s="251">
        <f t="shared" si="3"/>
        <v>-11.98114053066883</v>
      </c>
    </row>
    <row r="11" spans="1:9" ht="20.25">
      <c r="A11" s="245" t="s">
        <v>209</v>
      </c>
      <c r="B11" s="247">
        <f>三因素分析!Y15</f>
        <v>0.18641836224327277</v>
      </c>
      <c r="C11" s="247">
        <v>0</v>
      </c>
      <c r="D11" s="250">
        <f>三因素分析!AB15</f>
        <v>0.61837117350387949</v>
      </c>
      <c r="E11" s="251">
        <f>三因素分析!AD15</f>
        <v>1.0317159595923318</v>
      </c>
      <c r="F11" s="250">
        <f>三因素分析!AH15</f>
        <v>-0.54233255055237939</v>
      </c>
      <c r="G11" s="251">
        <f>三因素分析!AJ15</f>
        <v>-0.90484998619974399</v>
      </c>
      <c r="H11" s="250">
        <f t="shared" ref="H11:H12" si="4">B11+D11+F11</f>
        <v>0.2624569851947729</v>
      </c>
      <c r="I11" s="251">
        <f t="shared" ref="I11:I12" si="5">C11+E11+G11</f>
        <v>0.12686597339258776</v>
      </c>
    </row>
    <row r="12" spans="1:9" ht="20.25">
      <c r="A12" s="245" t="s">
        <v>210</v>
      </c>
      <c r="B12" s="247">
        <f>三因素分析!Y17</f>
        <v>0.97806124957802243</v>
      </c>
      <c r="C12" s="247">
        <v>0</v>
      </c>
      <c r="D12" s="250">
        <f>三因素分析!AB17</f>
        <v>-3.8361760044672186</v>
      </c>
      <c r="E12" s="251">
        <f>三因素分析!AD17</f>
        <v>-6.4004342006882755</v>
      </c>
      <c r="F12" s="250">
        <f>三因素分析!AH17</f>
        <v>-0.83832298758259627</v>
      </c>
      <c r="G12" s="251">
        <f>三因素分析!AJ17</f>
        <v>-1.398692634200974</v>
      </c>
      <c r="H12" s="250">
        <f t="shared" si="4"/>
        <v>-3.6964377424717925</v>
      </c>
      <c r="I12" s="251">
        <f t="shared" si="5"/>
        <v>-7.7991268348892495</v>
      </c>
    </row>
    <row r="13" spans="1:9" ht="20.25">
      <c r="A13" s="243" t="s">
        <v>140</v>
      </c>
      <c r="B13" s="246"/>
      <c r="C13" s="243"/>
      <c r="D13" s="250"/>
      <c r="E13" s="251"/>
      <c r="F13" s="250"/>
      <c r="G13" s="251"/>
      <c r="H13" s="250"/>
      <c r="I13" s="251"/>
    </row>
    <row r="14" spans="1:9" ht="20.25">
      <c r="A14" s="245" t="s">
        <v>169</v>
      </c>
      <c r="B14" s="247">
        <f>三因素分析!Y21</f>
        <v>2.5980576008901628</v>
      </c>
      <c r="C14" s="247">
        <v>0</v>
      </c>
      <c r="D14" s="250">
        <f>三因素分析!AB21</f>
        <v>-19.102632090045276</v>
      </c>
      <c r="E14" s="251">
        <f>三因素分析!AD21</f>
        <v>31.871618927263413</v>
      </c>
      <c r="F14" s="250">
        <f>三因素分析!AH21</f>
        <v>-1.0403839387943388</v>
      </c>
      <c r="G14" s="251">
        <f>三因素分析!AJ21</f>
        <v>1.735819455611989</v>
      </c>
      <c r="H14" s="250">
        <f t="shared" ref="H14:H15" si="6">B14+D14+F14</f>
        <v>-17.544958427949453</v>
      </c>
      <c r="I14" s="251">
        <f t="shared" ref="I14" si="7">C14+E14+G14</f>
        <v>33.607438382875401</v>
      </c>
    </row>
    <row r="15" spans="1:9" ht="20.25">
      <c r="A15" s="245" t="s">
        <v>170</v>
      </c>
      <c r="B15" s="247">
        <f>三因素分析!Y22</f>
        <v>0.48510771962931798</v>
      </c>
      <c r="C15" s="247">
        <v>0</v>
      </c>
      <c r="D15" s="250">
        <f>三因素分析!AB22</f>
        <v>2.2259325629388194E-2</v>
      </c>
      <c r="E15" s="251">
        <f>三因素分析!AD22</f>
        <v>-3.7138376569971772E-2</v>
      </c>
      <c r="F15" s="250">
        <f>三因素分析!AH22</f>
        <v>1.1970594629662239</v>
      </c>
      <c r="G15" s="251">
        <f>三因素分析!AJ22</f>
        <v>-1.9972233594351578</v>
      </c>
      <c r="H15" s="250">
        <f t="shared" si="6"/>
        <v>1.7044265082249299</v>
      </c>
      <c r="I15" s="251">
        <f>C15+E15+G15</f>
        <v>-2.0343617360051298</v>
      </c>
    </row>
    <row r="16" spans="1:9" ht="20.25">
      <c r="A16" s="243" t="s">
        <v>139</v>
      </c>
      <c r="B16" s="246"/>
      <c r="C16" s="243"/>
      <c r="D16" s="250"/>
      <c r="E16" s="251"/>
      <c r="F16" s="250"/>
      <c r="G16" s="251"/>
      <c r="H16" s="250"/>
      <c r="I16" s="251"/>
    </row>
    <row r="17" spans="1:9" ht="20.25">
      <c r="A17" s="245" t="s">
        <v>171</v>
      </c>
      <c r="B17" s="247">
        <f>三因素分析!Y27</f>
        <v>3.2359882408994829</v>
      </c>
      <c r="C17" s="247">
        <v>0</v>
      </c>
      <c r="D17" s="250">
        <f>三因素分析!AB27</f>
        <v>-3.5713215432564627</v>
      </c>
      <c r="E17" s="251">
        <f>三因素分析!AD27</f>
        <v>5.9585400983936587</v>
      </c>
      <c r="F17" s="250">
        <f>三因素分析!AH27</f>
        <v>-0.65558356751000268</v>
      </c>
      <c r="G17" s="251">
        <f>三因素分析!AJ27</f>
        <v>1.0938026519153439</v>
      </c>
      <c r="H17" s="250">
        <f t="shared" ref="H17:H18" si="8">B17+D17+F17</f>
        <v>-0.99091686986698246</v>
      </c>
      <c r="I17" s="251">
        <f t="shared" ref="I17:I18" si="9">C17+E17+G17</f>
        <v>7.0523427503090028</v>
      </c>
    </row>
    <row r="18" spans="1:9" ht="20.25">
      <c r="A18" s="245" t="s">
        <v>172</v>
      </c>
      <c r="B18" s="247">
        <f>三因素分析!Y30</f>
        <v>3.1152554466979923</v>
      </c>
      <c r="C18" s="247">
        <v>0</v>
      </c>
      <c r="D18" s="250">
        <f>三因素分析!AB28</f>
        <v>-2.9154552656097259</v>
      </c>
      <c r="E18" s="251">
        <f>三因素分析!AD28</f>
        <v>4.864265761230838</v>
      </c>
      <c r="F18" s="250">
        <f>三因素分析!AH28</f>
        <v>-3.8945199621255862</v>
      </c>
      <c r="G18" s="251">
        <f>三因素分析!AJ28</f>
        <v>6.4977776650041124</v>
      </c>
      <c r="H18" s="250">
        <f t="shared" si="8"/>
        <v>-3.6947197810373198</v>
      </c>
      <c r="I18" s="251">
        <f t="shared" si="9"/>
        <v>11.362043426234951</v>
      </c>
    </row>
  </sheetData>
  <mergeCells count="5">
    <mergeCell ref="A1:A2"/>
    <mergeCell ref="D1:E1"/>
    <mergeCell ref="F1:G1"/>
    <mergeCell ref="B1:C1"/>
    <mergeCell ref="H1:I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4"/>
  <sheetViews>
    <sheetView topLeftCell="A130" workbookViewId="0">
      <selection activeCell="C107" sqref="C107 C100:D102 D84:D87 D90:D94"/>
    </sheetView>
  </sheetViews>
  <sheetFormatPr defaultColWidth="9" defaultRowHeight="12"/>
  <cols>
    <col min="1" max="1" width="5.75" style="124" customWidth="1"/>
    <col min="2" max="2" width="29.5" style="124" customWidth="1"/>
    <col min="3" max="3" width="22.75" style="124" bestFit="1" customWidth="1"/>
    <col min="4" max="4" width="23.5" style="124" bestFit="1" customWidth="1"/>
    <col min="5" max="5" width="8.625" style="124" bestFit="1" customWidth="1"/>
    <col min="6" max="7" width="22.625" style="124" bestFit="1" customWidth="1"/>
    <col min="8" max="8" width="20.5" style="124" bestFit="1" customWidth="1"/>
    <col min="9" max="9" width="10.125" style="301" customWidth="1"/>
    <col min="10" max="10" width="9" style="124"/>
    <col min="11" max="11" width="19.375" style="124" bestFit="1" customWidth="1"/>
    <col min="12" max="13" width="25.5" style="124" customWidth="1"/>
    <col min="14" max="16384" width="9" style="124"/>
  </cols>
  <sheetData>
    <row r="1" spans="2:9">
      <c r="B1" s="259">
        <v>42005</v>
      </c>
      <c r="C1" s="259">
        <v>42277</v>
      </c>
      <c r="D1" s="258">
        <f>C1-B1+1</f>
        <v>273</v>
      </c>
    </row>
    <row r="2" spans="2:9">
      <c r="C2" s="124" t="s">
        <v>106</v>
      </c>
      <c r="G2" s="124" t="s">
        <v>107</v>
      </c>
    </row>
    <row r="3" spans="2:9">
      <c r="C3" s="120" t="s">
        <v>90</v>
      </c>
      <c r="D3" s="120" t="s">
        <v>91</v>
      </c>
      <c r="E3" s="120" t="s">
        <v>92</v>
      </c>
      <c r="G3" s="120" t="s">
        <v>90</v>
      </c>
      <c r="H3" s="120" t="s">
        <v>91</v>
      </c>
      <c r="I3" s="302"/>
    </row>
    <row r="4" spans="2:9">
      <c r="B4" s="121" t="s">
        <v>39</v>
      </c>
    </row>
    <row r="5" spans="2:9">
      <c r="B5" s="122" t="s">
        <v>3619</v>
      </c>
      <c r="C5" s="123">
        <f>C57+C62+C68+C69+C70+C72-C76</f>
        <v>48643617746.823479</v>
      </c>
      <c r="D5" s="123">
        <f>D57+D62+D68+D69+D70+D72-D76</f>
        <v>226324401.00999999</v>
      </c>
      <c r="E5" s="153">
        <f t="shared" ref="E5:E16" si="0">D5*100/C5*365/$D$1</f>
        <v>0.62206494734454676</v>
      </c>
      <c r="F5" s="155"/>
      <c r="G5" s="156">
        <f>C5/10^8</f>
        <v>486.4361774682348</v>
      </c>
      <c r="H5" s="156">
        <f>D5/10^8</f>
        <v>2.2632440100999998</v>
      </c>
      <c r="I5" s="303"/>
    </row>
    <row r="6" spans="2:9">
      <c r="B6" s="122" t="s">
        <v>3620</v>
      </c>
      <c r="C6" s="123">
        <f>C58+C67+C73+C76</f>
        <v>92693510282.436783</v>
      </c>
      <c r="D6" s="123">
        <f>D58+D67+D73+D76</f>
        <v>2837612798.6199999</v>
      </c>
      <c r="E6" s="153">
        <f t="shared" si="0"/>
        <v>4.092927224364395</v>
      </c>
      <c r="F6" s="155"/>
      <c r="G6" s="156">
        <f t="shared" ref="G6:H17" si="1">C6/10^8</f>
        <v>926.93510282436785</v>
      </c>
      <c r="H6" s="156">
        <f t="shared" si="1"/>
        <v>28.3761279862</v>
      </c>
      <c r="I6" s="303"/>
    </row>
    <row r="7" spans="2:9">
      <c r="B7" s="122" t="s">
        <v>3621</v>
      </c>
      <c r="C7" s="123">
        <f>C59+C61+C74</f>
        <v>64098177924.574409</v>
      </c>
      <c r="D7" s="123">
        <f>D59+D61+D74</f>
        <v>180605290.31999999</v>
      </c>
      <c r="E7" s="153">
        <f>D7*100/C7*365/$D$1</f>
        <v>0.37671681070894225</v>
      </c>
      <c r="F7" s="155"/>
      <c r="G7" s="156">
        <f t="shared" si="1"/>
        <v>640.98177924574406</v>
      </c>
      <c r="H7" s="156">
        <f t="shared" si="1"/>
        <v>1.8060529031999999</v>
      </c>
      <c r="I7" s="303"/>
    </row>
    <row r="8" spans="2:9">
      <c r="B8" s="122" t="s">
        <v>3622</v>
      </c>
      <c r="C8" s="123">
        <f>C60+C75</f>
        <v>107161471698.22865</v>
      </c>
      <c r="D8" s="123">
        <f>D60+D75</f>
        <v>2678083118.1199999</v>
      </c>
      <c r="E8" s="153">
        <f t="shared" si="0"/>
        <v>3.3413009940562013</v>
      </c>
      <c r="F8" s="155"/>
      <c r="G8" s="156">
        <f t="shared" si="1"/>
        <v>1071.6147169822866</v>
      </c>
      <c r="H8" s="156">
        <f t="shared" si="1"/>
        <v>26.7808311812</v>
      </c>
      <c r="I8" s="303"/>
    </row>
    <row r="9" spans="2:9">
      <c r="B9" s="124" t="s">
        <v>3623</v>
      </c>
      <c r="C9" s="152">
        <f>SUM(C5:C8)</f>
        <v>312596777652.06329</v>
      </c>
      <c r="D9" s="152">
        <f>SUM(D5:D8)</f>
        <v>5922625608.0699997</v>
      </c>
      <c r="E9" s="153">
        <f>D9*100/C9*365/$D$1</f>
        <v>2.5331447121326485</v>
      </c>
    </row>
    <row r="10" spans="2:9">
      <c r="B10" s="121" t="s">
        <v>3358</v>
      </c>
      <c r="C10" s="152">
        <f>C9+C63</f>
        <v>344397461754.62738</v>
      </c>
      <c r="D10" s="152">
        <f>D9+D63</f>
        <v>7054756785.4891777</v>
      </c>
      <c r="E10" s="153">
        <f t="shared" ref="E10" si="2">D10*100/C10*365/$D$1</f>
        <v>2.7387495635258849</v>
      </c>
      <c r="F10" s="155"/>
      <c r="G10" s="156">
        <f t="shared" si="1"/>
        <v>3443.9746175462737</v>
      </c>
      <c r="H10" s="156">
        <f t="shared" si="1"/>
        <v>70.547567854891781</v>
      </c>
      <c r="I10" s="303"/>
    </row>
    <row r="11" spans="2:9">
      <c r="B11" s="121" t="s">
        <v>3359</v>
      </c>
      <c r="C11" s="152">
        <f>C12+C13</f>
        <v>231655666083.22955</v>
      </c>
      <c r="D11" s="152">
        <f>D12+D13</f>
        <v>6647827094.1591778</v>
      </c>
      <c r="E11" s="153">
        <f t="shared" si="0"/>
        <v>3.8367809534529091</v>
      </c>
      <c r="G11" s="156">
        <f t="shared" si="1"/>
        <v>2316.5566608322956</v>
      </c>
    </row>
    <row r="12" spans="2:9" ht="16.5">
      <c r="B12" s="370" t="s">
        <v>3290</v>
      </c>
      <c r="C12" s="152">
        <f>C6+C64</f>
        <v>112334500612.10712</v>
      </c>
      <c r="D12" s="152">
        <f>D6+D64</f>
        <v>3566167630.5241094</v>
      </c>
      <c r="E12" s="153">
        <f t="shared" si="0"/>
        <v>4.2444244939401665</v>
      </c>
      <c r="G12" s="156">
        <f t="shared" si="1"/>
        <v>1123.3450061210713</v>
      </c>
    </row>
    <row r="13" spans="2:9" ht="16.5">
      <c r="B13" s="370" t="s">
        <v>3291</v>
      </c>
      <c r="C13" s="152">
        <f>C8+C65</f>
        <v>119321165471.12242</v>
      </c>
      <c r="D13" s="152">
        <f>D8+D65</f>
        <v>3081659463.6350684</v>
      </c>
      <c r="E13" s="153">
        <f t="shared" si="0"/>
        <v>3.4530063450874753</v>
      </c>
      <c r="G13" s="156">
        <f t="shared" si="1"/>
        <v>1193.2116547112241</v>
      </c>
    </row>
    <row r="14" spans="2:9" ht="16.5">
      <c r="B14" s="371" t="s">
        <v>3292</v>
      </c>
      <c r="C14" s="152">
        <f>C5+C7</f>
        <v>112741795671.39789</v>
      </c>
      <c r="D14" s="152">
        <f>D5+D7</f>
        <v>406929691.32999998</v>
      </c>
      <c r="E14" s="153">
        <f>D14*100/C14*365/$D$1</f>
        <v>0.48257481041814437</v>
      </c>
      <c r="G14" s="156">
        <f t="shared" si="1"/>
        <v>1127.4179567139788</v>
      </c>
    </row>
    <row r="15" spans="2:9" ht="16.5">
      <c r="B15" s="372" t="s">
        <v>2569</v>
      </c>
      <c r="C15" s="152">
        <f>C12+C5</f>
        <v>160978118358.9306</v>
      </c>
      <c r="D15" s="152">
        <f>D12+D5</f>
        <v>3792492031.5341091</v>
      </c>
      <c r="E15" s="153">
        <f t="shared" si="0"/>
        <v>3.1498367641142209</v>
      </c>
      <c r="G15" s="156">
        <f t="shared" si="1"/>
        <v>1609.781183589306</v>
      </c>
    </row>
    <row r="16" spans="2:9" ht="16.5">
      <c r="B16" s="370" t="s">
        <v>218</v>
      </c>
      <c r="C16" s="152">
        <f>C13+C7</f>
        <v>183419343395.69684</v>
      </c>
      <c r="D16" s="152">
        <f>D13+D7</f>
        <v>3262264753.9550686</v>
      </c>
      <c r="E16" s="153">
        <f t="shared" si="0"/>
        <v>2.3779585869199611</v>
      </c>
      <c r="G16" s="156">
        <f t="shared" si="1"/>
        <v>1834.1934339569684</v>
      </c>
    </row>
    <row r="17" spans="2:9">
      <c r="C17" s="152"/>
      <c r="D17" s="152"/>
      <c r="E17" s="153"/>
      <c r="G17" s="156">
        <f t="shared" si="1"/>
        <v>0</v>
      </c>
    </row>
    <row r="18" spans="2:9">
      <c r="B18" s="121" t="s">
        <v>3624</v>
      </c>
    </row>
    <row r="19" spans="2:9">
      <c r="B19" s="122" t="s">
        <v>3625</v>
      </c>
      <c r="C19" s="123">
        <f>C111</f>
        <v>128304724790.66058</v>
      </c>
      <c r="D19" s="123">
        <f>D111</f>
        <v>6370660090.4918404</v>
      </c>
      <c r="E19" s="153">
        <f t="shared" ref="E19:E23" si="3">D19*100/C19*365/$D$1</f>
        <v>6.638531214757216</v>
      </c>
      <c r="F19" s="155"/>
      <c r="G19" s="156">
        <f t="shared" ref="G19:H23" si="4">C19/10^8</f>
        <v>1283.0472479066059</v>
      </c>
      <c r="H19" s="156">
        <f t="shared" si="4"/>
        <v>63.706600904918403</v>
      </c>
      <c r="I19" s="303"/>
    </row>
    <row r="20" spans="2:9">
      <c r="B20" s="122" t="s">
        <v>3626</v>
      </c>
      <c r="C20" s="123">
        <f t="shared" ref="C20:D21" si="5">C112</f>
        <v>30146206669.670559</v>
      </c>
      <c r="D20" s="123">
        <f t="shared" si="5"/>
        <v>1375091063.0968847</v>
      </c>
      <c r="E20" s="153">
        <f t="shared" si="3"/>
        <v>6.0985839264699262</v>
      </c>
      <c r="F20" s="155"/>
      <c r="G20" s="156">
        <f t="shared" si="4"/>
        <v>301.46206669670556</v>
      </c>
      <c r="H20" s="156">
        <f t="shared" si="4"/>
        <v>13.750910630968848</v>
      </c>
      <c r="I20" s="303"/>
    </row>
    <row r="21" spans="2:9">
      <c r="B21" s="122" t="s">
        <v>3627</v>
      </c>
      <c r="C21" s="123">
        <f t="shared" si="5"/>
        <v>21647644459.87328</v>
      </c>
      <c r="D21" s="123">
        <f t="shared" si="5"/>
        <v>1573460682.2812757</v>
      </c>
      <c r="E21" s="153">
        <f t="shared" si="3"/>
        <v>9.7179680335074075</v>
      </c>
      <c r="F21" s="155"/>
      <c r="G21" s="156">
        <f t="shared" si="4"/>
        <v>216.4764445987328</v>
      </c>
      <c r="H21" s="156">
        <f t="shared" si="4"/>
        <v>15.734606822812758</v>
      </c>
      <c r="I21" s="303"/>
    </row>
    <row r="22" spans="2:9">
      <c r="B22" s="122" t="s">
        <v>3628</v>
      </c>
      <c r="C22" s="123">
        <f>C89</f>
        <v>9711025966.7440338</v>
      </c>
      <c r="D22" s="123">
        <f>D89</f>
        <v>422186422.69</v>
      </c>
      <c r="E22" s="153">
        <f t="shared" si="3"/>
        <v>5.8125856382131893</v>
      </c>
      <c r="F22" s="155"/>
      <c r="G22" s="156">
        <f t="shared" si="4"/>
        <v>97.110259667440332</v>
      </c>
      <c r="H22" s="156">
        <f t="shared" si="4"/>
        <v>4.2218642269000002</v>
      </c>
      <c r="I22" s="303"/>
    </row>
    <row r="23" spans="2:9">
      <c r="B23" s="122" t="s">
        <v>3629</v>
      </c>
      <c r="C23" s="123">
        <f>C88</f>
        <v>3145807045.407764</v>
      </c>
      <c r="D23" s="123">
        <f>D88</f>
        <v>82694339.769999996</v>
      </c>
      <c r="E23" s="153">
        <f t="shared" si="3"/>
        <v>3.5145839451347949</v>
      </c>
      <c r="F23" s="155"/>
      <c r="G23" s="156">
        <f t="shared" si="4"/>
        <v>31.458070454077639</v>
      </c>
      <c r="H23" s="156">
        <f t="shared" si="4"/>
        <v>0.82694339769999992</v>
      </c>
      <c r="I23" s="303"/>
    </row>
    <row r="24" spans="2:9">
      <c r="B24" s="124" t="s">
        <v>3623</v>
      </c>
      <c r="C24" s="152">
        <f>SUM(C19:C23)</f>
        <v>192955408932.35626</v>
      </c>
      <c r="D24" s="152">
        <f>SUM(D19:D23)</f>
        <v>9824092598.3300018</v>
      </c>
      <c r="E24" s="153">
        <f>D24*100/C24*365/$D$1</f>
        <v>6.8071560631320036</v>
      </c>
    </row>
    <row r="25" spans="2:9">
      <c r="C25" s="152"/>
      <c r="D25" s="152"/>
      <c r="E25" s="153"/>
    </row>
    <row r="26" spans="2:9">
      <c r="B26" s="124" t="s">
        <v>3360</v>
      </c>
      <c r="C26" s="152">
        <f>C20+C21</f>
        <v>51793851129.543839</v>
      </c>
      <c r="D26" s="152">
        <f>D20+D21</f>
        <v>2948551745.3781605</v>
      </c>
      <c r="E26" s="153">
        <f>D26*100/C26*365/$D$1</f>
        <v>7.6113337723328245</v>
      </c>
    </row>
    <row r="27" spans="2:9">
      <c r="B27" s="124" t="s">
        <v>3361</v>
      </c>
      <c r="C27" s="152">
        <f>C24-C22</f>
        <v>183244382965.61224</v>
      </c>
      <c r="D27" s="152">
        <f>D24-D22</f>
        <v>9401906175.6400013</v>
      </c>
      <c r="E27" s="153">
        <f>D27*100/C27*365/$D$1</f>
        <v>6.8598632679359532</v>
      </c>
    </row>
    <row r="28" spans="2:9">
      <c r="C28" s="152"/>
      <c r="D28" s="152"/>
      <c r="E28" s="153"/>
    </row>
    <row r="29" spans="2:9">
      <c r="C29" s="152"/>
      <c r="D29" s="152"/>
      <c r="E29" s="153"/>
    </row>
    <row r="30" spans="2:9">
      <c r="B30" s="121" t="s">
        <v>3630</v>
      </c>
    </row>
    <row r="31" spans="2:9">
      <c r="B31" s="122" t="s">
        <v>3631</v>
      </c>
      <c r="C31" s="123">
        <f>C117</f>
        <v>60522456851.311897</v>
      </c>
      <c r="D31" s="123">
        <f>D117</f>
        <v>698984718.84000003</v>
      </c>
      <c r="E31" s="153">
        <f t="shared" ref="E31:E41" si="6">D31*100/C31*365/$D$1</f>
        <v>1.5441210706323751</v>
      </c>
      <c r="F31" s="155"/>
      <c r="G31" s="156">
        <f t="shared" ref="G31:H43" si="7">C31/10^8</f>
        <v>605.22456851311892</v>
      </c>
      <c r="H31" s="156">
        <f t="shared" si="7"/>
        <v>6.9898471884000006</v>
      </c>
      <c r="I31" s="303"/>
    </row>
    <row r="32" spans="2:9">
      <c r="B32" s="122" t="s">
        <v>3632</v>
      </c>
      <c r="C32" s="123">
        <f>SUM(C118:C122)</f>
        <v>14041318376.818573</v>
      </c>
      <c r="D32" s="123">
        <f>SUM(D118:D122)</f>
        <v>494422251.77999997</v>
      </c>
      <c r="E32" s="153">
        <f t="shared" si="6"/>
        <v>4.7078253040019504</v>
      </c>
      <c r="F32" s="155"/>
      <c r="G32" s="156">
        <f>C32/10^8</f>
        <v>140.41318376818572</v>
      </c>
      <c r="H32" s="156">
        <f t="shared" si="7"/>
        <v>4.9442225178000001</v>
      </c>
      <c r="I32" s="303"/>
    </row>
    <row r="33" spans="2:11">
      <c r="B33" s="122" t="s">
        <v>3633</v>
      </c>
      <c r="C33" s="123">
        <f>C124</f>
        <v>44919705507.23671</v>
      </c>
      <c r="D33" s="123">
        <f>D124</f>
        <v>1248114912.4400001</v>
      </c>
      <c r="E33" s="153">
        <f t="shared" si="6"/>
        <v>3.7149065142778968</v>
      </c>
      <c r="F33" s="155"/>
      <c r="G33" s="156">
        <f>C33/10^8</f>
        <v>449.19705507236711</v>
      </c>
      <c r="H33" s="156">
        <f t="shared" si="7"/>
        <v>12.4811491244</v>
      </c>
      <c r="I33" s="303"/>
    </row>
    <row r="34" spans="2:11">
      <c r="B34" s="122" t="s">
        <v>3634</v>
      </c>
      <c r="C34" s="123">
        <f>C127</f>
        <v>31240258854.721882</v>
      </c>
      <c r="D34" s="123">
        <f>D127</f>
        <v>1337646608.02</v>
      </c>
      <c r="E34" s="153">
        <f t="shared" si="6"/>
        <v>5.7247560701565652</v>
      </c>
      <c r="F34" s="155"/>
      <c r="G34" s="156">
        <f t="shared" si="7"/>
        <v>312.40258854721884</v>
      </c>
      <c r="H34" s="156">
        <f t="shared" si="7"/>
        <v>13.3764660802</v>
      </c>
      <c r="I34" s="303"/>
    </row>
    <row r="35" spans="2:11">
      <c r="B35" s="122" t="s">
        <v>3635</v>
      </c>
      <c r="C35" s="123">
        <f>C123+C125+C126-C36</f>
        <v>60124857183.058151</v>
      </c>
      <c r="D35" s="537">
        <f>SUM(D123,D125:D126)</f>
        <v>1941194223.7</v>
      </c>
      <c r="E35" s="153">
        <f t="shared" si="6"/>
        <v>4.3166332330460246</v>
      </c>
      <c r="F35" s="155"/>
      <c r="G35" s="156">
        <f t="shared" si="7"/>
        <v>601.24857183058157</v>
      </c>
      <c r="H35" s="156">
        <f t="shared" si="7"/>
        <v>19.411942237000002</v>
      </c>
      <c r="I35" s="303"/>
    </row>
    <row r="36" spans="2:11">
      <c r="B36" s="122" t="s">
        <v>3636</v>
      </c>
      <c r="C36" s="537">
        <f>C129</f>
        <v>39619307548.241714</v>
      </c>
      <c r="D36" s="537">
        <f>D129</f>
        <v>1783923431.7781453</v>
      </c>
      <c r="E36" s="153">
        <f t="shared" si="6"/>
        <v>6.020042351485178</v>
      </c>
      <c r="F36" s="155"/>
      <c r="G36" s="156">
        <f t="shared" si="7"/>
        <v>396.19307548241716</v>
      </c>
      <c r="H36" s="156">
        <f t="shared" si="7"/>
        <v>17.839234317781454</v>
      </c>
      <c r="I36" s="303"/>
      <c r="K36" s="152"/>
    </row>
    <row r="37" spans="2:11">
      <c r="B37" s="124" t="s">
        <v>116</v>
      </c>
      <c r="C37" s="125">
        <f>SUM(C31:C36)</f>
        <v>250467904321.38892</v>
      </c>
      <c r="D37" s="125">
        <f>SUM(D31:D36)</f>
        <v>7504286146.5581455</v>
      </c>
      <c r="E37" s="153">
        <f>D37*100/C37*365/$D$1</f>
        <v>4.0057839414212744</v>
      </c>
      <c r="G37" s="126"/>
      <c r="H37" s="126"/>
      <c r="I37" s="303"/>
    </row>
    <row r="38" spans="2:11">
      <c r="B38" s="465" t="s">
        <v>3411</v>
      </c>
      <c r="C38" s="466">
        <f>SUM(C32:C36)</f>
        <v>189945447470.07703</v>
      </c>
      <c r="D38" s="466">
        <f>SUM(D32:D36)</f>
        <v>6805301427.7181454</v>
      </c>
      <c r="E38" s="153">
        <f>D38*100/C38*365/$D$1</f>
        <v>4.7901453823727245</v>
      </c>
      <c r="G38" s="126"/>
      <c r="H38" s="126"/>
      <c r="I38" s="303"/>
    </row>
    <row r="39" spans="2:11">
      <c r="B39" s="480" t="s">
        <v>3414</v>
      </c>
      <c r="C39" s="123">
        <f>SUM(C131:C135)</f>
        <v>39087658287.502037</v>
      </c>
      <c r="D39" s="123">
        <f>SUM(D131:D135)</f>
        <v>1366139028.6236987</v>
      </c>
      <c r="E39" s="153">
        <f t="shared" si="6"/>
        <v>4.6728889811279259</v>
      </c>
      <c r="F39" s="155"/>
      <c r="G39" s="156">
        <f t="shared" si="7"/>
        <v>390.87658287502035</v>
      </c>
      <c r="H39" s="156">
        <f t="shared" si="7"/>
        <v>13.661390286236987</v>
      </c>
      <c r="I39" s="303"/>
    </row>
    <row r="40" spans="2:11">
      <c r="B40" s="122" t="s">
        <v>3637</v>
      </c>
      <c r="C40" s="123">
        <f>C136</f>
        <v>13444090331.941729</v>
      </c>
      <c r="D40" s="123">
        <f>D136</f>
        <v>258531752.78</v>
      </c>
      <c r="E40" s="153">
        <f t="shared" si="6"/>
        <v>2.5710628084881328</v>
      </c>
      <c r="F40" s="155"/>
      <c r="G40" s="156">
        <f t="shared" si="7"/>
        <v>134.44090331941729</v>
      </c>
      <c r="H40" s="156">
        <f t="shared" si="7"/>
        <v>2.5853175278</v>
      </c>
      <c r="I40" s="303"/>
    </row>
    <row r="41" spans="2:11">
      <c r="B41" s="122" t="s">
        <v>3638</v>
      </c>
      <c r="C41" s="123">
        <f>C138</f>
        <v>7593749873.6001797</v>
      </c>
      <c r="D41" s="123">
        <f>D138</f>
        <v>352762893.56000012</v>
      </c>
      <c r="E41" s="153">
        <f t="shared" si="6"/>
        <v>6.2109327324254382</v>
      </c>
      <c r="F41" s="155"/>
      <c r="G41" s="156">
        <f t="shared" si="7"/>
        <v>75.9374987360018</v>
      </c>
      <c r="H41" s="156">
        <f t="shared" si="7"/>
        <v>3.527628935600001</v>
      </c>
      <c r="I41" s="303"/>
    </row>
    <row r="42" spans="2:11">
      <c r="B42" s="480" t="s">
        <v>3413</v>
      </c>
      <c r="C42" s="123">
        <f>C139</f>
        <v>4938380147.8615704</v>
      </c>
      <c r="D42" s="123">
        <f>D139</f>
        <v>160817499.21000001</v>
      </c>
      <c r="E42" s="153">
        <f>D42*100/C42*365/$D$1</f>
        <v>4.3539055506244599</v>
      </c>
      <c r="F42" s="155"/>
      <c r="G42" s="156">
        <f t="shared" si="7"/>
        <v>49.383801478615702</v>
      </c>
      <c r="H42" s="156">
        <f t="shared" si="7"/>
        <v>1.6081749921000001</v>
      </c>
      <c r="I42" s="303"/>
    </row>
    <row r="43" spans="2:11">
      <c r="B43" s="122" t="s">
        <v>149</v>
      </c>
      <c r="C43" s="123">
        <f>C63+C135</f>
        <v>36234493626.373627</v>
      </c>
      <c r="D43" s="123">
        <f>D63+D135</f>
        <v>1321153095.6628766</v>
      </c>
      <c r="E43" s="153">
        <f t="shared" ref="E43" si="8">D43*100/C43*365/$D$1</f>
        <v>4.8748489981020811</v>
      </c>
      <c r="F43" s="155"/>
      <c r="G43" s="156">
        <f t="shared" si="7"/>
        <v>362.34493626373626</v>
      </c>
      <c r="H43" s="156">
        <f t="shared" si="7"/>
        <v>13.211530956628765</v>
      </c>
      <c r="I43" s="303"/>
    </row>
    <row r="44" spans="2:11">
      <c r="B44" s="124" t="s">
        <v>116</v>
      </c>
      <c r="C44" s="125">
        <f>SUM(C39:C43)</f>
        <v>101298372267.27914</v>
      </c>
      <c r="D44" s="125">
        <f>SUM(D39:D43)</f>
        <v>3459404269.8365755</v>
      </c>
      <c r="E44" s="153"/>
      <c r="F44" s="155"/>
      <c r="G44" s="156"/>
      <c r="H44" s="156"/>
      <c r="I44" s="303"/>
    </row>
    <row r="45" spans="2:11">
      <c r="B45" s="465" t="s">
        <v>3417</v>
      </c>
      <c r="C45" s="467">
        <f>C39+C40+C42</f>
        <v>57470128767.305336</v>
      </c>
      <c r="D45" s="467">
        <f>D39+D40+D42</f>
        <v>1785488280.6136987</v>
      </c>
      <c r="E45" s="153">
        <f>D45*100/C45*365/$D$1</f>
        <v>4.1537949229173687</v>
      </c>
    </row>
    <row r="46" spans="2:11">
      <c r="B46" s="124" t="s">
        <v>3639</v>
      </c>
      <c r="C46" s="152">
        <f>SUM(C24,C37)</f>
        <v>443423313253.74518</v>
      </c>
      <c r="D46" s="152">
        <f>SUM(D24,D37)</f>
        <v>17328378744.888145</v>
      </c>
      <c r="E46" s="153">
        <f>D46*100/C46*365/$D$1</f>
        <v>5.2247994671274665</v>
      </c>
    </row>
    <row r="47" spans="2:11">
      <c r="B47" s="124" t="s">
        <v>3640</v>
      </c>
      <c r="C47" s="152">
        <f>SUM(C9,C44)-C135</f>
        <v>409461340395.5329</v>
      </c>
      <c r="D47" s="152">
        <f>SUM(D9,D44)-D135</f>
        <v>9193007959.6628761</v>
      </c>
      <c r="E47" s="153">
        <f>D47*100/C47*365/$D$1</f>
        <v>3.0017529753051937</v>
      </c>
      <c r="I47" s="124"/>
    </row>
    <row r="48" spans="2:11">
      <c r="E48" s="152">
        <f>E46-E47</f>
        <v>2.2230464918222728</v>
      </c>
      <c r="I48" s="124"/>
    </row>
    <row r="49" spans="1:9">
      <c r="C49" s="152"/>
      <c r="D49" s="152"/>
      <c r="I49" s="124"/>
    </row>
    <row r="50" spans="1:9">
      <c r="C50" s="152">
        <f>SUM(C32:C36)</f>
        <v>189945447470.07703</v>
      </c>
      <c r="I50" s="124"/>
    </row>
    <row r="52" spans="1:9">
      <c r="C52" s="152"/>
      <c r="D52" s="152"/>
      <c r="I52" s="124"/>
    </row>
    <row r="53" spans="1:9">
      <c r="C53" s="152"/>
      <c r="D53" s="152"/>
      <c r="I53" s="124"/>
    </row>
    <row r="55" spans="1:9">
      <c r="C55" s="120" t="s">
        <v>3641</v>
      </c>
      <c r="D55" s="120" t="s">
        <v>3642</v>
      </c>
      <c r="I55" s="124"/>
    </row>
    <row r="57" spans="1:9">
      <c r="A57" s="300">
        <v>2001</v>
      </c>
      <c r="B57" s="300" t="s">
        <v>230</v>
      </c>
      <c r="C57" s="533">
        <v>45923815311.255524</v>
      </c>
      <c r="D57" s="533">
        <v>203181464.19999999</v>
      </c>
      <c r="E57" s="294">
        <f t="shared" ref="E57:E65" si="9">D57/C57*365/$D$1</f>
        <v>5.9152940917426913E-3</v>
      </c>
      <c r="I57" s="124"/>
    </row>
    <row r="58" spans="1:9">
      <c r="A58" s="300">
        <v>2002</v>
      </c>
      <c r="B58" s="300" t="s">
        <v>241</v>
      </c>
      <c r="C58" s="533">
        <v>71995574840.264938</v>
      </c>
      <c r="D58" s="533">
        <v>2319780334.6399999</v>
      </c>
      <c r="E58" s="294">
        <f t="shared" si="9"/>
        <v>4.3079561722107688E-2</v>
      </c>
      <c r="I58" s="124"/>
    </row>
    <row r="59" spans="1:9">
      <c r="A59" s="300">
        <v>2003</v>
      </c>
      <c r="B59" s="300" t="s">
        <v>325</v>
      </c>
      <c r="C59" s="533">
        <v>64050459646.182907</v>
      </c>
      <c r="D59" s="533">
        <v>180528940.56</v>
      </c>
      <c r="E59" s="294">
        <f t="shared" si="9"/>
        <v>3.7683809543891966E-3</v>
      </c>
      <c r="I59" s="124"/>
    </row>
    <row r="60" spans="1:9">
      <c r="A60" s="300">
        <v>2004</v>
      </c>
      <c r="B60" s="300" t="s">
        <v>334</v>
      </c>
      <c r="C60" s="533">
        <v>106980611239.36591</v>
      </c>
      <c r="D60" s="533">
        <v>2674443021.0799999</v>
      </c>
      <c r="E60" s="294">
        <f t="shared" si="9"/>
        <v>3.3424005352603654E-2</v>
      </c>
      <c r="I60" s="124"/>
    </row>
    <row r="61" spans="1:9">
      <c r="A61" s="300">
        <v>2005</v>
      </c>
      <c r="B61" s="300" t="s">
        <v>521</v>
      </c>
      <c r="C61" s="533">
        <v>21033510.974139187</v>
      </c>
      <c r="D61" s="533">
        <v>0</v>
      </c>
      <c r="E61" s="294">
        <f t="shared" si="9"/>
        <v>0</v>
      </c>
      <c r="I61" s="124"/>
    </row>
    <row r="62" spans="1:9">
      <c r="A62" s="300">
        <v>2006</v>
      </c>
      <c r="B62" s="300" t="s">
        <v>324</v>
      </c>
      <c r="C62" s="533">
        <v>294758640.16641051</v>
      </c>
      <c r="D62" s="533">
        <v>855948.1</v>
      </c>
      <c r="E62" s="294">
        <f t="shared" si="9"/>
        <v>3.8824967902989583E-3</v>
      </c>
      <c r="I62" s="124"/>
    </row>
    <row r="63" spans="1:9">
      <c r="A63" s="304">
        <v>2008</v>
      </c>
      <c r="B63" s="304" t="s">
        <v>523</v>
      </c>
      <c r="C63" s="533">
        <v>31800684102.564102</v>
      </c>
      <c r="D63" s="533">
        <v>1132131177.419178</v>
      </c>
      <c r="E63" s="294">
        <f t="shared" si="9"/>
        <v>4.7598197332073884E-2</v>
      </c>
    </row>
    <row r="64" spans="1:9">
      <c r="A64" s="304"/>
      <c r="B64" s="344" t="s">
        <v>3643</v>
      </c>
      <c r="C64" s="533">
        <v>19640990329.67033</v>
      </c>
      <c r="D64" s="533">
        <v>728554831.9041096</v>
      </c>
      <c r="E64" s="294">
        <f t="shared" si="9"/>
        <v>4.9593993235937113E-2</v>
      </c>
      <c r="F64" s="152" t="s">
        <v>3620</v>
      </c>
      <c r="G64" s="152">
        <f>C6+C64</f>
        <v>112334500612.10712</v>
      </c>
      <c r="H64" s="152">
        <f>D6+D64</f>
        <v>3566167630.5241094</v>
      </c>
      <c r="I64" s="294">
        <f>H64/G64*365/181</f>
        <v>6.4018115295340641E-2</v>
      </c>
    </row>
    <row r="65" spans="1:9">
      <c r="A65" s="304"/>
      <c r="B65" s="344" t="s">
        <v>3644</v>
      </c>
      <c r="C65" s="533">
        <v>12159693772.893772</v>
      </c>
      <c r="D65" s="533">
        <v>403576345.51506847</v>
      </c>
      <c r="E65" s="294">
        <f t="shared" si="9"/>
        <v>4.4374480618487235E-2</v>
      </c>
      <c r="F65" s="152" t="s">
        <v>3622</v>
      </c>
      <c r="G65" s="152">
        <f>C8+C65</f>
        <v>119321165471.12242</v>
      </c>
      <c r="H65" s="152">
        <f>D8+D65</f>
        <v>3081659463.6350684</v>
      </c>
      <c r="I65" s="294">
        <f>H65/G65*365/181</f>
        <v>5.2081255923142583E-2</v>
      </c>
    </row>
    <row r="66" spans="1:9">
      <c r="A66" s="304"/>
      <c r="B66" s="304"/>
      <c r="C66" s="305">
        <f>C63-C64-C65</f>
        <v>0</v>
      </c>
      <c r="D66" s="305">
        <f>D63-D64-D65</f>
        <v>0</v>
      </c>
    </row>
    <row r="67" spans="1:9">
      <c r="A67" s="300">
        <v>2009</v>
      </c>
      <c r="B67" s="300" t="s">
        <v>524</v>
      </c>
      <c r="C67" s="533">
        <v>8539560439.5604391</v>
      </c>
      <c r="D67" s="533">
        <v>282020504.63</v>
      </c>
      <c r="E67" s="294">
        <f t="shared" ref="E67" si="10">D67/C67*365/$D$1</f>
        <v>4.4154542182451843E-2</v>
      </c>
    </row>
    <row r="68" spans="1:9">
      <c r="A68" s="300">
        <v>2011</v>
      </c>
      <c r="B68" s="300" t="s">
        <v>525</v>
      </c>
      <c r="C68" s="533">
        <v>980878820.29465151</v>
      </c>
      <c r="D68" s="301"/>
    </row>
    <row r="69" spans="1:9">
      <c r="A69" s="300">
        <v>2012</v>
      </c>
      <c r="B69" s="300" t="s">
        <v>526</v>
      </c>
      <c r="C69" s="533">
        <v>2479810.6682417504</v>
      </c>
      <c r="D69" s="301"/>
    </row>
    <row r="70" spans="1:9">
      <c r="A70" s="300">
        <v>2013</v>
      </c>
      <c r="B70" s="300" t="s">
        <v>527</v>
      </c>
      <c r="C70" s="305">
        <v>0</v>
      </c>
      <c r="D70" s="301"/>
    </row>
    <row r="71" spans="1:9">
      <c r="A71" s="300">
        <v>2014</v>
      </c>
      <c r="B71" s="300" t="s">
        <v>528</v>
      </c>
      <c r="C71" s="533">
        <v>13807605393.330154</v>
      </c>
      <c r="D71" s="533">
        <v>261815394.86000001</v>
      </c>
      <c r="E71" s="294">
        <f t="shared" ref="E71:E75" si="11">D71/C71*365/$D$1</f>
        <v>2.5351696686390063E-2</v>
      </c>
    </row>
    <row r="72" spans="1:9">
      <c r="B72" s="298" t="s">
        <v>3645</v>
      </c>
      <c r="C72" s="321">
        <v>2704394858.9620132</v>
      </c>
      <c r="D72" s="321">
        <f>[2]保证金存款!D2</f>
        <v>30000516.499999993</v>
      </c>
      <c r="E72" s="294">
        <f t="shared" si="11"/>
        <v>1.4831628796947645E-2</v>
      </c>
      <c r="F72" s="153"/>
    </row>
    <row r="73" spans="1:9">
      <c r="B73" s="298" t="s">
        <v>3646</v>
      </c>
      <c r="C73" s="321">
        <v>10895665308.088028</v>
      </c>
      <c r="D73" s="321">
        <f>[2]保证金存款!D3</f>
        <v>228098431.56</v>
      </c>
      <c r="E73" s="294">
        <f t="shared" si="11"/>
        <v>2.798973342581916E-2</v>
      </c>
      <c r="F73" s="153"/>
    </row>
    <row r="74" spans="1:9">
      <c r="B74" s="298" t="s">
        <v>3647</v>
      </c>
      <c r="C74" s="321">
        <v>26684767.417362668</v>
      </c>
      <c r="D74" s="321">
        <f>[2]保证金存款!D4</f>
        <v>76349.760000000009</v>
      </c>
      <c r="E74" s="294">
        <f t="shared" si="11"/>
        <v>3.8253790206966799E-3</v>
      </c>
      <c r="F74" s="153"/>
    </row>
    <row r="75" spans="1:9" ht="12.75" thickBot="1">
      <c r="B75" s="298" t="s">
        <v>3648</v>
      </c>
      <c r="C75" s="321">
        <v>180860458.86274725</v>
      </c>
      <c r="D75" s="321">
        <f>[2]保证金存款!D5</f>
        <v>3640097.0399999996</v>
      </c>
      <c r="E75" s="294">
        <f t="shared" si="11"/>
        <v>2.690912341699055E-2</v>
      </c>
      <c r="F75" s="153"/>
    </row>
    <row r="76" spans="1:9" ht="12.75" thickBot="1">
      <c r="B76" s="297" t="s">
        <v>287</v>
      </c>
      <c r="C76" s="533">
        <v>1262709694.52337</v>
      </c>
      <c r="D76" s="533">
        <v>7713527.79</v>
      </c>
      <c r="E76" s="294">
        <f>D76/C76*365/$D$1</f>
        <v>8.1673233723308369E-3</v>
      </c>
      <c r="F76" s="153"/>
    </row>
    <row r="77" spans="1:9">
      <c r="C77" s="152">
        <f>C71-C72-C73-C74-C75</f>
        <v>3.3080577850341797E-6</v>
      </c>
      <c r="D77" s="152">
        <f>D71-D72-D73-D74-D75</f>
        <v>1.257285475730896E-8</v>
      </c>
      <c r="I77" s="124"/>
    </row>
    <row r="78" spans="1:9">
      <c r="C78" s="152">
        <f>C9-SUM(C57:C62,C67:C71)</f>
        <v>0</v>
      </c>
      <c r="D78" s="152">
        <f>D9-SUM(D57:D62,D67:D71)</f>
        <v>0</v>
      </c>
      <c r="I78" s="124"/>
    </row>
    <row r="79" spans="1:9" ht="12.75" thickBot="1">
      <c r="C79" s="152"/>
      <c r="D79" s="152"/>
      <c r="I79" s="124"/>
    </row>
    <row r="80" spans="1:9" ht="12.75" thickBot="1">
      <c r="B80" s="297" t="s">
        <v>283</v>
      </c>
      <c r="C80" s="487">
        <f>'2016.06.30ftp'!J47</f>
        <v>0</v>
      </c>
      <c r="D80" s="487">
        <v>628150294</v>
      </c>
      <c r="E80" s="294" t="e">
        <f>D80/C80*365/$D$1</f>
        <v>#DIV/0!</v>
      </c>
    </row>
    <row r="81" spans="1:9">
      <c r="D81" s="152"/>
      <c r="I81" s="124"/>
    </row>
    <row r="82" spans="1:9">
      <c r="A82" s="300" t="s">
        <v>2548</v>
      </c>
      <c r="B82" s="300" t="s">
        <v>2549</v>
      </c>
      <c r="C82" s="533">
        <v>192955408932.35623</v>
      </c>
      <c r="D82" s="533">
        <v>9824092598.329998</v>
      </c>
      <c r="E82" s="294">
        <f t="shared" ref="E82:E92" si="12">D82/C82*365/$D$1</f>
        <v>6.8071560631320013E-2</v>
      </c>
      <c r="I82" s="124"/>
    </row>
    <row r="83" spans="1:9">
      <c r="A83" s="300" t="s">
        <v>2550</v>
      </c>
      <c r="B83" s="300" t="s">
        <v>2551</v>
      </c>
      <c r="C83" s="533">
        <v>22075721891.615528</v>
      </c>
      <c r="D83" s="533"/>
      <c r="E83" s="294"/>
      <c r="I83" s="124"/>
    </row>
    <row r="84" spans="1:9">
      <c r="A84" s="300">
        <v>1301</v>
      </c>
      <c r="B84" s="300" t="s">
        <v>835</v>
      </c>
      <c r="C84" s="533">
        <v>4389981086.9672108</v>
      </c>
      <c r="D84" s="533">
        <v>227892762.94</v>
      </c>
      <c r="E84" s="294">
        <f t="shared" si="12"/>
        <v>6.9406173567196139E-2</v>
      </c>
      <c r="I84" s="124"/>
    </row>
    <row r="85" spans="1:9">
      <c r="A85" s="300">
        <v>1302</v>
      </c>
      <c r="B85" s="300" t="s">
        <v>859</v>
      </c>
      <c r="C85" s="533">
        <v>3960800519.708859</v>
      </c>
      <c r="D85" s="533">
        <v>200437518.36000001</v>
      </c>
      <c r="E85" s="294">
        <f t="shared" si="12"/>
        <v>6.765910742297479E-2</v>
      </c>
      <c r="I85" s="124"/>
    </row>
    <row r="86" spans="1:9">
      <c r="A86" s="300">
        <v>1303</v>
      </c>
      <c r="B86" s="300" t="s">
        <v>860</v>
      </c>
      <c r="C86" s="533">
        <v>13724940284.939434</v>
      </c>
      <c r="D86" s="533">
        <v>715923157.54999995</v>
      </c>
      <c r="E86" s="294">
        <f t="shared" si="12"/>
        <v>6.9740677871330009E-2</v>
      </c>
      <c r="I86" s="124"/>
    </row>
    <row r="87" spans="1:9">
      <c r="A87" s="300">
        <v>1304</v>
      </c>
      <c r="B87" s="300" t="s">
        <v>876</v>
      </c>
      <c r="C87" s="533">
        <v>156797538234.64899</v>
      </c>
      <c r="D87" s="533">
        <v>8043839618.3800001</v>
      </c>
      <c r="E87" s="294">
        <f t="shared" si="12"/>
        <v>6.8588985683344955E-2</v>
      </c>
      <c r="I87" s="124"/>
    </row>
    <row r="88" spans="1:9">
      <c r="A88" s="300">
        <v>1305</v>
      </c>
      <c r="B88" s="300" t="s">
        <v>494</v>
      </c>
      <c r="C88" s="533">
        <v>3145807045.407764</v>
      </c>
      <c r="D88" s="533">
        <v>82694339.769999996</v>
      </c>
      <c r="E88" s="294">
        <f t="shared" si="12"/>
        <v>3.514583945134795E-2</v>
      </c>
      <c r="I88" s="124"/>
    </row>
    <row r="89" spans="1:9">
      <c r="A89" s="304">
        <v>1306</v>
      </c>
      <c r="B89" s="304" t="s">
        <v>932</v>
      </c>
      <c r="C89" s="533">
        <v>9711025966.7440338</v>
      </c>
      <c r="D89" s="533">
        <v>422186422.69</v>
      </c>
      <c r="E89" s="294">
        <f t="shared" si="12"/>
        <v>5.8125856382131892E-2</v>
      </c>
      <c r="F89" s="335" t="s">
        <v>3649</v>
      </c>
      <c r="I89" s="124"/>
    </row>
    <row r="90" spans="1:9">
      <c r="A90" s="300">
        <v>1307</v>
      </c>
      <c r="B90" s="300" t="s">
        <v>956</v>
      </c>
      <c r="C90" s="533">
        <v>832771219.14241624</v>
      </c>
      <c r="D90" s="533">
        <v>0</v>
      </c>
      <c r="E90" s="294">
        <f t="shared" si="12"/>
        <v>0</v>
      </c>
      <c r="I90" s="124"/>
    </row>
    <row r="91" spans="1:9">
      <c r="A91" s="300">
        <v>1308</v>
      </c>
      <c r="B91" s="300" t="s">
        <v>415</v>
      </c>
      <c r="C91" s="533">
        <v>392544574.79772794</v>
      </c>
      <c r="D91" s="533">
        <v>11382780.699999999</v>
      </c>
      <c r="E91" s="294">
        <f t="shared" si="12"/>
        <v>3.8769447033052427E-2</v>
      </c>
      <c r="I91" s="124"/>
    </row>
    <row r="92" spans="1:9">
      <c r="A92" s="304">
        <v>1309</v>
      </c>
      <c r="B92" s="304" t="s">
        <v>974</v>
      </c>
      <c r="C92" s="533">
        <v>6004807991.6417589</v>
      </c>
      <c r="D92" s="533">
        <v>117864930.59</v>
      </c>
      <c r="E92" s="294">
        <f t="shared" si="12"/>
        <v>2.6243133948413332E-2</v>
      </c>
      <c r="F92" s="324" t="s">
        <v>2552</v>
      </c>
      <c r="I92" s="124"/>
    </row>
    <row r="93" spans="1:9">
      <c r="A93" s="300"/>
      <c r="B93" s="300" t="s">
        <v>2538</v>
      </c>
      <c r="C93" s="533">
        <v>0</v>
      </c>
      <c r="D93" s="533">
        <v>0</v>
      </c>
      <c r="E93" s="294"/>
      <c r="I93" s="124"/>
    </row>
    <row r="94" spans="1:9">
      <c r="D94" s="533">
        <v>1871067.35</v>
      </c>
      <c r="E94" s="294"/>
      <c r="F94" s="324" t="s">
        <v>2553</v>
      </c>
      <c r="I94" s="124"/>
    </row>
    <row r="95" spans="1:9">
      <c r="D95" s="152"/>
      <c r="I95" s="124"/>
    </row>
    <row r="96" spans="1:9">
      <c r="D96" s="152"/>
      <c r="I96" s="124"/>
    </row>
    <row r="99" spans="1:9">
      <c r="B99" s="124" t="s">
        <v>3650</v>
      </c>
      <c r="I99" s="124"/>
    </row>
    <row r="100" spans="1:9">
      <c r="B100" s="322" t="s">
        <v>3625</v>
      </c>
      <c r="C100" s="153">
        <f>'[2]2015.9.30ftp'!J314</f>
        <v>128375648340.26137</v>
      </c>
      <c r="D100" s="153">
        <f>'[2]2015.9.30ftp'!L314</f>
        <v>6285662193.8479929</v>
      </c>
      <c r="I100" s="124"/>
    </row>
    <row r="101" spans="1:9">
      <c r="B101" s="322" t="s">
        <v>3626</v>
      </c>
      <c r="C101" s="153">
        <f>'[2]2015.9.30ftp'!J315</f>
        <v>30167547776.759644</v>
      </c>
      <c r="D101" s="153">
        <f>'[2]2015.9.30ftp'!L315</f>
        <v>1355120137.1400001</v>
      </c>
      <c r="I101" s="124"/>
    </row>
    <row r="102" spans="1:9">
      <c r="B102" s="322" t="s">
        <v>3627</v>
      </c>
      <c r="C102" s="153">
        <f>'[2]2015.9.30ftp'!J316</f>
        <v>21662969263.544495</v>
      </c>
      <c r="D102" s="153">
        <f>'[2]2015.9.30ftp'!L316</f>
        <v>1559119789.9299989</v>
      </c>
      <c r="I102" s="124"/>
    </row>
    <row r="103" spans="1:9">
      <c r="B103" s="326" t="s">
        <v>3651</v>
      </c>
      <c r="C103" s="327">
        <f>C82-C88-C89-SUM(C100:C102)-C107</f>
        <v>-127495410.53108399</v>
      </c>
      <c r="D103" s="328">
        <f>SUM(D84:D87,D90:D94)-SUM(D100:D102)</f>
        <v>119309714.9520092</v>
      </c>
      <c r="I103" s="124"/>
    </row>
    <row r="106" spans="1:9">
      <c r="A106" s="916" t="s">
        <v>3652</v>
      </c>
      <c r="B106" s="329">
        <v>999999</v>
      </c>
      <c r="C106" s="533">
        <f>'[2]2015.9.30ftp'!J311</f>
        <v>321379758.18472397</v>
      </c>
      <c r="D106" s="365">
        <f>'[2]2015.9.30ftp'!L311</f>
        <v>6715228.9500000002</v>
      </c>
      <c r="I106" s="124"/>
    </row>
    <row r="107" spans="1:9" ht="12.75" thickBot="1">
      <c r="A107" s="916"/>
      <c r="B107" s="329">
        <v>370081</v>
      </c>
      <c r="C107" s="533">
        <v>19905950.170000002</v>
      </c>
      <c r="D107" s="365">
        <v>-67320.47</v>
      </c>
      <c r="F107" s="124" t="s">
        <v>3653</v>
      </c>
      <c r="I107" s="124"/>
    </row>
    <row r="108" spans="1:9">
      <c r="A108" s="364"/>
      <c r="B108" s="362">
        <v>999990</v>
      </c>
      <c r="C108" s="533">
        <f>'[2]2015.9.30ftp'!J310</f>
        <v>3348351.6483519999</v>
      </c>
      <c r="D108" s="365">
        <f>'[2]2015.9.30ftp'!L310</f>
        <v>1592979.16</v>
      </c>
      <c r="I108" s="124"/>
    </row>
    <row r="109" spans="1:9">
      <c r="C109" s="152"/>
      <c r="I109" s="124"/>
    </row>
    <row r="110" spans="1:9">
      <c r="B110" s="331" t="s">
        <v>3654</v>
      </c>
      <c r="I110" s="124"/>
    </row>
    <row r="111" spans="1:9">
      <c r="B111" s="322" t="s">
        <v>3625</v>
      </c>
      <c r="C111" s="152">
        <f>F111+F111/SUM($F$111:$F$113)*$C$103</f>
        <v>128304724790.66058</v>
      </c>
      <c r="D111" s="330">
        <f>G111+F111/SUM($F$111:$F$113)*$D$103</f>
        <v>6370660090.4918404</v>
      </c>
      <c r="E111" s="294">
        <f t="shared" ref="E111:E113" si="13">D111/C111*365/$D$1</f>
        <v>6.6385312147572151E-2</v>
      </c>
      <c r="F111" s="152">
        <f>C100+C107</f>
        <v>128395554290.43137</v>
      </c>
      <c r="G111" s="152">
        <f>D100</f>
        <v>6285662193.8479929</v>
      </c>
      <c r="I111" s="124"/>
    </row>
    <row r="112" spans="1:9">
      <c r="B112" s="322" t="s">
        <v>3626</v>
      </c>
      <c r="C112" s="152">
        <f>F112+F112/SUM($F$111:$F$113)*$C$103</f>
        <v>30146206669.670559</v>
      </c>
      <c r="D112" s="330">
        <f>G112+F112/SUM($F$111:$F$113)*$D$103</f>
        <v>1375091063.0968847</v>
      </c>
      <c r="E112" s="294">
        <f t="shared" si="13"/>
        <v>6.0985839264699269E-2</v>
      </c>
      <c r="F112" s="152">
        <f>C101</f>
        <v>30167547776.759644</v>
      </c>
      <c r="G112" s="152">
        <f>D101</f>
        <v>1355120137.1400001</v>
      </c>
      <c r="I112" s="124"/>
    </row>
    <row r="113" spans="1:9">
      <c r="B113" s="322" t="s">
        <v>3627</v>
      </c>
      <c r="C113" s="152">
        <f>F113+F113/SUM($F$111:$F$113)*$C$103</f>
        <v>21647644459.87328</v>
      </c>
      <c r="D113" s="330">
        <f>G113+F113/SUM($F$111:$F$113)*$D$103</f>
        <v>1573460682.2812757</v>
      </c>
      <c r="E113" s="294">
        <f t="shared" si="13"/>
        <v>9.7179680335074098E-2</v>
      </c>
      <c r="F113" s="152">
        <f>C102</f>
        <v>21662969263.544495</v>
      </c>
      <c r="G113" s="152">
        <f>D102</f>
        <v>1559119789.9299989</v>
      </c>
      <c r="I113" s="124"/>
    </row>
    <row r="114" spans="1:9">
      <c r="C114" s="152">
        <f>C82-C88-C89-SUM(C111:C113)</f>
        <v>0</v>
      </c>
      <c r="D114" s="152">
        <f>D82-D88-D89-SUM(D111:D113)</f>
        <v>0</v>
      </c>
      <c r="I114" s="124"/>
    </row>
    <row r="117" spans="1:9" ht="14.25">
      <c r="A117" s="300">
        <v>1002</v>
      </c>
      <c r="B117" s="300" t="s">
        <v>609</v>
      </c>
      <c r="C117" s="323">
        <v>60522456851.311897</v>
      </c>
      <c r="D117" s="299">
        <v>698984718.84000003</v>
      </c>
      <c r="E117" s="294">
        <f t="shared" ref="E117:E127" si="14">D117/C117*365/$D$1</f>
        <v>1.5441210706323753E-2</v>
      </c>
      <c r="I117" s="124"/>
    </row>
    <row r="118" spans="1:9" ht="14.25">
      <c r="A118" s="300">
        <v>1011</v>
      </c>
      <c r="B118" s="300" t="s">
        <v>624</v>
      </c>
      <c r="C118" s="323">
        <v>11701730074.621468</v>
      </c>
      <c r="D118" s="299">
        <v>421552713.75999999</v>
      </c>
      <c r="E118" s="294">
        <f t="shared" si="14"/>
        <v>4.8165051710630687E-2</v>
      </c>
      <c r="I118" s="124"/>
    </row>
    <row r="119" spans="1:9" ht="14.25">
      <c r="A119" s="300">
        <v>1012</v>
      </c>
      <c r="B119" s="300" t="s">
        <v>634</v>
      </c>
      <c r="C119" s="323">
        <v>373413553.49102557</v>
      </c>
      <c r="D119" s="299">
        <v>1902996.93</v>
      </c>
      <c r="E119" s="294">
        <f t="shared" si="14"/>
        <v>6.8136250035349165E-3</v>
      </c>
      <c r="I119" s="124"/>
    </row>
    <row r="120" spans="1:9" ht="14.25">
      <c r="A120" s="351">
        <v>1013</v>
      </c>
      <c r="B120" s="351" t="s">
        <v>640</v>
      </c>
      <c r="C120" s="352">
        <v>1959147642.4789727</v>
      </c>
      <c r="D120" s="299">
        <v>70719684.879999995</v>
      </c>
      <c r="E120" s="294">
        <f t="shared" si="14"/>
        <v>4.8261783638958208E-2</v>
      </c>
      <c r="I120" s="124"/>
    </row>
    <row r="121" spans="1:9" ht="14.25">
      <c r="A121" s="300">
        <v>1014</v>
      </c>
      <c r="B121" s="300" t="s">
        <v>2648</v>
      </c>
      <c r="C121" s="323">
        <v>6227106.2271062275</v>
      </c>
      <c r="D121" s="299">
        <v>235872.25</v>
      </c>
      <c r="E121" s="294">
        <f t="shared" si="14"/>
        <v>5.0643159558823529E-2</v>
      </c>
      <c r="I121" s="124"/>
    </row>
    <row r="122" spans="1:9" ht="14.25">
      <c r="A122" s="300">
        <v>1031</v>
      </c>
      <c r="B122" s="300" t="s">
        <v>644</v>
      </c>
      <c r="C122" s="323">
        <v>800000</v>
      </c>
      <c r="D122" s="299">
        <v>10983.96</v>
      </c>
      <c r="E122" s="294">
        <f t="shared" si="14"/>
        <v>1.8356892857142856E-2</v>
      </c>
      <c r="I122" s="124"/>
    </row>
    <row r="123" spans="1:9" ht="24">
      <c r="A123" s="300">
        <v>1101</v>
      </c>
      <c r="B123" s="333" t="s">
        <v>648</v>
      </c>
      <c r="C123" s="323">
        <v>44025981054.552994</v>
      </c>
      <c r="D123" s="530">
        <f>[2]日计表!H1111</f>
        <v>222545785</v>
      </c>
      <c r="E123" s="294">
        <f t="shared" si="14"/>
        <v>6.7583479625425323E-3</v>
      </c>
      <c r="F123" s="353" t="s">
        <v>1995</v>
      </c>
      <c r="I123" s="124"/>
    </row>
    <row r="124" spans="1:9" ht="14.25">
      <c r="A124" s="300">
        <v>1111</v>
      </c>
      <c r="B124" s="300" t="s">
        <v>660</v>
      </c>
      <c r="C124" s="323">
        <v>44919705507.23671</v>
      </c>
      <c r="D124" s="299">
        <v>1248114912.4400001</v>
      </c>
      <c r="E124" s="294">
        <f t="shared" si="14"/>
        <v>3.7149065142778971E-2</v>
      </c>
      <c r="I124" s="124"/>
    </row>
    <row r="125" spans="1:9">
      <c r="A125" s="300">
        <v>1501</v>
      </c>
      <c r="B125" s="300" t="s">
        <v>1028</v>
      </c>
      <c r="C125" s="323">
        <v>11218675239.358135</v>
      </c>
      <c r="D125" s="530">
        <f>[2]日计表!H1112</f>
        <v>365126611.93000001</v>
      </c>
      <c r="E125" s="294">
        <f t="shared" si="14"/>
        <v>4.3514312721848906E-2</v>
      </c>
      <c r="I125" s="124"/>
    </row>
    <row r="126" spans="1:9">
      <c r="A126" s="300">
        <v>1503</v>
      </c>
      <c r="B126" s="300" t="s">
        <v>1036</v>
      </c>
      <c r="C126" s="323">
        <v>44499508437.388741</v>
      </c>
      <c r="D126" s="530">
        <f>[2]日计表!H1113</f>
        <v>1353521826.77</v>
      </c>
      <c r="E126" s="294">
        <f t="shared" si="14"/>
        <v>4.0666825050040309E-2</v>
      </c>
      <c r="I126" s="124"/>
    </row>
    <row r="127" spans="1:9">
      <c r="A127" s="300">
        <v>1531</v>
      </c>
      <c r="B127" s="300" t="s">
        <v>1062</v>
      </c>
      <c r="C127" s="323">
        <v>31240258854.721882</v>
      </c>
      <c r="D127" s="530">
        <f>[2]日计表!H1114</f>
        <v>1337646608.02</v>
      </c>
      <c r="E127" s="294">
        <f t="shared" si="14"/>
        <v>5.7247560701565656E-2</v>
      </c>
      <c r="I127" s="124"/>
    </row>
    <row r="128" spans="1:9" ht="12.75" thickBot="1">
      <c r="A128" s="300"/>
      <c r="B128" s="300"/>
      <c r="C128" s="323"/>
      <c r="D128" s="534"/>
      <c r="E128" s="294"/>
      <c r="I128" s="124"/>
    </row>
    <row r="129" spans="1:9" ht="15" thickBot="1">
      <c r="A129" s="486" t="s">
        <v>3418</v>
      </c>
      <c r="B129" s="354" t="s">
        <v>656</v>
      </c>
      <c r="C129" s="323">
        <v>39619307548.241714</v>
      </c>
      <c r="D129" s="535">
        <v>1783923431.7781453</v>
      </c>
      <c r="E129" s="294"/>
      <c r="F129" s="324" t="s">
        <v>2650</v>
      </c>
      <c r="G129" s="331"/>
      <c r="I129" s="124"/>
    </row>
    <row r="131" spans="1:9" ht="14.25">
      <c r="A131" s="300">
        <v>2017</v>
      </c>
      <c r="B131" s="300" t="s">
        <v>1333</v>
      </c>
      <c r="C131" s="323">
        <v>30266601270.095116</v>
      </c>
      <c r="D131" s="299">
        <v>1110223039.9200001</v>
      </c>
      <c r="I131" s="124"/>
    </row>
    <row r="132" spans="1:9" ht="14.25">
      <c r="A132" s="300">
        <v>2018</v>
      </c>
      <c r="B132" s="300" t="s">
        <v>1347</v>
      </c>
      <c r="C132" s="323">
        <v>2650544196.8941002</v>
      </c>
      <c r="D132" s="299">
        <v>0.05</v>
      </c>
      <c r="I132" s="124"/>
    </row>
    <row r="133" spans="1:9" ht="14.25">
      <c r="A133" s="300">
        <v>2019</v>
      </c>
      <c r="B133" s="300" t="s">
        <v>1349</v>
      </c>
      <c r="C133" s="323">
        <v>1736703296.7032967</v>
      </c>
      <c r="D133" s="299">
        <v>66894070.409999996</v>
      </c>
      <c r="I133" s="124"/>
    </row>
    <row r="134" spans="1:9" ht="14.25">
      <c r="A134" s="300">
        <v>2020</v>
      </c>
      <c r="B134" s="300" t="s">
        <v>2557</v>
      </c>
      <c r="C134" s="323"/>
      <c r="D134" s="299"/>
      <c r="I134" s="124"/>
    </row>
    <row r="135" spans="1:9" ht="14.25">
      <c r="A135" s="300">
        <v>2101</v>
      </c>
      <c r="B135" s="300" t="s">
        <v>484</v>
      </c>
      <c r="C135" s="323">
        <v>4433809523.8095236</v>
      </c>
      <c r="D135" s="299">
        <f>140992055.23+48029863.0136987</f>
        <v>189021918.24369869</v>
      </c>
      <c r="I135" s="124"/>
    </row>
    <row r="136" spans="1:9" ht="14.25">
      <c r="A136" s="300">
        <v>2111</v>
      </c>
      <c r="B136" s="300" t="s">
        <v>1351</v>
      </c>
      <c r="C136" s="323">
        <v>13444090331.941729</v>
      </c>
      <c r="D136" s="299">
        <v>258531752.78</v>
      </c>
      <c r="I136" s="124"/>
    </row>
    <row r="137" spans="1:9">
      <c r="A137" s="300"/>
      <c r="B137" s="300"/>
      <c r="C137" s="323"/>
      <c r="I137" s="124"/>
    </row>
    <row r="138" spans="1:9">
      <c r="A138" s="300">
        <v>2502</v>
      </c>
      <c r="B138" s="300" t="s">
        <v>141</v>
      </c>
      <c r="C138" s="323">
        <v>7593749873.6001797</v>
      </c>
      <c r="D138" s="536">
        <v>352762893.56000012</v>
      </c>
      <c r="I138" s="124"/>
    </row>
    <row r="139" spans="1:9" ht="14.25">
      <c r="A139" s="300">
        <v>2503</v>
      </c>
      <c r="B139" s="334" t="s">
        <v>3655</v>
      </c>
      <c r="C139" s="323">
        <v>4938380147.8615704</v>
      </c>
      <c r="D139" s="299">
        <v>160817499.21000001</v>
      </c>
      <c r="I139" s="124"/>
    </row>
    <row r="140" spans="1:9">
      <c r="B140" s="336" t="s">
        <v>3656</v>
      </c>
      <c r="D140" s="153"/>
      <c r="E140" s="124" t="s">
        <v>3657</v>
      </c>
      <c r="I140" s="124"/>
    </row>
    <row r="141" spans="1:9">
      <c r="B141" s="124" t="s">
        <v>3658</v>
      </c>
      <c r="D141" s="337"/>
      <c r="I141" s="124"/>
    </row>
    <row r="143" spans="1:9">
      <c r="D143" s="152"/>
      <c r="I143" s="124"/>
    </row>
    <row r="147" spans="6:9">
      <c r="F147" s="153"/>
      <c r="I147" s="124"/>
    </row>
    <row r="171" spans="2:9" ht="14.25" thickBot="1">
      <c r="C171" s="343" t="s">
        <v>3659</v>
      </c>
      <c r="D171" s="343" t="s">
        <v>3660</v>
      </c>
      <c r="E171" s="343" t="s">
        <v>3661</v>
      </c>
      <c r="I171" s="124"/>
    </row>
    <row r="172" spans="2:9" ht="14.25" thickBot="1">
      <c r="B172" s="339" t="s">
        <v>2567</v>
      </c>
      <c r="I172" s="124"/>
    </row>
    <row r="173" spans="2:9" ht="14.25" thickBot="1">
      <c r="B173" s="340" t="s">
        <v>2568</v>
      </c>
      <c r="C173" s="152">
        <f>F111</f>
        <v>128395554290.43137</v>
      </c>
      <c r="D173" s="152">
        <f>G111</f>
        <v>6285662193.8479929</v>
      </c>
      <c r="E173" s="294">
        <f>D173/C173*365/$D$1</f>
        <v>6.5453257904564563E-2</v>
      </c>
      <c r="F173" s="152">
        <f>C173/10^8</f>
        <v>1283.9555429043137</v>
      </c>
      <c r="G173" s="152">
        <f>D173/10^8</f>
        <v>62.856621938479933</v>
      </c>
      <c r="I173" s="124"/>
    </row>
    <row r="174" spans="2:9" ht="14.25" thickBot="1">
      <c r="B174" s="340" t="s">
        <v>2569</v>
      </c>
      <c r="C174" s="152">
        <f>C5+C6+C64</f>
        <v>160978118358.93057</v>
      </c>
      <c r="D174" s="152">
        <f>D5+D6+D64</f>
        <v>3792492031.5341096</v>
      </c>
      <c r="E174" s="294">
        <f>D174/C174*365/$D$1</f>
        <v>3.1498367641142222E-2</v>
      </c>
      <c r="F174" s="152">
        <f>C174/10^8</f>
        <v>1609.7811835893058</v>
      </c>
      <c r="G174" s="152">
        <f>D174/10^8</f>
        <v>37.924920315341097</v>
      </c>
      <c r="I174" s="124"/>
    </row>
    <row r="175" spans="2:9" ht="14.25" thickBot="1">
      <c r="B175" s="339" t="s">
        <v>2570</v>
      </c>
      <c r="E175" s="294"/>
      <c r="I175" s="124"/>
    </row>
    <row r="176" spans="2:9" ht="14.25" thickBot="1">
      <c r="B176" s="340" t="s">
        <v>2571</v>
      </c>
      <c r="C176" s="152">
        <f>F112+C88</f>
        <v>33313354822.167408</v>
      </c>
      <c r="D176" s="152">
        <f>G112+D88</f>
        <v>1437814476.9100001</v>
      </c>
      <c r="E176" s="294">
        <f>D176/C176*365/$D$1</f>
        <v>5.7705166566706767E-2</v>
      </c>
      <c r="F176" s="152">
        <f>C176/10^8</f>
        <v>333.13354822167406</v>
      </c>
      <c r="G176" s="152">
        <f>D176/10^8</f>
        <v>14.3781447691</v>
      </c>
      <c r="I176" s="124"/>
    </row>
    <row r="177" spans="2:9" ht="14.25" thickBot="1">
      <c r="B177" s="340" t="s">
        <v>218</v>
      </c>
      <c r="C177" s="152">
        <f>C7+C8+C65</f>
        <v>183419343395.69684</v>
      </c>
      <c r="D177" s="152">
        <f>D7+D8+D65</f>
        <v>3262264753.9550686</v>
      </c>
      <c r="E177" s="294">
        <f>D177/C177*365/$D$1</f>
        <v>2.3779585869199611E-2</v>
      </c>
      <c r="F177" s="152">
        <f>C177/10^8</f>
        <v>1834.1934339569684</v>
      </c>
      <c r="G177" s="152">
        <f>D177/10^8</f>
        <v>32.622647539550684</v>
      </c>
      <c r="I177" s="124"/>
    </row>
    <row r="178" spans="2:9" ht="14.25" thickBot="1">
      <c r="B178" s="339" t="s">
        <v>2572</v>
      </c>
      <c r="E178" s="294"/>
      <c r="I178" s="124"/>
    </row>
    <row r="179" spans="2:9" ht="14.25" thickBot="1">
      <c r="B179" s="340" t="s">
        <v>2573</v>
      </c>
      <c r="C179" s="152">
        <f>F113</f>
        <v>21662969263.544495</v>
      </c>
      <c r="D179" s="152">
        <f>G113</f>
        <v>1559119789.9299989</v>
      </c>
      <c r="E179" s="294">
        <f>D179/C179*365/$D$1</f>
        <v>9.6225841560088829E-2</v>
      </c>
      <c r="F179" s="152">
        <f>C179/10^8</f>
        <v>216.62969263544494</v>
      </c>
      <c r="G179" s="152">
        <f>D179/10^8</f>
        <v>15.591197899299988</v>
      </c>
      <c r="I179" s="124"/>
    </row>
    <row r="180" spans="2:9" ht="14.25" thickBot="1">
      <c r="B180" s="339" t="s">
        <v>2574</v>
      </c>
      <c r="E180" s="294"/>
      <c r="I180" s="124"/>
    </row>
    <row r="181" spans="2:9" ht="14.25" thickBot="1">
      <c r="B181" s="341" t="s">
        <v>3662</v>
      </c>
      <c r="C181" s="152">
        <f>C32+C33+C34+C35+C36</f>
        <v>189945447470.07703</v>
      </c>
      <c r="D181" s="152">
        <f>D32+D33+D34+D35+D36</f>
        <v>6805301427.7181454</v>
      </c>
      <c r="E181" s="294">
        <f>D181/C181*365/$D$1</f>
        <v>4.7901453823727243E-2</v>
      </c>
      <c r="F181" s="152">
        <f>C181/10^8</f>
        <v>1899.4544747007703</v>
      </c>
      <c r="G181" s="152">
        <f>D181/10^8</f>
        <v>68.053014277181447</v>
      </c>
      <c r="I181" s="124"/>
    </row>
    <row r="182" spans="2:9" ht="14.25" thickBot="1">
      <c r="B182" s="340" t="s">
        <v>3663</v>
      </c>
      <c r="E182" s="294"/>
      <c r="I182" s="124"/>
    </row>
    <row r="183" spans="2:9" ht="27.75" thickBot="1">
      <c r="B183" s="341" t="s">
        <v>3664</v>
      </c>
      <c r="C183" s="152">
        <f>SUM(C131:C139,C40)</f>
        <v>78507968972.847244</v>
      </c>
      <c r="D183" s="152">
        <f>SUM(D131:D141,D40)</f>
        <v>2396782926.9536991</v>
      </c>
      <c r="E183" s="294">
        <f>D183/C183*365/$D$1</f>
        <v>4.0817384984456286E-2</v>
      </c>
      <c r="F183" s="152">
        <f>C183/10^8</f>
        <v>785.07968972847243</v>
      </c>
      <c r="G183" s="152">
        <f>D183/10^8</f>
        <v>23.967829269536992</v>
      </c>
      <c r="I183" s="124"/>
    </row>
    <row r="184" spans="2:9" ht="13.5">
      <c r="B184" s="342" t="s">
        <v>3665</v>
      </c>
      <c r="I184" s="124"/>
    </row>
  </sheetData>
  <mergeCells count="1">
    <mergeCell ref="A106:A107"/>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K195"/>
  <sheetViews>
    <sheetView workbookViewId="0">
      <pane xSplit="2" ySplit="3" topLeftCell="C22" activePane="bottomRight" state="frozen"/>
      <selection pane="topRight" activeCell="C1" sqref="C1"/>
      <selection pane="bottomLeft" activeCell="A4" sqref="A4"/>
      <selection pane="bottomRight" activeCell="F32" sqref="F32"/>
    </sheetView>
  </sheetViews>
  <sheetFormatPr defaultColWidth="9" defaultRowHeight="12"/>
  <cols>
    <col min="1" max="1" width="17.25" style="124" customWidth="1"/>
    <col min="2" max="2" width="34.75" style="124" customWidth="1"/>
    <col min="3" max="4" width="21" style="124" customWidth="1"/>
    <col min="5" max="5" width="9.5" style="124" bestFit="1" customWidth="1"/>
    <col min="6" max="6" width="22.625" style="124" bestFit="1" customWidth="1"/>
    <col min="7" max="7" width="18" style="971" customWidth="1"/>
    <col min="8" max="8" width="14.875" style="971" customWidth="1"/>
    <col min="9" max="9" width="10.125" style="301" customWidth="1"/>
    <col min="10" max="10" width="15.125" style="124" bestFit="1" customWidth="1"/>
    <col min="11" max="11" width="19.375" style="124" bestFit="1" customWidth="1"/>
    <col min="12" max="13" width="25.5" style="124" customWidth="1"/>
    <col min="14" max="16384" width="9" style="124"/>
  </cols>
  <sheetData>
    <row r="1" spans="2:10">
      <c r="B1" s="259">
        <v>42736</v>
      </c>
      <c r="C1" s="259">
        <v>42916</v>
      </c>
      <c r="D1" s="258">
        <f>C1-B1+1</f>
        <v>181</v>
      </c>
      <c r="E1" s="124">
        <v>365</v>
      </c>
    </row>
    <row r="2" spans="2:10">
      <c r="C2" s="124" t="s">
        <v>106</v>
      </c>
      <c r="G2" s="971" t="s">
        <v>107</v>
      </c>
    </row>
    <row r="3" spans="2:10">
      <c r="C3" s="120" t="s">
        <v>90</v>
      </c>
      <c r="D3" s="120" t="s">
        <v>91</v>
      </c>
      <c r="E3" s="120" t="s">
        <v>92</v>
      </c>
      <c r="G3" s="972" t="s">
        <v>90</v>
      </c>
      <c r="H3" s="972" t="s">
        <v>91</v>
      </c>
      <c r="I3" s="302"/>
      <c r="J3" s="120" t="s">
        <v>3409</v>
      </c>
    </row>
    <row r="4" spans="2:10">
      <c r="B4" s="121" t="s">
        <v>39</v>
      </c>
    </row>
    <row r="5" spans="2:10">
      <c r="B5" s="122" t="s">
        <v>93</v>
      </c>
      <c r="C5" s="123">
        <f>C63+C68+C77+C78+C79+C81-C85</f>
        <v>74053461149.923004</v>
      </c>
      <c r="D5" s="123">
        <f>D63+D68+D77+D78+D79+D81-D85</f>
        <v>167150259.44</v>
      </c>
      <c r="E5" s="153">
        <f>D5*100/C5*$E$1/$D$1</f>
        <v>0.45517246585767618</v>
      </c>
      <c r="F5" s="155"/>
      <c r="G5" s="973">
        <f>C5/10^8</f>
        <v>740.5346114992301</v>
      </c>
      <c r="H5" s="973">
        <f>D5/10^8</f>
        <v>1.6715025943999999</v>
      </c>
      <c r="I5" s="402">
        <f>G5/(G5+G6)</f>
        <v>0.45663482859807875</v>
      </c>
      <c r="J5" s="401">
        <f>421.52/(G5+G6)</f>
        <v>0.2599212919447213</v>
      </c>
    </row>
    <row r="6" spans="2:10">
      <c r="B6" s="122" t="s">
        <v>94</v>
      </c>
      <c r="C6" s="123">
        <f>C64+C76+C82+C85</f>
        <v>88118709065.992462</v>
      </c>
      <c r="D6" s="123">
        <f>D64+D76+D82+D85</f>
        <v>1447353536.1499999</v>
      </c>
      <c r="E6" s="153">
        <f t="shared" ref="E6:E16" si="0">D6*100/C6*$E$1/$D$1</f>
        <v>3.3122323152098545</v>
      </c>
      <c r="F6" s="155"/>
      <c r="G6" s="973">
        <f t="shared" ref="G6:G8" si="1">C6/10^8</f>
        <v>881.18709065992459</v>
      </c>
      <c r="H6" s="973">
        <f t="shared" ref="H6:H8" si="2">D6/10^8</f>
        <v>14.473535361499998</v>
      </c>
      <c r="I6" s="402"/>
      <c r="J6" s="401"/>
    </row>
    <row r="7" spans="2:10">
      <c r="B7" s="122" t="s">
        <v>95</v>
      </c>
      <c r="C7" s="123">
        <f>C65+C67+C83</f>
        <v>80791300701.448914</v>
      </c>
      <c r="D7" s="123">
        <f>D65+D67+D83</f>
        <v>124244322.40000001</v>
      </c>
      <c r="E7" s="153">
        <f t="shared" si="0"/>
        <v>0.31011747649315002</v>
      </c>
      <c r="F7" s="155"/>
      <c r="G7" s="973">
        <f t="shared" si="1"/>
        <v>807.91300701448915</v>
      </c>
      <c r="H7" s="973">
        <f t="shared" si="2"/>
        <v>1.2424432240000001</v>
      </c>
      <c r="I7" s="402">
        <f>G7/(G7+G8)</f>
        <v>0.43223574698271727</v>
      </c>
      <c r="J7" s="401">
        <f>407.55/(G7+G8)</f>
        <v>0.21804040429274488</v>
      </c>
    </row>
    <row r="8" spans="2:10">
      <c r="B8" s="122" t="s">
        <v>45</v>
      </c>
      <c r="C8" s="123">
        <f>C66+C84</f>
        <v>106123597627.58565</v>
      </c>
      <c r="D8" s="123">
        <f>D66+D84</f>
        <v>1254845567.27</v>
      </c>
      <c r="E8" s="153">
        <f t="shared" si="0"/>
        <v>2.3844740815647723</v>
      </c>
      <c r="F8" s="403"/>
      <c r="G8" s="973">
        <f t="shared" si="1"/>
        <v>1061.2359762758565</v>
      </c>
      <c r="H8" s="973">
        <f t="shared" si="2"/>
        <v>12.548455672699999</v>
      </c>
      <c r="I8" s="303"/>
    </row>
    <row r="9" spans="2:10">
      <c r="B9" s="122" t="s">
        <v>523</v>
      </c>
      <c r="C9" s="123">
        <f>C69</f>
        <v>42901953419.889503</v>
      </c>
      <c r="D9" s="123">
        <f>D69</f>
        <v>692360310.59000003</v>
      </c>
      <c r="E9" s="153">
        <f t="shared" si="0"/>
        <v>3.2543884255655269</v>
      </c>
      <c r="F9" s="155"/>
      <c r="G9" s="973">
        <f t="shared" ref="G9" si="3">C9/10^8</f>
        <v>429.01953419889503</v>
      </c>
      <c r="H9" s="973">
        <f t="shared" ref="H9" si="4">D9/10^8</f>
        <v>6.9236031059000007</v>
      </c>
      <c r="I9" s="303"/>
    </row>
    <row r="10" spans="2:10">
      <c r="B10" s="124" t="s">
        <v>116</v>
      </c>
      <c r="C10" s="152">
        <f>SUM(C5:C9)</f>
        <v>391989021964.83954</v>
      </c>
      <c r="D10" s="152">
        <f>SUM(D5:D9)</f>
        <v>3685953995.8500004</v>
      </c>
      <c r="E10" s="153">
        <f t="shared" si="0"/>
        <v>1.8962268674246017</v>
      </c>
      <c r="G10" s="974">
        <f>G5+G6+G7+G8+G9</f>
        <v>3919.8902196483955</v>
      </c>
      <c r="H10" s="974">
        <f>H5+H6+H7+H8+H9</f>
        <v>36.859539958499994</v>
      </c>
    </row>
    <row r="11" spans="2:10" ht="16.5">
      <c r="B11" s="461" t="s">
        <v>4173</v>
      </c>
      <c r="C11" s="152">
        <f>C6+C8+C9</f>
        <v>237144260113.46762</v>
      </c>
      <c r="D11" s="152">
        <f>D6+D8+D9</f>
        <v>3394559414.0100002</v>
      </c>
      <c r="E11" s="153">
        <f t="shared" si="0"/>
        <v>2.8865898927709566</v>
      </c>
      <c r="G11" s="973">
        <f t="shared" ref="G11:H16" si="5">C11/10^8</f>
        <v>2371.4426011346764</v>
      </c>
      <c r="H11" s="973">
        <f t="shared" si="5"/>
        <v>33.945594140099999</v>
      </c>
    </row>
    <row r="12" spans="2:10" ht="16.5">
      <c r="B12" s="370" t="s">
        <v>3290</v>
      </c>
      <c r="C12" s="152">
        <f>C6+C70+C72</f>
        <v>111504175966.54494</v>
      </c>
      <c r="D12" s="152">
        <f>D6+D70+D72</f>
        <v>1836086709.0999999</v>
      </c>
      <c r="E12" s="153">
        <f t="shared" si="0"/>
        <v>3.320598320644808</v>
      </c>
      <c r="G12" s="973">
        <f t="shared" si="5"/>
        <v>1115.0417596654493</v>
      </c>
      <c r="H12" s="973">
        <f t="shared" si="5"/>
        <v>18.360867090999999</v>
      </c>
    </row>
    <row r="13" spans="2:10" ht="16.5">
      <c r="B13" s="370" t="s">
        <v>3291</v>
      </c>
      <c r="C13" s="152">
        <f>C8+C71</f>
        <v>125640084146.92267</v>
      </c>
      <c r="D13" s="152">
        <f>D8+D71</f>
        <v>1558472704.9099998</v>
      </c>
      <c r="E13" s="153">
        <f t="shared" si="0"/>
        <v>2.5014122447202114</v>
      </c>
      <c r="G13" s="973">
        <f t="shared" si="5"/>
        <v>1256.4008414692266</v>
      </c>
      <c r="H13" s="973">
        <f t="shared" si="5"/>
        <v>15.584727049099998</v>
      </c>
    </row>
    <row r="14" spans="2:10" ht="16.5">
      <c r="B14" s="371" t="s">
        <v>3292</v>
      </c>
      <c r="C14" s="152">
        <f>C5+C7</f>
        <v>154844761851.37192</v>
      </c>
      <c r="D14" s="152">
        <f>D5+D7</f>
        <v>291394581.84000003</v>
      </c>
      <c r="E14" s="153">
        <f t="shared" si="0"/>
        <v>0.37948904509563852</v>
      </c>
      <c r="G14" s="973">
        <f t="shared" si="5"/>
        <v>1548.4476185137191</v>
      </c>
      <c r="H14" s="973">
        <f t="shared" si="5"/>
        <v>2.9139458184000002</v>
      </c>
    </row>
    <row r="15" spans="2:10" ht="16.5">
      <c r="B15" s="568" t="s">
        <v>3799</v>
      </c>
      <c r="C15" s="321">
        <f>C5</f>
        <v>74053461149.923004</v>
      </c>
      <c r="D15" s="152">
        <f>D5</f>
        <v>167150259.44</v>
      </c>
      <c r="E15" s="153">
        <f>D15*100/C15*$E$1/$D$1</f>
        <v>0.45517246585767618</v>
      </c>
      <c r="G15" s="973">
        <f t="shared" si="5"/>
        <v>740.5346114992301</v>
      </c>
      <c r="H15" s="973">
        <f t="shared" si="5"/>
        <v>1.6715025943999999</v>
      </c>
    </row>
    <row r="16" spans="2:10" ht="16.5">
      <c r="B16" s="568" t="s">
        <v>3800</v>
      </c>
      <c r="C16" s="321">
        <f>C7</f>
        <v>80791300701.448914</v>
      </c>
      <c r="D16" s="152">
        <f>D7</f>
        <v>124244322.40000001</v>
      </c>
      <c r="E16" s="153">
        <f t="shared" si="0"/>
        <v>0.31011747649315002</v>
      </c>
      <c r="G16" s="973">
        <f t="shared" si="5"/>
        <v>807.91300701448915</v>
      </c>
      <c r="H16" s="973">
        <f t="shared" si="5"/>
        <v>1.2424432240000001</v>
      </c>
    </row>
    <row r="17" spans="2:9" ht="16.5">
      <c r="B17" s="746"/>
      <c r="C17" s="321">
        <f>C12+C13-C11</f>
        <v>0</v>
      </c>
      <c r="D17" s="321">
        <f>D12+D13-D11</f>
        <v>0</v>
      </c>
      <c r="E17" s="153"/>
      <c r="G17" s="973"/>
      <c r="H17" s="973"/>
    </row>
    <row r="18" spans="2:9" ht="16.5">
      <c r="B18" s="746"/>
      <c r="C18" s="321">
        <f>C15+C16-C14</f>
        <v>0</v>
      </c>
      <c r="D18" s="321">
        <f>D15+D16-D14</f>
        <v>0</v>
      </c>
      <c r="E18" s="153"/>
      <c r="G18" s="973"/>
      <c r="H18" s="973"/>
    </row>
    <row r="19" spans="2:9">
      <c r="C19" s="152">
        <f>C11+C14-SUM(C63:C69,C76:C80)</f>
        <v>0</v>
      </c>
      <c r="D19" s="152">
        <f>D11+D14-SUM(D63:D69,D76:D80)</f>
        <v>0</v>
      </c>
      <c r="E19" s="153"/>
    </row>
    <row r="20" spans="2:9">
      <c r="B20" s="121" t="s">
        <v>30</v>
      </c>
      <c r="C20" s="152"/>
      <c r="D20" s="152"/>
      <c r="E20" s="153"/>
    </row>
    <row r="21" spans="2:9">
      <c r="B21" s="122" t="s">
        <v>108</v>
      </c>
      <c r="C21" s="123">
        <f>C118</f>
        <v>150042082918.89346</v>
      </c>
      <c r="D21" s="123">
        <f>D118</f>
        <v>4005926638.201261</v>
      </c>
      <c r="E21" s="153">
        <f t="shared" ref="E21:E25" si="6">D21*100/C21*$E$1/$D$1</f>
        <v>5.3839894070806276</v>
      </c>
      <c r="F21" s="155"/>
      <c r="G21" s="973">
        <f t="shared" ref="G21:G26" si="7">C21/10^8</f>
        <v>1500.4208291889347</v>
      </c>
      <c r="H21" s="973">
        <f t="shared" ref="H21:H26" si="8">D21/10^8</f>
        <v>40.059266382012609</v>
      </c>
      <c r="I21" s="303"/>
    </row>
    <row r="22" spans="2:9">
      <c r="B22" s="122" t="s">
        <v>109</v>
      </c>
      <c r="C22" s="123">
        <f t="shared" ref="C22" si="9">C119</f>
        <v>46958877961.458641</v>
      </c>
      <c r="D22" s="123">
        <f>D119</f>
        <v>1106117166.9037325</v>
      </c>
      <c r="E22" s="153">
        <f t="shared" si="6"/>
        <v>4.7500448569997431</v>
      </c>
      <c r="F22" s="155"/>
      <c r="G22" s="973">
        <f t="shared" si="7"/>
        <v>469.58877961458643</v>
      </c>
      <c r="H22" s="973">
        <f t="shared" si="8"/>
        <v>11.061171669037325</v>
      </c>
      <c r="I22" s="303"/>
    </row>
    <row r="23" spans="2:9">
      <c r="B23" s="122" t="s">
        <v>110</v>
      </c>
      <c r="C23" s="123">
        <f t="shared" ref="C23:D23" si="10">C120</f>
        <v>16154001139.228262</v>
      </c>
      <c r="D23" s="123">
        <f t="shared" si="10"/>
        <v>554922175.97500682</v>
      </c>
      <c r="E23" s="153">
        <f t="shared" si="6"/>
        <v>6.9273361282561616</v>
      </c>
      <c r="F23" s="155"/>
      <c r="G23" s="973">
        <f t="shared" si="7"/>
        <v>161.54001139228262</v>
      </c>
      <c r="H23" s="973">
        <f t="shared" si="8"/>
        <v>5.5492217597500684</v>
      </c>
      <c r="I23" s="303"/>
    </row>
    <row r="24" spans="2:9">
      <c r="B24" s="122" t="s">
        <v>111</v>
      </c>
      <c r="C24" s="123">
        <f>C96</f>
        <v>17214253969.381721</v>
      </c>
      <c r="D24" s="123">
        <f>D96</f>
        <v>269004460.29000008</v>
      </c>
      <c r="E24" s="153">
        <f t="shared" si="6"/>
        <v>3.1512696339221837</v>
      </c>
      <c r="F24" s="155"/>
      <c r="G24" s="973">
        <f t="shared" si="7"/>
        <v>172.14253969381721</v>
      </c>
      <c r="H24" s="973">
        <f t="shared" si="8"/>
        <v>2.6900446029000009</v>
      </c>
      <c r="I24" s="303"/>
    </row>
    <row r="25" spans="2:9">
      <c r="B25" s="122" t="s">
        <v>112</v>
      </c>
      <c r="C25" s="123">
        <f>C95</f>
        <v>6452745659.35221</v>
      </c>
      <c r="D25" s="123">
        <f>D95</f>
        <v>99224702.870000005</v>
      </c>
      <c r="E25" s="153">
        <f t="shared" si="6"/>
        <v>3.1009127685802711</v>
      </c>
      <c r="F25" s="382"/>
      <c r="G25" s="973">
        <f t="shared" si="7"/>
        <v>64.527456593522103</v>
      </c>
      <c r="H25" s="973">
        <f t="shared" si="8"/>
        <v>0.99224702870000003</v>
      </c>
      <c r="I25" s="303"/>
    </row>
    <row r="26" spans="2:9">
      <c r="B26" s="124" t="s">
        <v>116</v>
      </c>
      <c r="C26" s="152">
        <f>SUM(C21:C25)</f>
        <v>236821961648.3143</v>
      </c>
      <c r="D26" s="152">
        <f>SUM(D21:D25)</f>
        <v>6035195144.2400007</v>
      </c>
      <c r="E26" s="153">
        <f>D26*100/C26*$E$1/$D$1</f>
        <v>5.1390593433634537</v>
      </c>
      <c r="G26" s="973">
        <f t="shared" si="7"/>
        <v>2368.219616483143</v>
      </c>
      <c r="H26" s="973">
        <f t="shared" si="8"/>
        <v>60.351951442400008</v>
      </c>
    </row>
    <row r="27" spans="2:9">
      <c r="C27" s="152">
        <f>C26-SUM(C118:C120)-C25-C24</f>
        <v>0</v>
      </c>
      <c r="D27" s="152">
        <f>D26-SUM(D118:D120)-D25-D24</f>
        <v>0</v>
      </c>
      <c r="E27" s="153"/>
    </row>
    <row r="28" spans="2:9" ht="16.5">
      <c r="B28" s="373" t="s">
        <v>3541</v>
      </c>
      <c r="C28" s="152">
        <f>C22+C23</f>
        <v>63112879100.686905</v>
      </c>
      <c r="D28" s="152">
        <f>D22+D23</f>
        <v>1661039342.8787394</v>
      </c>
      <c r="E28" s="153">
        <f>D28*100/C28*$E$1/$D$1</f>
        <v>5.3073315182562579</v>
      </c>
      <c r="G28" s="973">
        <f t="shared" ref="G28:G29" si="11">C28/10^8</f>
        <v>631.12879100686905</v>
      </c>
      <c r="H28" s="973">
        <f t="shared" ref="H28:H29" si="12">D28/10^8</f>
        <v>16.610393428787393</v>
      </c>
    </row>
    <row r="29" spans="2:9" ht="16.5">
      <c r="B29" s="374" t="s">
        <v>3293</v>
      </c>
      <c r="C29" s="152">
        <f>C21+C22+C23+C25</f>
        <v>219607707678.93259</v>
      </c>
      <c r="D29" s="152">
        <f>D21+D22+D23+D25</f>
        <v>5766190683.9500008</v>
      </c>
      <c r="E29" s="153">
        <f t="shared" ref="E29" si="13">D29*100/C29*$E$1/$D$1</f>
        <v>5.2948749896251632</v>
      </c>
      <c r="G29" s="973">
        <f t="shared" si="11"/>
        <v>2196.0770767893259</v>
      </c>
      <c r="H29" s="973">
        <f t="shared" si="12"/>
        <v>57.661906839500006</v>
      </c>
    </row>
    <row r="30" spans="2:9">
      <c r="C30" s="152"/>
      <c r="D30" s="152"/>
      <c r="E30" s="153"/>
      <c r="G30" s="973"/>
      <c r="H30" s="973"/>
    </row>
    <row r="31" spans="2:9">
      <c r="B31" s="121" t="s">
        <v>96</v>
      </c>
    </row>
    <row r="32" spans="2:9">
      <c r="B32" s="122" t="s">
        <v>97</v>
      </c>
      <c r="C32" s="123">
        <f>C124</f>
        <v>65888284908.867088</v>
      </c>
      <c r="D32" s="123">
        <f>D124</f>
        <v>495415836.14999998</v>
      </c>
      <c r="E32" s="153">
        <f t="shared" ref="E32:E36" si="14">D32*100/C32*$E$1/$D$1</f>
        <v>1.5162680071020216</v>
      </c>
      <c r="F32" s="155"/>
      <c r="G32" s="973">
        <f t="shared" ref="G32:G44" si="15">C32/10^8</f>
        <v>658.88284908867092</v>
      </c>
      <c r="H32" s="973">
        <f t="shared" ref="H32:H44" si="16">D32/10^8</f>
        <v>4.9541583614999993</v>
      </c>
      <c r="I32" s="303"/>
    </row>
    <row r="33" spans="2:11">
      <c r="B33" s="122" t="s">
        <v>98</v>
      </c>
      <c r="C33" s="123">
        <f>SUM(C125:C129)-C172</f>
        <v>13871600017.54834</v>
      </c>
      <c r="D33" s="123">
        <f>SUM(D125:D129)-C163-C164-C162-C165</f>
        <v>179993645.25999999</v>
      </c>
      <c r="E33" s="153">
        <f t="shared" si="14"/>
        <v>2.6166455935004214</v>
      </c>
      <c r="F33" s="155"/>
      <c r="G33" s="973">
        <f>C33/10^8</f>
        <v>138.7160001754834</v>
      </c>
      <c r="H33" s="973">
        <f t="shared" si="16"/>
        <v>1.7999364525999999</v>
      </c>
      <c r="I33" s="303"/>
    </row>
    <row r="34" spans="2:11">
      <c r="B34" s="122" t="s">
        <v>99</v>
      </c>
      <c r="C34" s="123">
        <f>C131-C173</f>
        <v>30332397871.715714</v>
      </c>
      <c r="D34" s="123">
        <f>D131-C166</f>
        <v>525862757.67000002</v>
      </c>
      <c r="E34" s="153">
        <f t="shared" si="14"/>
        <v>3.4960687154848564</v>
      </c>
      <c r="F34" s="155"/>
      <c r="G34" s="973">
        <f>C34/10^8</f>
        <v>303.32397871715716</v>
      </c>
      <c r="H34" s="973">
        <f t="shared" si="16"/>
        <v>5.2586275767000004</v>
      </c>
      <c r="I34" s="303"/>
    </row>
    <row r="35" spans="2:11">
      <c r="B35" s="122" t="s">
        <v>100</v>
      </c>
      <c r="C35" s="123">
        <f>C134-C175</f>
        <v>100184459281.75751</v>
      </c>
      <c r="D35" s="123">
        <f>D134-C168</f>
        <v>2043790610.54</v>
      </c>
      <c r="E35" s="153">
        <f t="shared" si="14"/>
        <v>4.1138677925924689</v>
      </c>
      <c r="F35" s="155"/>
      <c r="G35" s="973">
        <f t="shared" si="15"/>
        <v>1001.8445928175751</v>
      </c>
      <c r="H35" s="973">
        <f t="shared" si="16"/>
        <v>20.4379061054</v>
      </c>
      <c r="I35" s="303"/>
    </row>
    <row r="36" spans="2:11">
      <c r="B36" s="122" t="s">
        <v>101</v>
      </c>
      <c r="C36" s="123">
        <f>C130+C132+C133-C174</f>
        <v>108653587188.50757</v>
      </c>
      <c r="D36" s="123">
        <f>D130+D132+D133-C167</f>
        <v>1823251132.96</v>
      </c>
      <c r="E36" s="153">
        <f t="shared" si="14"/>
        <v>3.3838937057633589</v>
      </c>
      <c r="F36" s="155"/>
      <c r="G36" s="973">
        <f t="shared" si="15"/>
        <v>1086.5358718850757</v>
      </c>
      <c r="H36" s="973">
        <f t="shared" si="16"/>
        <v>18.232511329600001</v>
      </c>
      <c r="I36" s="303"/>
    </row>
    <row r="37" spans="2:11">
      <c r="B37" s="122" t="s">
        <v>148</v>
      </c>
      <c r="C37" s="123">
        <f>C177</f>
        <v>43609546762.160103</v>
      </c>
      <c r="D37" s="822">
        <f>C170</f>
        <v>768218068.23999989</v>
      </c>
      <c r="E37" s="153">
        <f>D37*100/C37*$E$1/$D$1</f>
        <v>3.5523621492505026</v>
      </c>
      <c r="F37" s="155"/>
      <c r="G37" s="973">
        <f t="shared" si="15"/>
        <v>436.09546762160102</v>
      </c>
      <c r="H37" s="973">
        <f t="shared" si="16"/>
        <v>7.6821806823999985</v>
      </c>
      <c r="I37" s="303"/>
      <c r="K37" s="152"/>
    </row>
    <row r="38" spans="2:11">
      <c r="B38" s="124" t="s">
        <v>116</v>
      </c>
      <c r="C38" s="125">
        <f>SUM(C32:C37)</f>
        <v>362539876030.55634</v>
      </c>
      <c r="D38" s="125">
        <f>SUM(D32:D37)</f>
        <v>5836532050.8199997</v>
      </c>
      <c r="E38" s="153">
        <f>D38*100/C38*$E$1/$D$1</f>
        <v>3.2464848641747279</v>
      </c>
      <c r="G38" s="974"/>
      <c r="H38" s="974"/>
      <c r="I38" s="303"/>
    </row>
    <row r="39" spans="2:11">
      <c r="C39" s="125"/>
      <c r="D39" s="125"/>
      <c r="E39" s="153"/>
      <c r="G39" s="974"/>
      <c r="H39" s="974"/>
      <c r="I39" s="303"/>
    </row>
    <row r="40" spans="2:11" ht="16.5">
      <c r="B40" s="375" t="s">
        <v>3294</v>
      </c>
      <c r="C40" s="125">
        <f>C33+C34+C35+C36+C37</f>
        <v>296651591121.68921</v>
      </c>
      <c r="D40" s="125">
        <f>D33+D34+D35+D36+D37</f>
        <v>5341116214.6700001</v>
      </c>
      <c r="E40" s="153">
        <f t="shared" ref="E40" si="17">D40*100/C40*$E$1/$D$1</f>
        <v>3.6307774978392713</v>
      </c>
      <c r="G40" s="973">
        <f t="shared" ref="G40" si="18">C40/10^8</f>
        <v>2966.5159112168922</v>
      </c>
      <c r="H40" s="973">
        <f t="shared" ref="H40" si="19">D40/10^8</f>
        <v>53.411162146700001</v>
      </c>
      <c r="I40" s="303"/>
    </row>
    <row r="41" spans="2:11">
      <c r="C41" s="125"/>
      <c r="D41" s="125"/>
      <c r="E41" s="153"/>
      <c r="G41" s="974"/>
      <c r="H41" s="974"/>
      <c r="I41" s="303"/>
    </row>
    <row r="42" spans="2:11">
      <c r="B42" s="122" t="s">
        <v>103</v>
      </c>
      <c r="C42" s="123">
        <f>C140+C141+C142+C143+C144</f>
        <v>25467044243.339329</v>
      </c>
      <c r="D42" s="123">
        <f>D140+D141+D142+D143+D144</f>
        <v>331441613.13999999</v>
      </c>
      <c r="E42" s="153">
        <f t="shared" ref="E42:E46" si="20">D42*100/C42*$E$1/$D$1</f>
        <v>2.624477058639886</v>
      </c>
      <c r="F42" s="155"/>
      <c r="G42" s="973">
        <f t="shared" si="15"/>
        <v>254.67044243339328</v>
      </c>
      <c r="H42" s="973">
        <f t="shared" si="16"/>
        <v>3.3144161313999998</v>
      </c>
      <c r="I42" s="303"/>
    </row>
    <row r="43" spans="2:11">
      <c r="B43" s="122" t="s">
        <v>104</v>
      </c>
      <c r="C43" s="123">
        <f>C145</f>
        <v>22506149695.025406</v>
      </c>
      <c r="D43" s="123">
        <f>D145</f>
        <v>308860348.99000001</v>
      </c>
      <c r="E43" s="153">
        <f t="shared" si="20"/>
        <v>2.7674210770106518</v>
      </c>
      <c r="F43" s="155"/>
      <c r="G43" s="973">
        <f t="shared" si="15"/>
        <v>225.06149695025405</v>
      </c>
      <c r="H43" s="973">
        <f t="shared" si="16"/>
        <v>3.0886034899000001</v>
      </c>
      <c r="I43" s="303"/>
    </row>
    <row r="44" spans="2:11">
      <c r="B44" s="122" t="s">
        <v>105</v>
      </c>
      <c r="C44" s="123">
        <f>C147</f>
        <v>7575833910.02386</v>
      </c>
      <c r="D44" s="123">
        <f>D147</f>
        <v>230194514.90000001</v>
      </c>
      <c r="E44" s="153">
        <f t="shared" si="20"/>
        <v>6.1274364513957247</v>
      </c>
      <c r="F44" s="155"/>
      <c r="G44" s="973">
        <f t="shared" si="15"/>
        <v>75.758339100238601</v>
      </c>
      <c r="H44" s="973">
        <f t="shared" si="16"/>
        <v>2.3019451490000002</v>
      </c>
      <c r="I44" s="303"/>
    </row>
    <row r="45" spans="2:11">
      <c r="B45" s="122" t="s">
        <v>3415</v>
      </c>
      <c r="C45" s="123">
        <f>C148</f>
        <v>111574069839.17805</v>
      </c>
      <c r="D45" s="123">
        <f>D148</f>
        <v>2171948742.0500002</v>
      </c>
      <c r="E45" s="153">
        <f t="shared" si="20"/>
        <v>3.9255506596056464</v>
      </c>
      <c r="F45" s="155"/>
      <c r="G45" s="973">
        <f t="shared" ref="G45" si="21">C45/10^8</f>
        <v>1115.7406983917806</v>
      </c>
      <c r="H45" s="973">
        <f t="shared" ref="H45" si="22">D45/10^8</f>
        <v>21.719487420500002</v>
      </c>
      <c r="I45" s="303"/>
    </row>
    <row r="46" spans="2:11">
      <c r="B46" s="124" t="s">
        <v>116</v>
      </c>
      <c r="C46" s="152">
        <f>SUM(C42:C45)</f>
        <v>167123097687.56665</v>
      </c>
      <c r="D46" s="152">
        <f>SUM(D42:D45)</f>
        <v>3042445219.0799999</v>
      </c>
      <c r="E46" s="153">
        <f t="shared" si="20"/>
        <v>3.6711368996129945</v>
      </c>
    </row>
    <row r="48" spans="2:11" ht="16.5">
      <c r="B48" s="376" t="s">
        <v>3295</v>
      </c>
      <c r="C48" s="152">
        <f>C42+C43+C45</f>
        <v>159547263777.54279</v>
      </c>
      <c r="D48" s="152">
        <f>D42+D43+D45</f>
        <v>2812250704.1800003</v>
      </c>
      <c r="E48" s="153">
        <f t="shared" ref="E48" si="23">D48*100/C48*$E$1/$D$1</f>
        <v>3.5545036399945911</v>
      </c>
      <c r="G48" s="973">
        <f t="shared" ref="G48" si="24">C48/10^8</f>
        <v>1595.4726377754278</v>
      </c>
      <c r="H48" s="973">
        <f t="shared" ref="H48" si="25">D48/10^8</f>
        <v>28.122507041800002</v>
      </c>
    </row>
    <row r="52" spans="1:5">
      <c r="B52" s="124" t="s">
        <v>117</v>
      </c>
      <c r="C52" s="152">
        <f>SUM(C26,C38)</f>
        <v>599361837678.87061</v>
      </c>
      <c r="D52" s="152">
        <f>SUM(D26,D38)</f>
        <v>11871727195.060001</v>
      </c>
      <c r="E52" s="153">
        <f>D52*100/C52*$E$1/$D$1</f>
        <v>3.9942855624353202</v>
      </c>
    </row>
    <row r="53" spans="1:5">
      <c r="B53" s="124" t="s">
        <v>118</v>
      </c>
      <c r="C53" s="152">
        <f>SUM(C10,C46)</f>
        <v>559112119652.40625</v>
      </c>
      <c r="D53" s="152">
        <f>SUM(D10,D46)</f>
        <v>6728399214.9300003</v>
      </c>
      <c r="E53" s="153">
        <f t="shared" ref="E53" si="26">D53*100/C53*$E$1/$D$1</f>
        <v>2.4267617141391984</v>
      </c>
    </row>
    <row r="54" spans="1:5">
      <c r="E54" s="152">
        <f>E52-E53</f>
        <v>1.5675238482961218</v>
      </c>
    </row>
    <row r="55" spans="1:5">
      <c r="C55" s="152"/>
      <c r="D55" s="152"/>
      <c r="E55" s="152">
        <f>(D52-D53)/C52*E1/D1*100</f>
        <v>1.7304913056333964</v>
      </c>
    </row>
    <row r="56" spans="1:5">
      <c r="C56" s="152"/>
    </row>
    <row r="58" spans="1:5">
      <c r="C58" s="152"/>
      <c r="D58" s="152"/>
    </row>
    <row r="59" spans="1:5">
      <c r="C59" s="152"/>
      <c r="D59" s="152"/>
    </row>
    <row r="61" spans="1:5">
      <c r="C61" s="120" t="s">
        <v>90</v>
      </c>
      <c r="D61" s="120" t="s">
        <v>91</v>
      </c>
    </row>
    <row r="63" spans="1:5">
      <c r="A63" s="300">
        <v>2001</v>
      </c>
      <c r="B63" s="304" t="s">
        <v>230</v>
      </c>
      <c r="C63" s="489">
        <v>71936749244.654602</v>
      </c>
      <c r="D63" s="490">
        <f>CUST_NS103_M!D67</f>
        <v>181555184.96000001</v>
      </c>
      <c r="E63" s="294">
        <f>D63/C63*$E$1/$D$1</f>
        <v>5.0894650609732443E-3</v>
      </c>
    </row>
    <row r="64" spans="1:5">
      <c r="A64" s="300">
        <v>2002</v>
      </c>
      <c r="B64" s="304" t="s">
        <v>241</v>
      </c>
      <c r="C64" s="489">
        <v>76298456562.461472</v>
      </c>
      <c r="D64" s="490">
        <f>CUST_NS103_M!D68</f>
        <v>1311157394.47</v>
      </c>
      <c r="E64" s="294">
        <f t="shared" ref="E64:E72" si="27">D64/C64*$E$1/$D$1</f>
        <v>3.4653999550980925E-2</v>
      </c>
    </row>
    <row r="65" spans="1:9">
      <c r="A65" s="300">
        <v>2003</v>
      </c>
      <c r="B65" s="304" t="s">
        <v>325</v>
      </c>
      <c r="C65" s="489">
        <v>80714793068.187149</v>
      </c>
      <c r="D65" s="490">
        <f>CUST_NS103_M!D69</f>
        <v>124190383.98</v>
      </c>
      <c r="E65" s="294">
        <f t="shared" si="27"/>
        <v>3.1027666998141947E-3</v>
      </c>
    </row>
    <row r="66" spans="1:9">
      <c r="A66" s="300">
        <v>2004</v>
      </c>
      <c r="B66" s="304" t="s">
        <v>334</v>
      </c>
      <c r="C66" s="489">
        <v>105928838003.30957</v>
      </c>
      <c r="D66" s="490">
        <f>CUST_NS103_M!D70</f>
        <v>1253185301.27</v>
      </c>
      <c r="E66" s="294">
        <f t="shared" si="27"/>
        <v>2.3856974901904582E-2</v>
      </c>
    </row>
    <row r="67" spans="1:9">
      <c r="A67" s="300">
        <v>2005</v>
      </c>
      <c r="B67" s="304" t="s">
        <v>521</v>
      </c>
      <c r="C67" s="489">
        <v>45855931.959723771</v>
      </c>
      <c r="D67" s="490">
        <f>CUST_NS103_M!D71</f>
        <v>0</v>
      </c>
      <c r="E67" s="294">
        <f t="shared" si="27"/>
        <v>0</v>
      </c>
    </row>
    <row r="68" spans="1:9">
      <c r="A68" s="300">
        <v>2006</v>
      </c>
      <c r="B68" s="304" t="s">
        <v>324</v>
      </c>
      <c r="C68" s="489">
        <v>733764112.7174592</v>
      </c>
      <c r="D68" s="490">
        <f>CUST_NS103_M!D72</f>
        <v>1291127.8400000001</v>
      </c>
      <c r="E68" s="294">
        <f t="shared" si="27"/>
        <v>3.5483550419327086E-3</v>
      </c>
    </row>
    <row r="69" spans="1:9">
      <c r="A69" s="300">
        <v>2008</v>
      </c>
      <c r="B69" s="304" t="s">
        <v>523</v>
      </c>
      <c r="C69" s="489">
        <v>42901953419.889503</v>
      </c>
      <c r="D69" s="490">
        <f>CUST_NS103_M!D74</f>
        <v>692360310.59000003</v>
      </c>
      <c r="E69" s="294">
        <f t="shared" si="27"/>
        <v>3.254388425565527E-2</v>
      </c>
    </row>
    <row r="70" spans="1:9">
      <c r="A70" s="304"/>
      <c r="B70" s="450" t="s">
        <v>2581</v>
      </c>
      <c r="C70" s="490">
        <f>日均!D5+日均!D6</f>
        <v>22513035961.325966</v>
      </c>
      <c r="D70" s="489">
        <f>'日计表-2017.06.30'!G1357+'日计表-2017.06.30'!G1358</f>
        <v>372491020.75999999</v>
      </c>
      <c r="E70" s="294">
        <f t="shared" si="27"/>
        <v>3.3365376714733753E-2</v>
      </c>
      <c r="F70" s="152" t="s">
        <v>2654</v>
      </c>
      <c r="G70" s="974">
        <f>C6+C70</f>
        <v>110631745027.31842</v>
      </c>
      <c r="H70" s="974">
        <f>D6+D70</f>
        <v>1819844556.9099998</v>
      </c>
      <c r="I70" s="294">
        <f>H70/G70*365/181</f>
        <v>3.3171783400554211E-2</v>
      </c>
    </row>
    <row r="71" spans="1:9">
      <c r="A71" s="304"/>
      <c r="B71" s="450" t="s">
        <v>2582</v>
      </c>
      <c r="C71" s="490">
        <f>日均!D8+日均!D9</f>
        <v>19516486519.337017</v>
      </c>
      <c r="D71" s="489">
        <f>SUM('日计表-2017.06.30'!G1359:G1360)</f>
        <v>303627137.63999999</v>
      </c>
      <c r="E71" s="294">
        <f t="shared" si="27"/>
        <v>3.1372796976923939E-2</v>
      </c>
      <c r="F71" s="152" t="s">
        <v>2655</v>
      </c>
      <c r="G71" s="974">
        <f>C8+C71</f>
        <v>125640084146.92267</v>
      </c>
      <c r="H71" s="974">
        <f>D8+D71</f>
        <v>1558472704.9099998</v>
      </c>
      <c r="I71" s="294">
        <f>H71/G71*365/181</f>
        <v>2.5014122447202108E-2</v>
      </c>
    </row>
    <row r="72" spans="1:9">
      <c r="A72" s="304"/>
      <c r="B72" s="450" t="s">
        <v>3296</v>
      </c>
      <c r="C72" s="490">
        <f>日均!D7</f>
        <v>872430939.22651935</v>
      </c>
      <c r="D72" s="489">
        <f>'日计表-2017.06.30'!G1361</f>
        <v>16242152.189999999</v>
      </c>
      <c r="E72" s="294">
        <f t="shared" si="27"/>
        <v>3.754281267399151E-2</v>
      </c>
      <c r="F72" s="152"/>
      <c r="G72" s="974"/>
      <c r="H72" s="974"/>
      <c r="I72" s="294"/>
    </row>
    <row r="73" spans="1:9">
      <c r="A73" s="304"/>
      <c r="B73" s="304"/>
      <c r="C73" s="305">
        <f>C69-C70-C71-C72</f>
        <v>1.1920928955078125E-6</v>
      </c>
      <c r="D73" s="305">
        <f>D69-D70-D71-D72</f>
        <v>5.7741999626159668E-8</v>
      </c>
    </row>
    <row r="74" spans="1:9">
      <c r="A74" s="304"/>
      <c r="B74" s="304"/>
      <c r="C74" s="305"/>
      <c r="D74" s="305"/>
      <c r="E74" s="294"/>
    </row>
    <row r="75" spans="1:9">
      <c r="A75" s="304"/>
      <c r="B75" s="304"/>
      <c r="C75" s="305"/>
      <c r="D75" s="305"/>
      <c r="E75" s="294"/>
    </row>
    <row r="76" spans="1:9">
      <c r="A76" s="300">
        <v>2009</v>
      </c>
      <c r="B76" s="304" t="s">
        <v>524</v>
      </c>
      <c r="C76" s="489">
        <v>2937016574.5856352</v>
      </c>
      <c r="D76" s="489">
        <f>VLOOKUP(F76,'日计表-2017.06.30'!A:H,7,0)</f>
        <v>55668053.75</v>
      </c>
      <c r="E76" s="294">
        <f>D76/C76*$E$1/$D$1</f>
        <v>3.8222045934443193E-2</v>
      </c>
      <c r="F76" s="124">
        <v>64119905</v>
      </c>
    </row>
    <row r="77" spans="1:9">
      <c r="A77" s="300">
        <v>2011</v>
      </c>
      <c r="B77" s="304" t="s">
        <v>525</v>
      </c>
      <c r="C77" s="489">
        <v>1250870134.6582875</v>
      </c>
      <c r="D77" s="488"/>
    </row>
    <row r="78" spans="1:9">
      <c r="A78" s="300">
        <v>2012</v>
      </c>
      <c r="B78" s="304" t="s">
        <v>526</v>
      </c>
      <c r="C78" s="489">
        <v>8564941.136961326</v>
      </c>
      <c r="D78" s="488"/>
    </row>
    <row r="79" spans="1:9">
      <c r="A79" s="300">
        <v>2013</v>
      </c>
      <c r="B79" s="304" t="s">
        <v>527</v>
      </c>
      <c r="C79" s="305">
        <v>0</v>
      </c>
      <c r="D79" s="488"/>
    </row>
    <row r="80" spans="1:9">
      <c r="A80" s="300">
        <v>2014</v>
      </c>
      <c r="B80" s="304" t="s">
        <v>528</v>
      </c>
      <c r="C80" s="489">
        <v>9232159971.2791729</v>
      </c>
      <c r="D80" s="490">
        <f>CUST_NS103_M!D73</f>
        <v>66546238.990000002</v>
      </c>
      <c r="E80" s="294">
        <f t="shared" ref="E80:E85" si="28">D80/C80*$E$1/$D$1</f>
        <v>1.4535650891484415E-2</v>
      </c>
    </row>
    <row r="81" spans="1:6">
      <c r="B81" s="298" t="s">
        <v>519</v>
      </c>
      <c r="C81" s="321">
        <f>日均!F6</f>
        <v>1306972718.3244753</v>
      </c>
      <c r="D81" s="490">
        <f>保证金存款!D2</f>
        <v>1935829.98</v>
      </c>
      <c r="E81" s="503">
        <f t="shared" si="28"/>
        <v>2.9868607699658524E-3</v>
      </c>
    </row>
    <row r="82" spans="1:6">
      <c r="B82" s="298" t="s">
        <v>520</v>
      </c>
      <c r="C82" s="321">
        <f>日均!F7</f>
        <v>7699775927.3765774</v>
      </c>
      <c r="D82" s="490">
        <f>保证金存款!D3</f>
        <v>62896204.589999996</v>
      </c>
      <c r="E82" s="503">
        <f t="shared" si="28"/>
        <v>1.647254269545094E-2</v>
      </c>
    </row>
    <row r="83" spans="1:6">
      <c r="B83" s="298" t="s">
        <v>529</v>
      </c>
      <c r="C83" s="321">
        <f>日均!F8</f>
        <v>30651701.302044183</v>
      </c>
      <c r="D83" s="490">
        <f>保证金存款!D4</f>
        <v>53938.42</v>
      </c>
      <c r="E83" s="503">
        <f t="shared" si="28"/>
        <v>3.5486071683098375E-3</v>
      </c>
    </row>
    <row r="84" spans="1:6">
      <c r="B84" s="298" t="s">
        <v>530</v>
      </c>
      <c r="C84" s="321">
        <f>日均!F9</f>
        <v>194759624.27607742</v>
      </c>
      <c r="D84" s="490">
        <f>保证金存款!D5</f>
        <v>1660265.9999999998</v>
      </c>
      <c r="E84" s="503">
        <f t="shared" si="28"/>
        <v>1.7190679194618471E-2</v>
      </c>
    </row>
    <row r="85" spans="1:6" ht="12.75">
      <c r="B85" s="506" t="s">
        <v>3515</v>
      </c>
      <c r="C85" s="489">
        <f>'2017.06.30ftp'!K48</f>
        <v>1183460001.5687799</v>
      </c>
      <c r="D85" s="489">
        <f>'2017.06.30ftp'!L47</f>
        <v>17631883.34</v>
      </c>
      <c r="E85" s="503">
        <f t="shared" si="28"/>
        <v>3.0044114539738469E-2</v>
      </c>
    </row>
    <row r="86" spans="1:6">
      <c r="B86" s="301"/>
      <c r="C86" s="321">
        <f>C80-C81-C82-C83-C84</f>
        <v>-1.3709068298339844E-6</v>
      </c>
      <c r="D86" s="490">
        <f>D80-D81-D82-D83-D84</f>
        <v>9.5460563898086548E-9</v>
      </c>
    </row>
    <row r="87" spans="1:6">
      <c r="B87" s="301"/>
      <c r="C87" s="321">
        <f>C10-SUM(C63:C69,C76:C80)</f>
        <v>0</v>
      </c>
      <c r="D87" s="490">
        <f>D10-SUM(D63:D69,D76:D80)</f>
        <v>0</v>
      </c>
    </row>
    <row r="88" spans="1:6">
      <c r="D88" s="152"/>
    </row>
    <row r="89" spans="1:6">
      <c r="A89" s="304" t="s">
        <v>2548</v>
      </c>
      <c r="B89" s="304" t="s">
        <v>2549</v>
      </c>
      <c r="C89" s="489">
        <v>236821961648.31427</v>
      </c>
      <c r="D89" s="490">
        <f>CUST_NS103_M!E5</f>
        <v>6035195144.2399998</v>
      </c>
      <c r="E89" s="294">
        <f t="shared" ref="E89:E99" si="29">D89/C89*$E$1/$D$1</f>
        <v>5.1390593433634536E-2</v>
      </c>
    </row>
    <row r="90" spans="1:6">
      <c r="A90" s="304" t="s">
        <v>2550</v>
      </c>
      <c r="B90" s="304" t="s">
        <v>2551</v>
      </c>
      <c r="C90" s="489">
        <v>13504914122.289162</v>
      </c>
      <c r="D90" s="490"/>
      <c r="E90" s="294"/>
    </row>
    <row r="91" spans="1:6">
      <c r="A91" s="304">
        <v>1301</v>
      </c>
      <c r="B91" s="304" t="s">
        <v>835</v>
      </c>
      <c r="C91" s="489">
        <v>7155583038.1789513</v>
      </c>
      <c r="D91" s="490">
        <f>CUST_NS103_M!D6</f>
        <v>238098041.55000001</v>
      </c>
      <c r="E91" s="294">
        <f t="shared" si="29"/>
        <v>6.7100396559925168E-2</v>
      </c>
    </row>
    <row r="92" spans="1:6">
      <c r="A92" s="304">
        <v>1302</v>
      </c>
      <c r="B92" s="304" t="s">
        <v>859</v>
      </c>
      <c r="C92" s="489">
        <v>0</v>
      </c>
      <c r="D92" s="490">
        <f>CUST_NS103_M!D7</f>
        <v>0</v>
      </c>
      <c r="E92" s="294" t="e">
        <f t="shared" si="29"/>
        <v>#DIV/0!</v>
      </c>
    </row>
    <row r="93" spans="1:6">
      <c r="A93" s="304">
        <v>1303</v>
      </c>
      <c r="B93" s="304" t="s">
        <v>860</v>
      </c>
      <c r="C93" s="489">
        <v>6349331084.1102171</v>
      </c>
      <c r="D93" s="490">
        <f>CUST_NS103_M!D8</f>
        <v>179742361.03</v>
      </c>
      <c r="E93" s="294">
        <f t="shared" si="29"/>
        <v>5.7086939145808986E-2</v>
      </c>
    </row>
    <row r="94" spans="1:6">
      <c r="A94" s="304">
        <v>1304</v>
      </c>
      <c r="B94" s="304" t="s">
        <v>876</v>
      </c>
      <c r="C94" s="489">
        <v>198503285003.07581</v>
      </c>
      <c r="D94" s="490">
        <f>CUST_NS103_M!D9</f>
        <v>5204940572.8900003</v>
      </c>
      <c r="E94" s="294">
        <f t="shared" si="29"/>
        <v>5.2876459343580554E-2</v>
      </c>
    </row>
    <row r="95" spans="1:6">
      <c r="A95" s="304">
        <v>1305</v>
      </c>
      <c r="B95" s="304" t="s">
        <v>494</v>
      </c>
      <c r="C95" s="489">
        <v>6452745659.35221</v>
      </c>
      <c r="D95" s="490">
        <f>CUST_NS103_M!D10</f>
        <v>99224702.870000005</v>
      </c>
      <c r="E95" s="294">
        <f t="shared" si="29"/>
        <v>3.1009127685802711E-2</v>
      </c>
    </row>
    <row r="96" spans="1:6">
      <c r="A96" s="304">
        <v>1306</v>
      </c>
      <c r="B96" s="304" t="s">
        <v>932</v>
      </c>
      <c r="C96" s="489">
        <v>17214253969.381721</v>
      </c>
      <c r="D96" s="490">
        <f>CUST_NS103_M!E26</f>
        <v>269004460.29000008</v>
      </c>
      <c r="E96" s="294">
        <f t="shared" si="29"/>
        <v>3.1512696339221838E-2</v>
      </c>
      <c r="F96" s="335" t="s">
        <v>2559</v>
      </c>
    </row>
    <row r="97" spans="1:8">
      <c r="A97" s="304">
        <v>1307</v>
      </c>
      <c r="B97" s="304" t="s">
        <v>956</v>
      </c>
      <c r="C97" s="489">
        <v>957974144.78088653</v>
      </c>
      <c r="D97" s="490">
        <f>CUST_NS103_M!D12</f>
        <v>6131122.9500000002</v>
      </c>
      <c r="E97" s="294">
        <f t="shared" si="29"/>
        <v>1.2906263482928995E-2</v>
      </c>
    </row>
    <row r="98" spans="1:8">
      <c r="A98" s="304">
        <v>1308</v>
      </c>
      <c r="B98" s="304" t="s">
        <v>415</v>
      </c>
      <c r="C98" s="489">
        <v>188788749.43458521</v>
      </c>
      <c r="D98" s="490">
        <f>CUST_NS103_M!D13</f>
        <v>5832381.7800000003</v>
      </c>
      <c r="E98" s="294">
        <f t="shared" si="29"/>
        <v>6.2299437368464702E-2</v>
      </c>
    </row>
    <row r="99" spans="1:8">
      <c r="A99" s="304">
        <v>1309</v>
      </c>
      <c r="B99" s="304" t="s">
        <v>974</v>
      </c>
      <c r="C99" s="489">
        <v>6655345957.3688402</v>
      </c>
      <c r="D99" s="490">
        <f>CUST_NS103_M!D14</f>
        <v>32209568.129999999</v>
      </c>
      <c r="E99" s="294">
        <f t="shared" si="29"/>
        <v>9.7595221828148931E-3</v>
      </c>
      <c r="F99" s="324" t="s">
        <v>2552</v>
      </c>
    </row>
    <row r="100" spans="1:8">
      <c r="A100" s="304"/>
      <c r="B100" s="304" t="s">
        <v>2538</v>
      </c>
      <c r="C100" s="489">
        <v>0</v>
      </c>
      <c r="D100" s="490"/>
      <c r="E100" s="294"/>
    </row>
    <row r="101" spans="1:8">
      <c r="C101" s="488"/>
      <c r="D101" s="490">
        <f>CUST_NS103_M!D16</f>
        <v>11932.75</v>
      </c>
      <c r="E101" s="294"/>
      <c r="F101" s="324" t="s">
        <v>2553</v>
      </c>
    </row>
    <row r="102" spans="1:8">
      <c r="C102" s="747"/>
      <c r="D102" s="152"/>
    </row>
    <row r="103" spans="1:8">
      <c r="D103" s="152"/>
    </row>
    <row r="106" spans="1:8">
      <c r="B106" s="124" t="s">
        <v>2543</v>
      </c>
    </row>
    <row r="107" spans="1:8" s="301" customFormat="1">
      <c r="B107" s="488" t="s">
        <v>108</v>
      </c>
      <c r="C107" s="424">
        <f>'2017.06.30ftp'!K367</f>
        <v>149861687940.00867</v>
      </c>
      <c r="D107" s="424">
        <f>'2017.06.30ftp'!L367</f>
        <v>3962208786.0900521</v>
      </c>
      <c r="E107" s="503">
        <f t="shared" ref="E107:E109" si="30">D107/C107*$E$1/$D$1</f>
        <v>5.331642563781111E-2</v>
      </c>
      <c r="G107" s="975"/>
      <c r="H107" s="975"/>
    </row>
    <row r="108" spans="1:8" s="301" customFormat="1">
      <c r="B108" s="488" t="s">
        <v>33</v>
      </c>
      <c r="C108" s="424">
        <f>'2017.06.30ftp'!K368</f>
        <v>46902419495.716797</v>
      </c>
      <c r="D108" s="424">
        <f>'2017.06.30ftp'!L368</f>
        <v>1092434730.3360059</v>
      </c>
      <c r="E108" s="503">
        <f t="shared" si="30"/>
        <v>4.696934907296596E-2</v>
      </c>
      <c r="G108" s="975"/>
      <c r="H108" s="975"/>
    </row>
    <row r="109" spans="1:8" s="301" customFormat="1">
      <c r="B109" s="488" t="s">
        <v>32</v>
      </c>
      <c r="C109" s="424">
        <f>'2017.06.30ftp'!K369</f>
        <v>16134579250.130713</v>
      </c>
      <c r="D109" s="424">
        <f>'2017.06.30ftp'!L369</f>
        <v>550215374.929124</v>
      </c>
      <c r="E109" s="503">
        <f t="shared" si="30"/>
        <v>6.8768470779857066E-2</v>
      </c>
      <c r="G109" s="975"/>
      <c r="H109" s="975"/>
    </row>
    <row r="110" spans="1:8">
      <c r="B110" s="453" t="s">
        <v>4380</v>
      </c>
      <c r="C110" s="504">
        <f>C89-C95-C96-SUM(C107:C109)-C114</f>
        <v>256275333.72418213</v>
      </c>
      <c r="D110" s="505">
        <f>SUM(D91:D94,D97:D101)-SUM(D107:D109)</f>
        <v>62107089.72481823</v>
      </c>
      <c r="F110" s="124" t="s">
        <v>3525</v>
      </c>
    </row>
    <row r="111" spans="1:8">
      <c r="B111" s="301"/>
      <c r="C111" s="321"/>
      <c r="D111" s="516"/>
    </row>
    <row r="113" spans="1:10" s="301" customFormat="1">
      <c r="A113" s="579" t="s">
        <v>2554</v>
      </c>
      <c r="B113" s="562">
        <v>999999</v>
      </c>
      <c r="C113" s="563"/>
      <c r="D113" s="516"/>
      <c r="G113" s="975"/>
      <c r="H113" s="975"/>
    </row>
    <row r="114" spans="1:10" s="301" customFormat="1">
      <c r="A114" s="579"/>
      <c r="B114" s="562">
        <v>370081</v>
      </c>
      <c r="C114" s="563"/>
      <c r="D114" s="516"/>
      <c r="F114" s="301" t="s">
        <v>2555</v>
      </c>
      <c r="G114" s="975"/>
      <c r="H114" s="975"/>
    </row>
    <row r="115" spans="1:10" s="301" customFormat="1">
      <c r="A115" s="564"/>
      <c r="B115" s="562">
        <v>999990</v>
      </c>
      <c r="C115" s="565"/>
      <c r="D115" s="516"/>
      <c r="G115" s="975"/>
      <c r="H115" s="975"/>
    </row>
    <row r="116" spans="1:10">
      <c r="C116" s="152"/>
    </row>
    <row r="117" spans="1:10">
      <c r="B117" s="331" t="s">
        <v>2556</v>
      </c>
    </row>
    <row r="118" spans="1:10">
      <c r="B118" s="488" t="s">
        <v>108</v>
      </c>
      <c r="C118" s="152">
        <f>F118+F118/SUM($F$118:$F$120)*$C$110</f>
        <v>150042082918.89346</v>
      </c>
      <c r="D118" s="152">
        <f>G118+F118/SUM($F$118:$F$120)*$D$110</f>
        <v>4005926638.201261</v>
      </c>
      <c r="E118" s="294">
        <f t="shared" ref="E118:E120" si="31">D118/C118*$E$1/$D$1</f>
        <v>5.383989407080627E-2</v>
      </c>
      <c r="F118" s="152">
        <f t="shared" ref="F118:G120" si="32">C107</f>
        <v>149861687940.00867</v>
      </c>
      <c r="G118" s="974">
        <f t="shared" si="32"/>
        <v>3962208786.0900521</v>
      </c>
      <c r="J118" s="456">
        <f>C118-F118</f>
        <v>180394978.88479614</v>
      </c>
    </row>
    <row r="119" spans="1:10">
      <c r="B119" s="488" t="s">
        <v>33</v>
      </c>
      <c r="C119" s="152">
        <f>F119+F119/SUM($F$118:$F$120)*$C$110</f>
        <v>46958877961.458641</v>
      </c>
      <c r="D119" s="152">
        <f>G119+F119/SUM($F$118:$F$120)*$D$110</f>
        <v>1106117166.9037325</v>
      </c>
      <c r="E119" s="294">
        <f t="shared" si="31"/>
        <v>4.7500448569997432E-2</v>
      </c>
      <c r="F119" s="152">
        <f t="shared" si="32"/>
        <v>46902419495.716797</v>
      </c>
      <c r="G119" s="974">
        <f t="shared" si="32"/>
        <v>1092434730.3360059</v>
      </c>
      <c r="J119" s="456">
        <f t="shared" ref="J119:J120" si="33">C119-F119</f>
        <v>56458465.741844177</v>
      </c>
    </row>
    <row r="120" spans="1:10">
      <c r="B120" s="488" t="s">
        <v>32</v>
      </c>
      <c r="C120" s="152">
        <f>F120+F120/SUM($F$118:$F$120)*$C$110</f>
        <v>16154001139.228262</v>
      </c>
      <c r="D120" s="152">
        <f>G120+F120/SUM($F$118:$F$120)*$D$110</f>
        <v>554922175.97500682</v>
      </c>
      <c r="E120" s="294">
        <f t="shared" si="31"/>
        <v>6.9273361282561619E-2</v>
      </c>
      <c r="F120" s="152">
        <f t="shared" si="32"/>
        <v>16134579250.130713</v>
      </c>
      <c r="G120" s="974">
        <f t="shared" si="32"/>
        <v>550215374.929124</v>
      </c>
      <c r="J120" s="456">
        <f t="shared" si="33"/>
        <v>19421889.097549438</v>
      </c>
    </row>
    <row r="121" spans="1:10">
      <c r="C121" s="152">
        <f>C89-C95-C96-SUM(C118:C120)</f>
        <v>0</v>
      </c>
      <c r="D121" s="152">
        <f>D89-D95-D96-SUM(D118:D120)</f>
        <v>0</v>
      </c>
    </row>
    <row r="122" spans="1:10">
      <c r="F122" s="152">
        <f>C118-F118</f>
        <v>180394978.88479614</v>
      </c>
      <c r="G122" s="976">
        <v>-30757470.399566699</v>
      </c>
    </row>
    <row r="123" spans="1:10">
      <c r="F123" s="152">
        <f t="shared" ref="F123:F124" si="34">C119-F119</f>
        <v>56458465.741844177</v>
      </c>
      <c r="G123" s="974">
        <v>-13207523.4191055</v>
      </c>
    </row>
    <row r="124" spans="1:10">
      <c r="A124" s="300">
        <v>1002</v>
      </c>
      <c r="B124" s="304" t="s">
        <v>609</v>
      </c>
      <c r="C124" s="491">
        <v>65888284908.867088</v>
      </c>
      <c r="D124" s="323">
        <f>CUST_NS103_M!D19</f>
        <v>495415836.14999998</v>
      </c>
      <c r="E124" s="294">
        <f t="shared" ref="E124:E145" si="35">D124/C124*$E$1/$D$1</f>
        <v>1.5162680071020217E-2</v>
      </c>
      <c r="F124" s="152">
        <f t="shared" si="34"/>
        <v>19421889.097549438</v>
      </c>
    </row>
    <row r="125" spans="1:10" s="301" customFormat="1">
      <c r="A125" s="742">
        <v>1011</v>
      </c>
      <c r="B125" s="506" t="s">
        <v>624</v>
      </c>
      <c r="C125" s="493">
        <v>8217688069.249671</v>
      </c>
      <c r="D125" s="743">
        <f>CUST_NS103_M!D20</f>
        <v>84701861.689999998</v>
      </c>
      <c r="E125" s="503">
        <f t="shared" si="35"/>
        <v>2.0785362038650747E-2</v>
      </c>
      <c r="G125" s="975"/>
      <c r="H125" s="975"/>
    </row>
    <row r="126" spans="1:10" s="301" customFormat="1">
      <c r="A126" s="742">
        <v>1012</v>
      </c>
      <c r="B126" s="506" t="s">
        <v>634</v>
      </c>
      <c r="C126" s="493">
        <v>778282071.853315</v>
      </c>
      <c r="D126" s="743">
        <f>CUST_NS103_M!D21</f>
        <v>2143460.4500000002</v>
      </c>
      <c r="E126" s="503">
        <f t="shared" si="35"/>
        <v>5.5538319911334084E-3</v>
      </c>
      <c r="G126" s="975"/>
      <c r="H126" s="975"/>
    </row>
    <row r="127" spans="1:10" s="301" customFormat="1">
      <c r="A127" s="742">
        <v>1013</v>
      </c>
      <c r="B127" s="506" t="s">
        <v>640</v>
      </c>
      <c r="C127" s="493">
        <v>5198439268.7105474</v>
      </c>
      <c r="D127" s="743">
        <f>CUST_NS103_M!D22</f>
        <v>98943774.540000007</v>
      </c>
      <c r="E127" s="503">
        <f t="shared" si="35"/>
        <v>3.83821933527543E-2</v>
      </c>
      <c r="G127" s="975"/>
      <c r="H127" s="975"/>
    </row>
    <row r="128" spans="1:10" s="301" customFormat="1">
      <c r="A128" s="742">
        <v>1014</v>
      </c>
      <c r="B128" s="506" t="s">
        <v>2648</v>
      </c>
      <c r="C128" s="493">
        <v>0</v>
      </c>
      <c r="D128" s="743">
        <f>CUST_NS103_M!D23</f>
        <v>6629.92</v>
      </c>
      <c r="E128" s="503" t="e">
        <f t="shared" si="35"/>
        <v>#DIV/0!</v>
      </c>
      <c r="G128" s="975"/>
      <c r="H128" s="975"/>
    </row>
    <row r="129" spans="1:8" s="301" customFormat="1">
      <c r="A129" s="742">
        <v>1031</v>
      </c>
      <c r="B129" s="506" t="s">
        <v>644</v>
      </c>
      <c r="C129" s="493">
        <v>1500000</v>
      </c>
      <c r="D129" s="743">
        <f>CUST_NS103_M!D24</f>
        <v>4863.0600000000004</v>
      </c>
      <c r="E129" s="503">
        <f t="shared" si="35"/>
        <v>6.5378154696132604E-3</v>
      </c>
      <c r="G129" s="975"/>
      <c r="H129" s="975"/>
    </row>
    <row r="130" spans="1:8" s="301" customFormat="1">
      <c r="A130" s="742">
        <v>1101</v>
      </c>
      <c r="B130" s="745" t="s">
        <v>648</v>
      </c>
      <c r="C130" s="493">
        <v>17869158509.530388</v>
      </c>
      <c r="D130" s="489">
        <f>VLOOKUP(F130,'日计表-2017.06.30'!A:H,8,0)</f>
        <v>349495148.02999997</v>
      </c>
      <c r="E130" s="503">
        <f t="shared" si="35"/>
        <v>3.9441310733478285E-2</v>
      </c>
      <c r="F130" s="301">
        <v>61110401</v>
      </c>
      <c r="G130" s="975"/>
      <c r="H130" s="975"/>
    </row>
    <row r="131" spans="1:8" s="301" customFormat="1">
      <c r="A131" s="742">
        <v>1111</v>
      </c>
      <c r="B131" s="506" t="s">
        <v>660</v>
      </c>
      <c r="C131" s="493">
        <v>38351962512.599693</v>
      </c>
      <c r="D131" s="743">
        <f>CUST_NS103_M!D25</f>
        <v>674893962.11000001</v>
      </c>
      <c r="E131" s="503">
        <f t="shared" si="35"/>
        <v>3.5486424235595795E-2</v>
      </c>
      <c r="G131" s="975"/>
      <c r="H131" s="975"/>
    </row>
    <row r="132" spans="1:8" s="301" customFormat="1">
      <c r="A132" s="742">
        <v>1501</v>
      </c>
      <c r="B132" s="506" t="s">
        <v>1028</v>
      </c>
      <c r="C132" s="493">
        <v>31072663059.072887</v>
      </c>
      <c r="D132" s="489">
        <f>VLOOKUP(F132,'日计表-2017.06.30'!A:H,8,0)</f>
        <v>531179238.16000003</v>
      </c>
      <c r="E132" s="503">
        <f t="shared" si="35"/>
        <v>3.4472827451390256E-2</v>
      </c>
      <c r="F132" s="301">
        <v>61110402</v>
      </c>
      <c r="G132" s="975"/>
      <c r="H132" s="975"/>
    </row>
    <row r="133" spans="1:8" s="301" customFormat="1">
      <c r="A133" s="742">
        <v>1503</v>
      </c>
      <c r="B133" s="506" t="s">
        <v>1036</v>
      </c>
      <c r="C133" s="493">
        <v>60011765619.904305</v>
      </c>
      <c r="D133" s="489">
        <f>VLOOKUP(F133,'日计表-2017.06.30'!A:H,8,0)</f>
        <v>949687815.25</v>
      </c>
      <c r="E133" s="503">
        <f t="shared" si="35"/>
        <v>3.1912347399516025E-2</v>
      </c>
      <c r="F133" s="301">
        <v>61110403</v>
      </c>
      <c r="G133" s="975"/>
      <c r="H133" s="975"/>
    </row>
    <row r="134" spans="1:8" s="301" customFormat="1">
      <c r="A134" s="742">
        <v>1531</v>
      </c>
      <c r="B134" s="506" t="s">
        <v>3617</v>
      </c>
      <c r="C134" s="493">
        <v>135150132010.76845</v>
      </c>
      <c r="D134" s="489">
        <f>VLOOKUP(F134,'日计表-2017.06.30'!A:H,8,0)</f>
        <v>2650059461.46</v>
      </c>
      <c r="E134" s="503">
        <f>D134/C134*$E$1/$D$1</f>
        <v>3.9541526751723489E-2</v>
      </c>
      <c r="F134" s="301">
        <v>61110404</v>
      </c>
      <c r="G134" s="975"/>
      <c r="H134" s="975"/>
    </row>
    <row r="135" spans="1:8" s="301" customFormat="1">
      <c r="A135" s="742"/>
      <c r="B135" s="506"/>
      <c r="C135" s="493"/>
      <c r="D135" s="493"/>
      <c r="E135" s="503"/>
      <c r="G135" s="975"/>
      <c r="H135" s="975"/>
    </row>
    <row r="136" spans="1:8">
      <c r="C136" s="323"/>
      <c r="D136" s="323"/>
      <c r="E136" s="294"/>
      <c r="F136" s="300"/>
    </row>
    <row r="137" spans="1:8" ht="12.75" thickBot="1">
      <c r="A137" s="300"/>
      <c r="B137" s="300"/>
      <c r="D137" s="323"/>
      <c r="E137" s="294"/>
    </row>
    <row r="138" spans="1:8" ht="12.75" thickBot="1">
      <c r="A138" s="452"/>
      <c r="B138" s="454" t="s">
        <v>102</v>
      </c>
      <c r="E138" s="294"/>
      <c r="F138" s="324" t="s">
        <v>2650</v>
      </c>
      <c r="G138" s="331"/>
    </row>
    <row r="140" spans="1:8">
      <c r="A140" s="300">
        <v>2017</v>
      </c>
      <c r="B140" s="304" t="s">
        <v>1333</v>
      </c>
      <c r="C140" s="491">
        <v>20455711564.290051</v>
      </c>
      <c r="D140" s="323">
        <f>CUST_NS103_M!D81</f>
        <v>260409102.08000001</v>
      </c>
      <c r="E140" s="294">
        <f t="shared" si="35"/>
        <v>2.5671772672009596E-2</v>
      </c>
    </row>
    <row r="141" spans="1:8">
      <c r="A141" s="300">
        <v>2018</v>
      </c>
      <c r="B141" s="304" t="s">
        <v>1347</v>
      </c>
      <c r="C141" s="491">
        <v>0</v>
      </c>
      <c r="D141" s="323"/>
    </row>
    <row r="142" spans="1:8">
      <c r="A142" s="300">
        <v>2019</v>
      </c>
      <c r="B142" s="304" t="s">
        <v>1349</v>
      </c>
      <c r="C142" s="491">
        <v>5011332679.0492773</v>
      </c>
      <c r="D142" s="323">
        <f>CUST_NS103_M!D82</f>
        <v>71032511.060000002</v>
      </c>
      <c r="E142" s="294">
        <f t="shared" si="35"/>
        <v>2.8583685365034223E-2</v>
      </c>
    </row>
    <row r="143" spans="1:8" ht="12.75" thickBot="1">
      <c r="A143" s="300">
        <v>2020</v>
      </c>
      <c r="B143" s="304" t="s">
        <v>2557</v>
      </c>
      <c r="C143" s="491">
        <v>0</v>
      </c>
    </row>
    <row r="144" spans="1:8" ht="12.75" thickBot="1">
      <c r="A144" s="300">
        <v>2101</v>
      </c>
      <c r="B144" s="492" t="s">
        <v>3408</v>
      </c>
      <c r="C144" s="493">
        <v>0</v>
      </c>
      <c r="D144" s="323">
        <f>-CUST_NS103_M!D63</f>
        <v>0</v>
      </c>
      <c r="E144" s="294" t="e">
        <f t="shared" si="35"/>
        <v>#DIV/0!</v>
      </c>
      <c r="F144" s="335"/>
    </row>
    <row r="145" spans="1:8">
      <c r="A145" s="300">
        <v>2111</v>
      </c>
      <c r="B145" s="304" t="s">
        <v>1351</v>
      </c>
      <c r="C145" s="491">
        <v>22506149695.025406</v>
      </c>
      <c r="D145" s="323">
        <f>CUST_NS103_M!D83</f>
        <v>308860348.99000001</v>
      </c>
      <c r="E145" s="294">
        <f t="shared" si="35"/>
        <v>2.7674210770106518E-2</v>
      </c>
    </row>
    <row r="146" spans="1:8">
      <c r="A146" s="300"/>
      <c r="B146" s="304"/>
      <c r="C146" s="491"/>
    </row>
    <row r="147" spans="1:8">
      <c r="A147" s="300">
        <v>2502</v>
      </c>
      <c r="B147" s="304" t="s">
        <v>141</v>
      </c>
      <c r="C147" s="491">
        <v>7575833910.02386</v>
      </c>
      <c r="D147" s="489">
        <f>VLOOKUP(F147,'日计表-2017.06.30'!A:H,7,0)</f>
        <v>230194514.90000001</v>
      </c>
      <c r="E147" s="294">
        <f t="shared" ref="E147:E148" si="36">D147/C147*$E$1/$D$1</f>
        <v>6.1274364513957257E-2</v>
      </c>
      <c r="F147" s="124">
        <v>64119999</v>
      </c>
    </row>
    <row r="148" spans="1:8">
      <c r="A148" s="300">
        <v>2503</v>
      </c>
      <c r="B148" s="455" t="s">
        <v>2558</v>
      </c>
      <c r="C148" s="491">
        <v>111574069839.17805</v>
      </c>
      <c r="D148" s="323">
        <f>CUST_NS103_M!D86</f>
        <v>2171948742.0500002</v>
      </c>
      <c r="E148" s="294">
        <f t="shared" si="36"/>
        <v>3.9255506596056471E-2</v>
      </c>
    </row>
    <row r="149" spans="1:8" s="301" customFormat="1">
      <c r="B149" s="670"/>
      <c r="D149" s="658"/>
      <c r="G149" s="975"/>
      <c r="H149" s="975"/>
    </row>
    <row r="150" spans="1:8" s="301" customFormat="1">
      <c r="D150" s="424"/>
      <c r="G150" s="975"/>
      <c r="H150" s="975"/>
    </row>
    <row r="151" spans="1:8">
      <c r="C151" s="152"/>
      <c r="D151" s="152"/>
    </row>
    <row r="152" spans="1:8">
      <c r="A152" s="525" t="s">
        <v>3544</v>
      </c>
      <c r="B152" s="526" t="s">
        <v>3545</v>
      </c>
      <c r="D152" s="152"/>
    </row>
    <row r="156" spans="1:8">
      <c r="F156" s="153"/>
    </row>
    <row r="161" spans="1:3" ht="13.5">
      <c r="A161" s="430"/>
      <c r="B161" s="520" t="s">
        <v>3531</v>
      </c>
      <c r="C161" s="569">
        <v>42916</v>
      </c>
    </row>
    <row r="162" spans="1:3">
      <c r="A162" s="523">
        <v>60120414</v>
      </c>
      <c r="B162" s="124" t="s">
        <v>3618</v>
      </c>
      <c r="C162" s="570">
        <v>0</v>
      </c>
    </row>
    <row r="163" spans="1:3">
      <c r="A163" s="523">
        <v>60120419</v>
      </c>
      <c r="B163" s="521" t="s">
        <v>3532</v>
      </c>
      <c r="C163" s="570">
        <v>0</v>
      </c>
    </row>
    <row r="164" spans="1:3">
      <c r="A164" s="523">
        <v>60120425</v>
      </c>
      <c r="B164" s="521" t="s">
        <v>4378</v>
      </c>
      <c r="C164" s="570">
        <v>0</v>
      </c>
    </row>
    <row r="165" spans="1:3">
      <c r="A165" s="523">
        <v>60120431</v>
      </c>
      <c r="B165" s="523" t="s">
        <v>4377</v>
      </c>
      <c r="C165" s="365">
        <v>5806944.4000000004</v>
      </c>
    </row>
    <row r="166" spans="1:3">
      <c r="A166" s="523">
        <v>60120702</v>
      </c>
      <c r="B166" s="521" t="s">
        <v>3533</v>
      </c>
      <c r="C166" s="365">
        <v>149031204.44</v>
      </c>
    </row>
    <row r="167" spans="1:3">
      <c r="A167" s="523">
        <v>61110403</v>
      </c>
      <c r="B167" s="521" t="s">
        <v>3534</v>
      </c>
      <c r="C167" s="365">
        <v>7111068.4800000004</v>
      </c>
    </row>
    <row r="168" spans="1:3">
      <c r="A168" s="523">
        <v>61110404</v>
      </c>
      <c r="B168" s="521" t="s">
        <v>3535</v>
      </c>
      <c r="C168" s="365">
        <v>606268850.91999996</v>
      </c>
    </row>
    <row r="169" spans="1:3">
      <c r="B169" s="522"/>
      <c r="C169" s="571"/>
    </row>
    <row r="170" spans="1:3">
      <c r="C170" s="572">
        <f>C168+C166+C164+C163+C162+C167+C165</f>
        <v>768218068.23999989</v>
      </c>
    </row>
    <row r="171" spans="1:3">
      <c r="B171" s="124" t="s">
        <v>3536</v>
      </c>
      <c r="C171" s="573">
        <f>C161</f>
        <v>42916</v>
      </c>
    </row>
    <row r="172" spans="1:3">
      <c r="B172" s="124" t="s">
        <v>3537</v>
      </c>
      <c r="C172" s="532">
        <v>324309392.26519334</v>
      </c>
    </row>
    <row r="173" spans="1:3">
      <c r="B173" s="124" t="s">
        <v>3950</v>
      </c>
      <c r="C173" s="532">
        <v>8019564640.8839779</v>
      </c>
    </row>
    <row r="174" spans="1:3">
      <c r="B174" s="124" t="s">
        <v>3538</v>
      </c>
      <c r="C174" s="532">
        <v>299999999.99999982</v>
      </c>
    </row>
    <row r="175" spans="1:3">
      <c r="B175" s="124" t="s">
        <v>3539</v>
      </c>
      <c r="C175" s="532">
        <v>34965672729.010933</v>
      </c>
    </row>
    <row r="176" spans="1:3">
      <c r="C176" s="532"/>
    </row>
    <row r="177" spans="2:7">
      <c r="C177" s="531">
        <f>SUM(C172:C175)</f>
        <v>43609546762.160103</v>
      </c>
    </row>
    <row r="180" spans="2:7">
      <c r="C180" s="661"/>
    </row>
    <row r="181" spans="2:7" ht="14.25" hidden="1" customHeight="1" thickBot="1">
      <c r="B181" s="339" t="s">
        <v>2567</v>
      </c>
      <c r="C181" s="343" t="s">
        <v>2579</v>
      </c>
      <c r="D181" s="343"/>
      <c r="E181" s="343" t="s">
        <v>2580</v>
      </c>
    </row>
    <row r="182" spans="2:7" ht="14.25" hidden="1" customHeight="1" thickBot="1">
      <c r="B182" s="340" t="s">
        <v>2568</v>
      </c>
    </row>
    <row r="183" spans="2:7" ht="14.25" hidden="1" customHeight="1" thickBot="1">
      <c r="B183" s="340" t="s">
        <v>2569</v>
      </c>
      <c r="C183" s="152">
        <f>F118</f>
        <v>149861687940.00867</v>
      </c>
      <c r="D183" s="152"/>
      <c r="E183" s="294">
        <f>D183/C183*365/$D$1</f>
        <v>0</v>
      </c>
      <c r="F183" s="152">
        <f>C183/10^8</f>
        <v>1498.6168794000866</v>
      </c>
      <c r="G183" s="974">
        <f>D183/10^8</f>
        <v>0</v>
      </c>
    </row>
    <row r="184" spans="2:7" ht="14.25" hidden="1" customHeight="1" thickBot="1">
      <c r="B184" s="339" t="s">
        <v>2570</v>
      </c>
      <c r="C184" s="152">
        <f>C5+C6+C70</f>
        <v>184685206177.24142</v>
      </c>
      <c r="D184" s="152"/>
      <c r="E184" s="294">
        <f>D184/C184*365/$D$1</f>
        <v>0</v>
      </c>
      <c r="F184" s="152">
        <f>C184/10^8</f>
        <v>1846.8520617724143</v>
      </c>
      <c r="G184" s="974">
        <f>D184/10^8</f>
        <v>0</v>
      </c>
    </row>
    <row r="185" spans="2:7" ht="14.25" hidden="1" customHeight="1" thickBot="1">
      <c r="B185" s="340" t="s">
        <v>2571</v>
      </c>
      <c r="E185" s="294"/>
    </row>
    <row r="186" spans="2:7" ht="14.25" hidden="1" customHeight="1" thickBot="1">
      <c r="B186" s="340" t="s">
        <v>218</v>
      </c>
      <c r="C186" s="152">
        <f>F119+C95</f>
        <v>53355165155.069008</v>
      </c>
      <c r="D186" s="152"/>
      <c r="E186" s="294">
        <f>D186/C186*365/$D$1</f>
        <v>0</v>
      </c>
      <c r="F186" s="152">
        <f>C186/10^8</f>
        <v>533.55165155069005</v>
      </c>
      <c r="G186" s="974">
        <f>D186/10^8</f>
        <v>0</v>
      </c>
    </row>
    <row r="187" spans="2:7" ht="14.25" hidden="1" customHeight="1" thickBot="1">
      <c r="B187" s="339" t="s">
        <v>2572</v>
      </c>
      <c r="C187" s="152">
        <f>C7+C8+C71</f>
        <v>206431384848.37155</v>
      </c>
      <c r="D187" s="152"/>
      <c r="E187" s="294">
        <f>D187/C187*365/$D$1</f>
        <v>0</v>
      </c>
      <c r="F187" s="152">
        <f>C187/10^8</f>
        <v>2064.3138484837154</v>
      </c>
      <c r="G187" s="974">
        <f>D187/10^8</f>
        <v>0</v>
      </c>
    </row>
    <row r="188" spans="2:7" ht="14.25" hidden="1" customHeight="1" thickBot="1">
      <c r="B188" s="340" t="s">
        <v>2573</v>
      </c>
      <c r="E188" s="294"/>
    </row>
    <row r="189" spans="2:7" ht="14.25" hidden="1" customHeight="1" thickBot="1">
      <c r="B189" s="339" t="s">
        <v>2574</v>
      </c>
      <c r="C189" s="152">
        <f>F120</f>
        <v>16134579250.130713</v>
      </c>
      <c r="D189" s="152"/>
      <c r="E189" s="294">
        <f>D189/C189*365/$D$1</f>
        <v>0</v>
      </c>
      <c r="F189" s="152">
        <f>C189/10^8</f>
        <v>161.34579250130713</v>
      </c>
      <c r="G189" s="974">
        <f>D189/10^8</f>
        <v>0</v>
      </c>
    </row>
    <row r="190" spans="2:7" ht="14.25" hidden="1" customHeight="1" thickBot="1">
      <c r="B190" s="341" t="s">
        <v>2575</v>
      </c>
      <c r="E190" s="294"/>
    </row>
    <row r="191" spans="2:7" ht="14.25" hidden="1" customHeight="1" thickBot="1">
      <c r="B191" s="340" t="s">
        <v>2576</v>
      </c>
      <c r="C191" s="152">
        <f>C33+C34+C35+C36+C37</f>
        <v>296651591121.68921</v>
      </c>
      <c r="D191" s="152"/>
      <c r="E191" s="294">
        <f>D191/C191*365/$D$1</f>
        <v>0</v>
      </c>
      <c r="F191" s="152">
        <f>C191/10^8</f>
        <v>2966.5159112168922</v>
      </c>
      <c r="G191" s="974">
        <f>D191/10^8</f>
        <v>0</v>
      </c>
    </row>
    <row r="192" spans="2:7" ht="27.75" hidden="1" customHeight="1" thickBot="1">
      <c r="B192" s="341" t="s">
        <v>2577</v>
      </c>
      <c r="E192" s="294"/>
    </row>
    <row r="193" spans="2:7" ht="13.5" hidden="1" customHeight="1">
      <c r="B193" s="342" t="s">
        <v>2578</v>
      </c>
      <c r="C193" s="152">
        <f>SUM(C140:C148,C43)</f>
        <v>189629247382.59204</v>
      </c>
      <c r="D193" s="152"/>
      <c r="E193" s="294">
        <f>D193/C193*365/$D$1</f>
        <v>0</v>
      </c>
      <c r="F193" s="152">
        <f>C193/10^8</f>
        <v>1896.2924738259203</v>
      </c>
      <c r="G193" s="974">
        <f>D193/10^8</f>
        <v>0</v>
      </c>
    </row>
    <row r="194" spans="2:7" ht="12" hidden="1" customHeight="1"/>
    <row r="195" spans="2:7" ht="12" hidden="1" customHeight="1"/>
  </sheetData>
  <phoneticPr fontId="1" type="noConversion"/>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O383"/>
  <sheetViews>
    <sheetView workbookViewId="0">
      <pane xSplit="2" ySplit="6" topLeftCell="J70" activePane="bottomRight" state="frozen"/>
      <selection pane="topRight" activeCell="C1" sqref="C1"/>
      <selection pane="bottomLeft" activeCell="A7" sqref="A7"/>
      <selection pane="bottomRight" activeCell="O62" sqref="O62"/>
    </sheetView>
  </sheetViews>
  <sheetFormatPr defaultColWidth="9" defaultRowHeight="11.25"/>
  <cols>
    <col min="1" max="2" width="4.625" style="296" customWidth="1"/>
    <col min="3" max="3" width="20.125" style="296" customWidth="1"/>
    <col min="4" max="4" width="17.125" style="296" customWidth="1"/>
    <col min="5" max="5" width="22.25" style="296" customWidth="1"/>
    <col min="6" max="6" width="25.5" style="296" customWidth="1"/>
    <col min="7" max="7" width="32.125" style="296" bestFit="1" customWidth="1"/>
    <col min="8" max="8" width="12" style="296" customWidth="1"/>
    <col min="9" max="9" width="16.875" style="296" customWidth="1"/>
    <col min="10" max="10" width="16.125" style="296" bestFit="1" customWidth="1"/>
    <col min="11" max="11" width="16.75" style="732" bestFit="1" customWidth="1"/>
    <col min="12" max="12" width="15.125" style="783" bestFit="1" customWidth="1"/>
    <col min="13" max="13" width="18" style="296" customWidth="1"/>
    <col min="14" max="15" width="18" style="617" customWidth="1"/>
    <col min="16" max="17" width="18" style="296" customWidth="1"/>
    <col min="18" max="19" width="15.125" style="553" customWidth="1"/>
    <col min="20" max="20" width="20.125" style="553" customWidth="1"/>
    <col min="21" max="21" width="15.125" style="553" customWidth="1"/>
    <col min="22" max="22" width="13.625" style="325" customWidth="1"/>
    <col min="23" max="23" width="12" style="553" customWidth="1"/>
    <col min="24" max="25" width="12.25" style="553" customWidth="1"/>
    <col min="26" max="26" width="18.375" style="553" customWidth="1"/>
    <col min="27" max="27" width="13.625" style="553" customWidth="1"/>
    <col min="28" max="28" width="13" style="296" bestFit="1" customWidth="1"/>
    <col min="29" max="29" width="13" style="515" customWidth="1"/>
    <col min="30" max="31" width="12.75" style="325" customWidth="1"/>
    <col min="32" max="32" width="20" style="325" bestFit="1" customWidth="1"/>
    <col min="33" max="33" width="12.75" style="325" customWidth="1"/>
    <col min="34" max="34" width="14.125" style="296" bestFit="1" customWidth="1"/>
    <col min="35" max="36" width="8.125" style="296" customWidth="1"/>
    <col min="37" max="37" width="12.75" style="296" bestFit="1" customWidth="1"/>
    <col min="38" max="38" width="11.875" style="296" bestFit="1" customWidth="1"/>
    <col min="39" max="39" width="7.25" style="296" customWidth="1"/>
    <col min="40" max="40" width="11.125" style="296" bestFit="1" customWidth="1"/>
    <col min="41" max="41" width="5.75" style="296" customWidth="1"/>
    <col min="42" max="16384" width="9" style="296"/>
  </cols>
  <sheetData>
    <row r="1" spans="1:41" ht="15" customHeight="1">
      <c r="E1" s="428" t="s">
        <v>4172</v>
      </c>
      <c r="G1" s="462" t="s">
        <v>3410</v>
      </c>
      <c r="H1" s="463">
        <v>181</v>
      </c>
      <c r="I1" s="325" t="s">
        <v>3575</v>
      </c>
      <c r="J1" s="325"/>
      <c r="V1" s="500"/>
      <c r="AB1" s="500"/>
      <c r="AD1" s="500"/>
      <c r="AE1" s="500"/>
      <c r="AF1" s="500"/>
      <c r="AG1" s="500"/>
    </row>
    <row r="2" spans="1:41" ht="15" customHeight="1">
      <c r="A2" s="934" t="s">
        <v>2619</v>
      </c>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c r="AN2" s="934"/>
      <c r="AO2" s="934"/>
    </row>
    <row r="3" spans="1:41" ht="12.75" customHeight="1">
      <c r="A3" s="934"/>
      <c r="B3" s="934"/>
      <c r="C3" s="934"/>
      <c r="D3" s="934"/>
      <c r="E3" s="934"/>
      <c r="F3" s="934"/>
      <c r="G3" s="934"/>
      <c r="H3" s="934"/>
      <c r="I3" s="934"/>
      <c r="J3" s="934"/>
      <c r="K3" s="934"/>
      <c r="L3" s="934"/>
      <c r="M3" s="934"/>
      <c r="N3" s="934"/>
      <c r="O3" s="934"/>
      <c r="P3" s="934"/>
      <c r="Q3" s="934"/>
      <c r="R3" s="934"/>
      <c r="S3" s="934"/>
      <c r="T3" s="934"/>
      <c r="U3" s="934"/>
      <c r="V3" s="934"/>
      <c r="W3" s="934"/>
      <c r="X3" s="934"/>
      <c r="Y3" s="934"/>
      <c r="Z3" s="934"/>
      <c r="AA3" s="934"/>
      <c r="AB3" s="934"/>
      <c r="AC3" s="934"/>
      <c r="AD3" s="934"/>
      <c r="AE3" s="934"/>
      <c r="AF3" s="934"/>
      <c r="AG3" s="934"/>
      <c r="AH3" s="934"/>
      <c r="AI3" s="934"/>
      <c r="AJ3" s="934"/>
      <c r="AK3" s="934"/>
      <c r="AL3" s="934"/>
      <c r="AM3" s="934"/>
      <c r="AN3" s="934"/>
      <c r="AO3" s="934"/>
    </row>
    <row r="4" spans="1:41" ht="12.75" customHeight="1" thickBot="1">
      <c r="A4" s="935" t="s">
        <v>4174</v>
      </c>
      <c r="B4" s="935"/>
      <c r="C4" s="935"/>
      <c r="D4" s="935"/>
      <c r="E4" s="935"/>
      <c r="F4" s="935"/>
      <c r="G4" s="935"/>
      <c r="H4" s="935"/>
      <c r="I4" s="935"/>
      <c r="J4" s="935"/>
      <c r="K4" s="935"/>
      <c r="L4" s="935"/>
      <c r="M4" s="935"/>
      <c r="N4" s="935"/>
      <c r="O4" s="935"/>
      <c r="P4" s="935"/>
      <c r="Q4" s="935"/>
      <c r="R4" s="935"/>
      <c r="S4" s="935"/>
      <c r="T4" s="935"/>
      <c r="U4" s="935"/>
      <c r="V4" s="935"/>
      <c r="W4" s="935"/>
      <c r="X4" s="935"/>
      <c r="Y4" s="935"/>
      <c r="Z4" s="935"/>
      <c r="AA4" s="935"/>
      <c r="AB4" s="935"/>
      <c r="AC4" s="935"/>
      <c r="AD4" s="935"/>
      <c r="AE4" s="935"/>
      <c r="AF4" s="935"/>
      <c r="AG4" s="935"/>
      <c r="AH4" s="935"/>
      <c r="AI4" s="935"/>
      <c r="AJ4" s="935"/>
      <c r="AK4" s="935"/>
      <c r="AL4" s="935"/>
      <c r="AM4" s="935"/>
      <c r="AN4" s="935"/>
      <c r="AO4" s="935"/>
    </row>
    <row r="5" spans="1:41" ht="13.5" customHeight="1" thickBot="1">
      <c r="A5" s="929" t="s">
        <v>2620</v>
      </c>
      <c r="B5" s="931"/>
      <c r="C5" s="931"/>
      <c r="D5" s="931"/>
      <c r="E5" s="931"/>
      <c r="F5" s="931"/>
      <c r="G5" s="931"/>
      <c r="H5" s="930"/>
      <c r="I5" s="929" t="s">
        <v>3391</v>
      </c>
      <c r="J5" s="930"/>
      <c r="K5" s="929" t="s">
        <v>3392</v>
      </c>
      <c r="L5" s="931"/>
      <c r="M5" s="930"/>
      <c r="N5" s="929" t="s">
        <v>2621</v>
      </c>
      <c r="O5" s="931"/>
      <c r="P5" s="931"/>
      <c r="Q5" s="930"/>
      <c r="R5" s="929" t="s">
        <v>2622</v>
      </c>
      <c r="S5" s="930"/>
      <c r="T5" s="929" t="s">
        <v>2623</v>
      </c>
      <c r="U5" s="930"/>
      <c r="V5" s="929" t="s">
        <v>2624</v>
      </c>
      <c r="W5" s="930"/>
      <c r="X5" s="929" t="s">
        <v>2625</v>
      </c>
      <c r="Y5" s="930"/>
      <c r="Z5" s="929" t="s">
        <v>2626</v>
      </c>
      <c r="AA5" s="930"/>
      <c r="AB5" s="929" t="s">
        <v>2627</v>
      </c>
      <c r="AC5" s="930"/>
      <c r="AD5" s="929" t="s">
        <v>2628</v>
      </c>
      <c r="AE5" s="930"/>
      <c r="AF5" s="929" t="s">
        <v>2629</v>
      </c>
      <c r="AG5" s="930"/>
      <c r="AH5" s="929" t="s">
        <v>2630</v>
      </c>
      <c r="AI5" s="930"/>
      <c r="AJ5" s="932" t="s">
        <v>2631</v>
      </c>
      <c r="AK5" s="933"/>
      <c r="AL5" s="929" t="s">
        <v>2632</v>
      </c>
      <c r="AM5" s="931"/>
      <c r="AN5" s="931"/>
      <c r="AO5" s="930"/>
    </row>
    <row r="6" spans="1:41" ht="13.5" thickBot="1">
      <c r="A6" s="494" t="s">
        <v>220</v>
      </c>
      <c r="B6" s="494" t="s">
        <v>221</v>
      </c>
      <c r="C6" s="494" t="s">
        <v>222</v>
      </c>
      <c r="D6" s="494" t="s">
        <v>223</v>
      </c>
      <c r="E6" s="494" t="s">
        <v>224</v>
      </c>
      <c r="F6" s="494" t="s">
        <v>225</v>
      </c>
      <c r="G6" s="494" t="s">
        <v>226</v>
      </c>
      <c r="H6" s="494" t="s">
        <v>2633</v>
      </c>
      <c r="I6" s="495" t="s">
        <v>3322</v>
      </c>
      <c r="J6" s="495" t="s">
        <v>3393</v>
      </c>
      <c r="K6" s="775" t="s">
        <v>128</v>
      </c>
      <c r="L6" s="784" t="s">
        <v>3394</v>
      </c>
      <c r="M6" s="495" t="s">
        <v>3395</v>
      </c>
      <c r="N6" s="495" t="s">
        <v>2634</v>
      </c>
      <c r="O6" s="495" t="s">
        <v>2635</v>
      </c>
      <c r="P6" s="495" t="s">
        <v>2636</v>
      </c>
      <c r="Q6" s="495" t="s">
        <v>2637</v>
      </c>
      <c r="R6" s="495" t="s">
        <v>2638</v>
      </c>
      <c r="S6" s="495" t="s">
        <v>2639</v>
      </c>
      <c r="T6" s="495" t="s">
        <v>2638</v>
      </c>
      <c r="U6" s="495" t="s">
        <v>2639</v>
      </c>
      <c r="V6" s="496" t="s">
        <v>2638</v>
      </c>
      <c r="W6" s="495" t="s">
        <v>2639</v>
      </c>
      <c r="X6" s="495" t="s">
        <v>2638</v>
      </c>
      <c r="Y6" s="495" t="s">
        <v>2639</v>
      </c>
      <c r="Z6" s="495" t="s">
        <v>2638</v>
      </c>
      <c r="AA6" s="495" t="s">
        <v>2639</v>
      </c>
      <c r="AB6" s="495" t="s">
        <v>2638</v>
      </c>
      <c r="AC6" s="495" t="s">
        <v>2639</v>
      </c>
      <c r="AD6" s="495" t="s">
        <v>2638</v>
      </c>
      <c r="AE6" s="495" t="s">
        <v>2639</v>
      </c>
      <c r="AF6" s="495" t="s">
        <v>2638</v>
      </c>
      <c r="AG6" s="496" t="s">
        <v>2639</v>
      </c>
      <c r="AH6" s="495" t="s">
        <v>2638</v>
      </c>
      <c r="AI6" s="495" t="s">
        <v>2639</v>
      </c>
      <c r="AJ6" s="495" t="s">
        <v>2638</v>
      </c>
      <c r="AK6" s="495" t="s">
        <v>2639</v>
      </c>
      <c r="AL6" s="495" t="s">
        <v>2634</v>
      </c>
      <c r="AM6" s="495" t="s">
        <v>2635</v>
      </c>
      <c r="AN6" s="495" t="s">
        <v>2636</v>
      </c>
      <c r="AO6" s="497" t="s">
        <v>2637</v>
      </c>
    </row>
    <row r="7" spans="1:41" ht="12" thickBot="1">
      <c r="A7" s="917" t="s">
        <v>139</v>
      </c>
      <c r="B7" s="917" t="s">
        <v>217</v>
      </c>
      <c r="C7" s="917" t="s">
        <v>230</v>
      </c>
      <c r="D7" s="917" t="s">
        <v>230</v>
      </c>
      <c r="E7" s="917" t="s">
        <v>231</v>
      </c>
      <c r="F7" s="917" t="s">
        <v>231</v>
      </c>
      <c r="G7" s="600" t="s">
        <v>231</v>
      </c>
      <c r="H7" s="601">
        <v>170001</v>
      </c>
      <c r="I7" s="602">
        <v>52804952401.202202</v>
      </c>
      <c r="J7" s="602">
        <v>0.31336418811383199</v>
      </c>
      <c r="K7" s="776">
        <v>44842562989.247803</v>
      </c>
      <c r="L7" s="776">
        <v>65709779.317437001</v>
      </c>
      <c r="M7" s="498">
        <v>0.295497541099566</v>
      </c>
      <c r="N7" s="602">
        <v>3.1262280636886999</v>
      </c>
      <c r="O7" s="602">
        <v>2.8307305225891501</v>
      </c>
      <c r="P7" s="498">
        <v>695179240.39762497</v>
      </c>
      <c r="Q7" s="602">
        <v>629469461.08019197</v>
      </c>
      <c r="R7" s="602">
        <v>-0.21791528513963901</v>
      </c>
      <c r="S7" s="602">
        <v>-48457815.395483203</v>
      </c>
      <c r="T7" s="602">
        <v>0</v>
      </c>
      <c r="U7" s="602">
        <v>0</v>
      </c>
      <c r="V7" s="602">
        <v>0</v>
      </c>
      <c r="W7" s="602">
        <v>0</v>
      </c>
      <c r="X7" s="602">
        <v>7.5477072609252002E-2</v>
      </c>
      <c r="Y7" s="602">
        <v>16783834.363646999</v>
      </c>
      <c r="Z7" s="602">
        <v>0</v>
      </c>
      <c r="AA7" s="602">
        <v>0</v>
      </c>
      <c r="AB7" s="602">
        <v>0</v>
      </c>
      <c r="AC7" s="602">
        <v>0</v>
      </c>
      <c r="AD7" s="602">
        <v>0</v>
      </c>
      <c r="AE7" s="602">
        <v>0</v>
      </c>
      <c r="AF7" s="602">
        <v>0</v>
      </c>
      <c r="AG7" s="602">
        <v>0</v>
      </c>
      <c r="AH7" s="602">
        <v>0</v>
      </c>
      <c r="AI7" s="602">
        <v>0</v>
      </c>
      <c r="AJ7" s="498">
        <v>0</v>
      </c>
      <c r="AK7" s="498">
        <v>0</v>
      </c>
      <c r="AL7" s="602">
        <v>2.9837898506919198</v>
      </c>
      <c r="AM7" s="602">
        <v>2.6882923095923901</v>
      </c>
      <c r="AN7" s="498">
        <v>663505259.26207697</v>
      </c>
      <c r="AO7" s="603">
        <v>597795479.94464803</v>
      </c>
    </row>
    <row r="8" spans="1:41" ht="12" thickBot="1">
      <c r="A8" s="918"/>
      <c r="B8" s="918"/>
      <c r="C8" s="918"/>
      <c r="D8" s="918"/>
      <c r="E8" s="919"/>
      <c r="F8" s="919"/>
      <c r="G8" s="600" t="s">
        <v>3511</v>
      </c>
      <c r="H8" s="601">
        <v>170002</v>
      </c>
      <c r="I8" s="602">
        <v>678534.19284100004</v>
      </c>
      <c r="J8" s="602">
        <v>0.34357589870880501</v>
      </c>
      <c r="K8" s="776">
        <v>5502267.0362729998</v>
      </c>
      <c r="L8" s="776">
        <v>3374.2194089999998</v>
      </c>
      <c r="M8" s="498">
        <v>0.12366475603037901</v>
      </c>
      <c r="N8" s="602">
        <v>0.80671074393122499</v>
      </c>
      <c r="O8" s="602">
        <v>0.68304598790086901</v>
      </c>
      <c r="P8" s="498">
        <v>22011.275783000001</v>
      </c>
      <c r="Q8" s="602">
        <v>18637.056374</v>
      </c>
      <c r="R8" s="602">
        <v>-5.8299238003312999E-2</v>
      </c>
      <c r="S8" s="602">
        <v>-1590.7072209999999</v>
      </c>
      <c r="T8" s="602">
        <v>0</v>
      </c>
      <c r="U8" s="602">
        <v>0</v>
      </c>
      <c r="V8" s="602">
        <v>0</v>
      </c>
      <c r="W8" s="602">
        <v>0</v>
      </c>
      <c r="X8" s="602">
        <v>3.6173247629152E-2</v>
      </c>
      <c r="Y8" s="602">
        <v>986.99482499999999</v>
      </c>
      <c r="Z8" s="602">
        <v>0</v>
      </c>
      <c r="AA8" s="602">
        <v>0</v>
      </c>
      <c r="AB8" s="602">
        <v>0</v>
      </c>
      <c r="AC8" s="602">
        <v>0</v>
      </c>
      <c r="AD8" s="602">
        <v>0</v>
      </c>
      <c r="AE8" s="602">
        <v>0</v>
      </c>
      <c r="AF8" s="602">
        <v>0</v>
      </c>
      <c r="AG8" s="602">
        <v>0</v>
      </c>
      <c r="AH8" s="602">
        <v>0</v>
      </c>
      <c r="AI8" s="602">
        <v>0</v>
      </c>
      <c r="AJ8" s="498">
        <v>0</v>
      </c>
      <c r="AK8" s="498">
        <v>0</v>
      </c>
      <c r="AL8" s="602">
        <v>0.78458475835819896</v>
      </c>
      <c r="AM8" s="602">
        <v>0.66092000232784298</v>
      </c>
      <c r="AN8" s="498">
        <v>21407.563517999999</v>
      </c>
      <c r="AO8" s="603">
        <v>18033.344109000001</v>
      </c>
    </row>
    <row r="9" spans="1:41" ht="12" thickBot="1">
      <c r="A9" s="918"/>
      <c r="B9" s="918"/>
      <c r="C9" s="918"/>
      <c r="D9" s="918"/>
      <c r="E9" s="917" t="s">
        <v>232</v>
      </c>
      <c r="F9" s="600" t="s">
        <v>233</v>
      </c>
      <c r="G9" s="600" t="s">
        <v>233</v>
      </c>
      <c r="H9" s="601">
        <v>170011</v>
      </c>
      <c r="I9" s="602">
        <v>7967147800.3100004</v>
      </c>
      <c r="J9" s="602">
        <v>0.54798392977153398</v>
      </c>
      <c r="K9" s="776">
        <v>7175019447.9399004</v>
      </c>
      <c r="L9" s="776">
        <v>23909274.91</v>
      </c>
      <c r="M9" s="498">
        <v>0.67198195760038804</v>
      </c>
      <c r="N9" s="602">
        <v>3.15139371619793</v>
      </c>
      <c r="O9" s="602">
        <v>2.4794117585975401</v>
      </c>
      <c r="P9" s="498">
        <v>112127324.04198</v>
      </c>
      <c r="Q9" s="602">
        <v>88218049.131980002</v>
      </c>
      <c r="R9" s="602">
        <v>-0.223929227752348</v>
      </c>
      <c r="S9" s="602">
        <v>-7967454.1945049996</v>
      </c>
      <c r="T9" s="602">
        <v>0</v>
      </c>
      <c r="U9" s="602">
        <v>0</v>
      </c>
      <c r="V9" s="602">
        <v>0</v>
      </c>
      <c r="W9" s="602">
        <v>0</v>
      </c>
      <c r="X9" s="602">
        <v>6.9877704754358005E-2</v>
      </c>
      <c r="Y9" s="602">
        <v>2486265.0464869998</v>
      </c>
      <c r="Z9" s="602">
        <v>0</v>
      </c>
      <c r="AA9" s="602">
        <v>0</v>
      </c>
      <c r="AB9" s="602">
        <v>0</v>
      </c>
      <c r="AC9" s="602">
        <v>0</v>
      </c>
      <c r="AD9" s="602">
        <v>0</v>
      </c>
      <c r="AE9" s="602">
        <v>0</v>
      </c>
      <c r="AF9" s="602">
        <v>0</v>
      </c>
      <c r="AG9" s="602">
        <v>0</v>
      </c>
      <c r="AH9" s="602">
        <v>0</v>
      </c>
      <c r="AI9" s="602">
        <v>0</v>
      </c>
      <c r="AJ9" s="498">
        <v>0</v>
      </c>
      <c r="AK9" s="498">
        <v>0</v>
      </c>
      <c r="AL9" s="602">
        <v>2.9973421931816699</v>
      </c>
      <c r="AM9" s="602">
        <v>2.3253602355812899</v>
      </c>
      <c r="AN9" s="498">
        <v>106646134.89331201</v>
      </c>
      <c r="AO9" s="603">
        <v>82736859.983311996</v>
      </c>
    </row>
    <row r="10" spans="1:41" ht="12" thickBot="1">
      <c r="A10" s="918"/>
      <c r="B10" s="918"/>
      <c r="C10" s="918"/>
      <c r="D10" s="918"/>
      <c r="E10" s="918"/>
      <c r="F10" s="600" t="s">
        <v>234</v>
      </c>
      <c r="G10" s="600" t="s">
        <v>234</v>
      </c>
      <c r="H10" s="601">
        <v>170012</v>
      </c>
      <c r="I10" s="602">
        <v>1584</v>
      </c>
      <c r="J10" s="602">
        <v>0.3</v>
      </c>
      <c r="K10" s="776">
        <v>167783.21215499999</v>
      </c>
      <c r="L10" s="776">
        <v>315.54000000000002</v>
      </c>
      <c r="M10" s="498">
        <v>0.37924529908484</v>
      </c>
      <c r="N10" s="602">
        <v>3.1192913806817302</v>
      </c>
      <c r="O10" s="602">
        <v>2.7400460815962</v>
      </c>
      <c r="P10" s="498">
        <v>2595.3154979999999</v>
      </c>
      <c r="Q10" s="602">
        <v>2279.775498</v>
      </c>
      <c r="R10" s="602">
        <v>-0.21867741746293301</v>
      </c>
      <c r="S10" s="602">
        <v>-181.94417300000001</v>
      </c>
      <c r="T10" s="602">
        <v>0</v>
      </c>
      <c r="U10" s="602">
        <v>0</v>
      </c>
      <c r="V10" s="602">
        <v>0</v>
      </c>
      <c r="W10" s="602">
        <v>0</v>
      </c>
      <c r="X10" s="602">
        <v>4.6468041663369998E-3</v>
      </c>
      <c r="Y10" s="602">
        <v>3.8662380000000001</v>
      </c>
      <c r="Z10" s="602">
        <v>0</v>
      </c>
      <c r="AA10" s="602">
        <v>0</v>
      </c>
      <c r="AB10" s="602">
        <v>0</v>
      </c>
      <c r="AC10" s="602">
        <v>0</v>
      </c>
      <c r="AD10" s="602">
        <v>0</v>
      </c>
      <c r="AE10" s="602">
        <v>0</v>
      </c>
      <c r="AF10" s="602">
        <v>0</v>
      </c>
      <c r="AG10" s="602">
        <v>0</v>
      </c>
      <c r="AH10" s="602">
        <v>0</v>
      </c>
      <c r="AI10" s="602">
        <v>0</v>
      </c>
      <c r="AJ10" s="498">
        <v>0</v>
      </c>
      <c r="AK10" s="498">
        <v>0</v>
      </c>
      <c r="AL10" s="602">
        <v>2.9052606351769099</v>
      </c>
      <c r="AM10" s="602">
        <v>2.5260153360913802</v>
      </c>
      <c r="AN10" s="498">
        <v>2417.2374530000002</v>
      </c>
      <c r="AO10" s="603">
        <v>2101.6974530000002</v>
      </c>
    </row>
    <row r="11" spans="1:41" ht="12" thickBot="1">
      <c r="A11" s="918"/>
      <c r="B11" s="918"/>
      <c r="C11" s="918"/>
      <c r="D11" s="918"/>
      <c r="E11" s="918"/>
      <c r="F11" s="600" t="s">
        <v>235</v>
      </c>
      <c r="G11" s="600" t="s">
        <v>235</v>
      </c>
      <c r="H11" s="601">
        <v>170013</v>
      </c>
      <c r="I11" s="602">
        <v>5238337.88</v>
      </c>
      <c r="J11" s="602">
        <v>0.3</v>
      </c>
      <c r="K11" s="776">
        <v>13602391.362599</v>
      </c>
      <c r="L11" s="776">
        <v>20516.919999999998</v>
      </c>
      <c r="M11" s="498">
        <v>0.30416636563828803</v>
      </c>
      <c r="N11" s="602">
        <v>3.0604144121319301</v>
      </c>
      <c r="O11" s="602">
        <v>2.7562480464935901</v>
      </c>
      <c r="P11" s="498">
        <v>206433.993873</v>
      </c>
      <c r="Q11" s="602">
        <v>185917.07387299999</v>
      </c>
      <c r="R11" s="602">
        <v>-0.20937553392163299</v>
      </c>
      <c r="S11" s="602">
        <v>-14122.998347999999</v>
      </c>
      <c r="T11" s="602">
        <v>0</v>
      </c>
      <c r="U11" s="602">
        <v>0</v>
      </c>
      <c r="V11" s="602">
        <v>0</v>
      </c>
      <c r="W11" s="602">
        <v>0</v>
      </c>
      <c r="X11" s="602">
        <v>2.1112147956624E-2</v>
      </c>
      <c r="Y11" s="602">
        <v>1424.0767539999999</v>
      </c>
      <c r="Z11" s="602">
        <v>0</v>
      </c>
      <c r="AA11" s="602">
        <v>0</v>
      </c>
      <c r="AB11" s="602">
        <v>0</v>
      </c>
      <c r="AC11" s="602">
        <v>0</v>
      </c>
      <c r="AD11" s="602">
        <v>0</v>
      </c>
      <c r="AE11" s="602">
        <v>0</v>
      </c>
      <c r="AF11" s="602">
        <v>0</v>
      </c>
      <c r="AG11" s="602">
        <v>0</v>
      </c>
      <c r="AH11" s="602">
        <v>0</v>
      </c>
      <c r="AI11" s="602">
        <v>0</v>
      </c>
      <c r="AJ11" s="498">
        <v>0</v>
      </c>
      <c r="AK11" s="498">
        <v>0</v>
      </c>
      <c r="AL11" s="602">
        <v>2.87215102300916</v>
      </c>
      <c r="AM11" s="602">
        <v>2.56798465737082</v>
      </c>
      <c r="AN11" s="498">
        <v>193735.07206599999</v>
      </c>
      <c r="AO11" s="603">
        <v>173218.15206600001</v>
      </c>
    </row>
    <row r="12" spans="1:41" ht="12" thickBot="1">
      <c r="A12" s="918"/>
      <c r="B12" s="918"/>
      <c r="C12" s="918"/>
      <c r="D12" s="918"/>
      <c r="E12" s="918"/>
      <c r="F12" s="600" t="s">
        <v>236</v>
      </c>
      <c r="G12" s="600" t="s">
        <v>236</v>
      </c>
      <c r="H12" s="601">
        <v>170014</v>
      </c>
      <c r="I12" s="602">
        <v>937681042.03999996</v>
      </c>
      <c r="J12" s="602">
        <v>0.85818150877489197</v>
      </c>
      <c r="K12" s="776">
        <v>842272383.99817801</v>
      </c>
      <c r="L12" s="776">
        <v>3283557.08</v>
      </c>
      <c r="M12" s="498">
        <v>0.78615159226511899</v>
      </c>
      <c r="N12" s="602">
        <v>3.1751188980765699</v>
      </c>
      <c r="O12" s="602">
        <v>2.38896730581145</v>
      </c>
      <c r="P12" s="498">
        <v>13261671.464128001</v>
      </c>
      <c r="Q12" s="602">
        <v>9978114.3841279894</v>
      </c>
      <c r="R12" s="602">
        <v>-0.22834562238613901</v>
      </c>
      <c r="S12" s="602">
        <v>-953742.11850500002</v>
      </c>
      <c r="T12" s="602">
        <v>0</v>
      </c>
      <c r="U12" s="602">
        <v>0</v>
      </c>
      <c r="V12" s="602">
        <v>0</v>
      </c>
      <c r="W12" s="602">
        <v>0</v>
      </c>
      <c r="X12" s="602">
        <v>7.7658729382048E-2</v>
      </c>
      <c r="Y12" s="602">
        <v>324360.94157299999</v>
      </c>
      <c r="Z12" s="602">
        <v>0</v>
      </c>
      <c r="AA12" s="602">
        <v>0</v>
      </c>
      <c r="AB12" s="602">
        <v>0</v>
      </c>
      <c r="AC12" s="602">
        <v>0</v>
      </c>
      <c r="AD12" s="602">
        <v>0</v>
      </c>
      <c r="AE12" s="602">
        <v>0</v>
      </c>
      <c r="AF12" s="602">
        <v>0</v>
      </c>
      <c r="AG12" s="602">
        <v>0</v>
      </c>
      <c r="AH12" s="602">
        <v>0</v>
      </c>
      <c r="AI12" s="602">
        <v>0</v>
      </c>
      <c r="AJ12" s="498">
        <v>0</v>
      </c>
      <c r="AK12" s="498">
        <v>0</v>
      </c>
      <c r="AL12" s="602">
        <v>3.0244320049420002</v>
      </c>
      <c r="AM12" s="602">
        <v>2.2382804126768798</v>
      </c>
      <c r="AN12" s="498">
        <v>12632290.286651</v>
      </c>
      <c r="AO12" s="603">
        <v>9348733.2066510003</v>
      </c>
    </row>
    <row r="13" spans="1:41" ht="12" thickBot="1">
      <c r="A13" s="918"/>
      <c r="B13" s="918"/>
      <c r="C13" s="918"/>
      <c r="D13" s="918"/>
      <c r="E13" s="918"/>
      <c r="F13" s="600" t="s">
        <v>237</v>
      </c>
      <c r="G13" s="600" t="s">
        <v>237</v>
      </c>
      <c r="H13" s="601">
        <v>170015</v>
      </c>
      <c r="I13" s="602">
        <v>5443419218.1400003</v>
      </c>
      <c r="J13" s="602">
        <v>0.29999999999944899</v>
      </c>
      <c r="K13" s="776">
        <v>4566038903.7251196</v>
      </c>
      <c r="L13" s="776">
        <v>6887102.5499999896</v>
      </c>
      <c r="M13" s="498">
        <v>0.30416639594690897</v>
      </c>
      <c r="N13" s="602">
        <v>3.1719596573086601</v>
      </c>
      <c r="O13" s="602">
        <v>2.8677932613617498</v>
      </c>
      <c r="P13" s="498">
        <v>71821252.233796</v>
      </c>
      <c r="Q13" s="602">
        <v>64934149.683796003</v>
      </c>
      <c r="R13" s="602">
        <v>-0.22753813514447399</v>
      </c>
      <c r="S13" s="602">
        <v>-5152043.3935420001</v>
      </c>
      <c r="T13" s="602">
        <v>0</v>
      </c>
      <c r="U13" s="602">
        <v>0</v>
      </c>
      <c r="V13" s="602">
        <v>0</v>
      </c>
      <c r="W13" s="602">
        <v>0</v>
      </c>
      <c r="X13" s="602">
        <v>7.4478578111191004E-2</v>
      </c>
      <c r="Y13" s="602">
        <v>1686384.8606060001</v>
      </c>
      <c r="Z13" s="602">
        <v>0</v>
      </c>
      <c r="AA13" s="602">
        <v>0</v>
      </c>
      <c r="AB13" s="602">
        <v>0</v>
      </c>
      <c r="AC13" s="602">
        <v>0</v>
      </c>
      <c r="AD13" s="602">
        <v>0</v>
      </c>
      <c r="AE13" s="602">
        <v>0</v>
      </c>
      <c r="AF13" s="602">
        <v>0</v>
      </c>
      <c r="AG13" s="602">
        <v>0</v>
      </c>
      <c r="AH13" s="602">
        <v>0</v>
      </c>
      <c r="AI13" s="602">
        <v>0</v>
      </c>
      <c r="AJ13" s="498">
        <v>0</v>
      </c>
      <c r="AK13" s="498">
        <v>0</v>
      </c>
      <c r="AL13" s="602">
        <v>3.01890010020109</v>
      </c>
      <c r="AM13" s="602">
        <v>2.7147337042541801</v>
      </c>
      <c r="AN13" s="498">
        <v>68355593.699177906</v>
      </c>
      <c r="AO13" s="603">
        <v>61468491.149177998</v>
      </c>
    </row>
    <row r="14" spans="1:41" ht="12" thickBot="1">
      <c r="A14" s="918"/>
      <c r="B14" s="918"/>
      <c r="C14" s="918"/>
      <c r="D14" s="918"/>
      <c r="E14" s="918"/>
      <c r="F14" s="600" t="s">
        <v>238</v>
      </c>
      <c r="G14" s="600" t="s">
        <v>238</v>
      </c>
      <c r="H14" s="601">
        <v>170016</v>
      </c>
      <c r="I14" s="602">
        <v>6835425.1799999997</v>
      </c>
      <c r="J14" s="602">
        <v>0.3</v>
      </c>
      <c r="K14" s="776">
        <v>7597172.6576239998</v>
      </c>
      <c r="L14" s="776">
        <v>11459.06</v>
      </c>
      <c r="M14" s="498">
        <v>0.30416643418102501</v>
      </c>
      <c r="N14" s="602">
        <v>3.1506599172924501</v>
      </c>
      <c r="O14" s="602">
        <v>2.8464934831114399</v>
      </c>
      <c r="P14" s="498">
        <v>118696.86124</v>
      </c>
      <c r="Q14" s="602">
        <v>107237.80124</v>
      </c>
      <c r="R14" s="602">
        <v>-0.22397514786254999</v>
      </c>
      <c r="S14" s="602">
        <v>-8437.9614889999993</v>
      </c>
      <c r="T14" s="602">
        <v>0</v>
      </c>
      <c r="U14" s="602">
        <v>0</v>
      </c>
      <c r="V14" s="602">
        <v>0</v>
      </c>
      <c r="W14" s="602">
        <v>0</v>
      </c>
      <c r="X14" s="602">
        <v>6.6121245295997999E-2</v>
      </c>
      <c r="Y14" s="602">
        <v>2491.0286999999998</v>
      </c>
      <c r="Z14" s="602">
        <v>0</v>
      </c>
      <c r="AA14" s="602">
        <v>0</v>
      </c>
      <c r="AB14" s="602">
        <v>0</v>
      </c>
      <c r="AC14" s="602">
        <v>0</v>
      </c>
      <c r="AD14" s="602">
        <v>0</v>
      </c>
      <c r="AE14" s="602">
        <v>0</v>
      </c>
      <c r="AF14" s="602">
        <v>0</v>
      </c>
      <c r="AG14" s="602">
        <v>0</v>
      </c>
      <c r="AH14" s="602">
        <v>0</v>
      </c>
      <c r="AI14" s="602">
        <v>0</v>
      </c>
      <c r="AJ14" s="498">
        <v>0</v>
      </c>
      <c r="AK14" s="498">
        <v>0</v>
      </c>
      <c r="AL14" s="602">
        <v>2.9928060163981498</v>
      </c>
      <c r="AM14" s="602">
        <v>2.6886395822171401</v>
      </c>
      <c r="AN14" s="498">
        <v>112749.928514</v>
      </c>
      <c r="AO14" s="603">
        <v>101290.868514</v>
      </c>
    </row>
    <row r="15" spans="1:41" ht="12" thickBot="1">
      <c r="A15" s="918"/>
      <c r="B15" s="918"/>
      <c r="C15" s="918"/>
      <c r="D15" s="919"/>
      <c r="E15" s="919"/>
      <c r="F15" s="600" t="s">
        <v>239</v>
      </c>
      <c r="G15" s="600" t="s">
        <v>239</v>
      </c>
      <c r="H15" s="601">
        <v>170017</v>
      </c>
      <c r="I15" s="602">
        <v>2476879928.5835099</v>
      </c>
      <c r="J15" s="602">
        <v>1.09373301918098</v>
      </c>
      <c r="K15" s="776">
        <v>1112780316.0899799</v>
      </c>
      <c r="L15" s="776">
        <v>1882680.77006201</v>
      </c>
      <c r="M15" s="498">
        <v>0.34117841040822799</v>
      </c>
      <c r="N15" s="602">
        <v>3.2016621676994501</v>
      </c>
      <c r="O15" s="602">
        <v>2.8604837572912198</v>
      </c>
      <c r="P15" s="498">
        <v>17667318.949492</v>
      </c>
      <c r="Q15" s="602">
        <v>15784638.17943</v>
      </c>
      <c r="R15" s="602">
        <v>-0.23226736905141401</v>
      </c>
      <c r="S15" s="602">
        <v>-1281691.0328609999</v>
      </c>
      <c r="T15" s="602">
        <v>0</v>
      </c>
      <c r="U15" s="602">
        <v>0</v>
      </c>
      <c r="V15" s="602">
        <v>0</v>
      </c>
      <c r="W15" s="602">
        <v>0</v>
      </c>
      <c r="X15" s="602">
        <v>9.5492272242492002E-2</v>
      </c>
      <c r="Y15" s="602">
        <v>526942.67619499995</v>
      </c>
      <c r="Z15" s="602">
        <v>0</v>
      </c>
      <c r="AA15" s="602">
        <v>0</v>
      </c>
      <c r="AB15" s="602">
        <v>0</v>
      </c>
      <c r="AC15" s="602">
        <v>0</v>
      </c>
      <c r="AD15" s="602">
        <v>0</v>
      </c>
      <c r="AE15" s="602">
        <v>0</v>
      </c>
      <c r="AF15" s="602">
        <v>0</v>
      </c>
      <c r="AG15" s="602">
        <v>0</v>
      </c>
      <c r="AH15" s="602">
        <v>0</v>
      </c>
      <c r="AI15" s="602">
        <v>0</v>
      </c>
      <c r="AJ15" s="498">
        <v>0</v>
      </c>
      <c r="AK15" s="498">
        <v>0</v>
      </c>
      <c r="AL15" s="602">
        <v>3.06488707053026</v>
      </c>
      <c r="AM15" s="602">
        <v>2.7237086601220399</v>
      </c>
      <c r="AN15" s="498">
        <v>16912570.590838</v>
      </c>
      <c r="AO15" s="603">
        <v>15029889.820776001</v>
      </c>
    </row>
    <row r="16" spans="1:41" ht="12" thickBot="1">
      <c r="A16" s="918"/>
      <c r="B16" s="918"/>
      <c r="C16" s="919"/>
      <c r="D16" s="600" t="s">
        <v>240</v>
      </c>
      <c r="E16" s="600" t="s">
        <v>240</v>
      </c>
      <c r="F16" s="600" t="s">
        <v>240</v>
      </c>
      <c r="G16" s="600" t="s">
        <v>240</v>
      </c>
      <c r="H16" s="601">
        <v>170022</v>
      </c>
      <c r="I16" s="602">
        <v>12157006088.629999</v>
      </c>
      <c r="J16" s="602">
        <v>1.13719371223363</v>
      </c>
      <c r="K16" s="776">
        <v>13443271252.117901</v>
      </c>
      <c r="L16" s="776">
        <v>73770948</v>
      </c>
      <c r="M16" s="498">
        <v>1.1066102595496701</v>
      </c>
      <c r="N16" s="602">
        <v>3.15475795602116</v>
      </c>
      <c r="O16" s="602">
        <v>2.0481476964715002</v>
      </c>
      <c r="P16" s="498">
        <v>210308447.00548199</v>
      </c>
      <c r="Q16" s="602">
        <v>136537499.00548199</v>
      </c>
      <c r="R16" s="602">
        <v>-0.224720365919368</v>
      </c>
      <c r="S16" s="602">
        <v>-14980734.441703999</v>
      </c>
      <c r="T16" s="602">
        <v>0</v>
      </c>
      <c r="U16" s="602">
        <v>0</v>
      </c>
      <c r="V16" s="602">
        <v>0</v>
      </c>
      <c r="W16" s="602">
        <v>0</v>
      </c>
      <c r="X16" s="602">
        <v>7.3806047706443001E-2</v>
      </c>
      <c r="Y16" s="602">
        <v>4920198.4713690002</v>
      </c>
      <c r="Z16" s="602">
        <v>0</v>
      </c>
      <c r="AA16" s="602">
        <v>0</v>
      </c>
      <c r="AB16" s="602">
        <v>0</v>
      </c>
      <c r="AC16" s="602">
        <v>0</v>
      </c>
      <c r="AD16" s="602">
        <v>0</v>
      </c>
      <c r="AE16" s="602">
        <v>0</v>
      </c>
      <c r="AF16" s="602">
        <v>0</v>
      </c>
      <c r="AG16" s="602">
        <v>0</v>
      </c>
      <c r="AH16" s="602">
        <v>0</v>
      </c>
      <c r="AI16" s="602">
        <v>0</v>
      </c>
      <c r="AJ16" s="498">
        <v>0</v>
      </c>
      <c r="AK16" s="498">
        <v>0</v>
      </c>
      <c r="AL16" s="602">
        <v>3.0038436376586901</v>
      </c>
      <c r="AM16" s="602">
        <v>1.89723337810903</v>
      </c>
      <c r="AN16" s="498">
        <v>200247911.02517799</v>
      </c>
      <c r="AO16" s="603">
        <v>126476963.025178</v>
      </c>
    </row>
    <row r="17" spans="1:41" ht="12" thickBot="1">
      <c r="A17" s="918"/>
      <c r="B17" s="918"/>
      <c r="C17" s="917" t="s">
        <v>241</v>
      </c>
      <c r="D17" s="917" t="s">
        <v>242</v>
      </c>
      <c r="E17" s="917" t="s">
        <v>243</v>
      </c>
      <c r="F17" s="600" t="s">
        <v>244</v>
      </c>
      <c r="G17" s="600" t="s">
        <v>244</v>
      </c>
      <c r="H17" s="601">
        <v>170031</v>
      </c>
      <c r="I17" s="602">
        <v>1442487743.01</v>
      </c>
      <c r="J17" s="602">
        <v>1.3764398695906199</v>
      </c>
      <c r="K17" s="776">
        <v>1540226805.3919301</v>
      </c>
      <c r="L17" s="776">
        <v>10316398.560000001</v>
      </c>
      <c r="M17" s="498">
        <v>1.3506963441067601</v>
      </c>
      <c r="N17" s="602">
        <v>3.0258115288705301</v>
      </c>
      <c r="O17" s="602">
        <v>1.67511518476377</v>
      </c>
      <c r="P17" s="498">
        <v>23110655.356008001</v>
      </c>
      <c r="Q17" s="602">
        <v>12794256.796008</v>
      </c>
      <c r="R17" s="602">
        <v>-0.20810165500564301</v>
      </c>
      <c r="S17" s="602">
        <v>-1589446.527638</v>
      </c>
      <c r="T17" s="602">
        <v>0</v>
      </c>
      <c r="U17" s="602">
        <v>0</v>
      </c>
      <c r="V17" s="602">
        <v>0</v>
      </c>
      <c r="W17" s="602">
        <v>0</v>
      </c>
      <c r="X17" s="602">
        <v>0.15696641088817201</v>
      </c>
      <c r="Y17" s="602">
        <v>1198883.8663260001</v>
      </c>
      <c r="Z17" s="602">
        <v>0</v>
      </c>
      <c r="AA17" s="602">
        <v>0</v>
      </c>
      <c r="AB17" s="602">
        <v>0</v>
      </c>
      <c r="AC17" s="602">
        <v>0</v>
      </c>
      <c r="AD17" s="602">
        <v>0</v>
      </c>
      <c r="AE17" s="602">
        <v>0</v>
      </c>
      <c r="AF17" s="602">
        <v>0</v>
      </c>
      <c r="AG17" s="602">
        <v>0</v>
      </c>
      <c r="AH17" s="602">
        <v>0</v>
      </c>
      <c r="AI17" s="602">
        <v>0</v>
      </c>
      <c r="AJ17" s="498">
        <v>0</v>
      </c>
      <c r="AK17" s="498">
        <v>0</v>
      </c>
      <c r="AL17" s="602">
        <v>2.9746762849251001</v>
      </c>
      <c r="AM17" s="602">
        <v>1.62397994081834</v>
      </c>
      <c r="AN17" s="498">
        <v>22720092.696010001</v>
      </c>
      <c r="AO17" s="603">
        <v>12403694.13601</v>
      </c>
    </row>
    <row r="18" spans="1:41" ht="12" thickBot="1">
      <c r="A18" s="918"/>
      <c r="B18" s="918"/>
      <c r="C18" s="918"/>
      <c r="D18" s="918"/>
      <c r="E18" s="918"/>
      <c r="F18" s="917" t="s">
        <v>245</v>
      </c>
      <c r="G18" s="600" t="s">
        <v>246</v>
      </c>
      <c r="H18" s="601">
        <v>170032</v>
      </c>
      <c r="I18" s="602">
        <v>500000000</v>
      </c>
      <c r="J18" s="602">
        <v>1.35</v>
      </c>
      <c r="K18" s="776">
        <v>259840460.86110601</v>
      </c>
      <c r="L18" s="776">
        <v>1671422.74</v>
      </c>
      <c r="M18" s="498">
        <v>1.2971608071226</v>
      </c>
      <c r="N18" s="602">
        <v>3.1499492920645902</v>
      </c>
      <c r="O18" s="602">
        <v>1.85278848494198</v>
      </c>
      <c r="P18" s="498">
        <v>4058785.0385969998</v>
      </c>
      <c r="Q18" s="602">
        <v>2387362.2985970001</v>
      </c>
      <c r="R18" s="602">
        <v>-0.22854166293245101</v>
      </c>
      <c r="S18" s="602">
        <v>-294481.40150799998</v>
      </c>
      <c r="T18" s="602">
        <v>0</v>
      </c>
      <c r="U18" s="602">
        <v>0</v>
      </c>
      <c r="V18" s="602">
        <v>0</v>
      </c>
      <c r="W18" s="602">
        <v>0</v>
      </c>
      <c r="X18" s="602">
        <v>0.19010344105892599</v>
      </c>
      <c r="Y18" s="602">
        <v>244952.83282800001</v>
      </c>
      <c r="Z18" s="602">
        <v>0</v>
      </c>
      <c r="AA18" s="602">
        <v>0</v>
      </c>
      <c r="AB18" s="602">
        <v>0</v>
      </c>
      <c r="AC18" s="602">
        <v>0</v>
      </c>
      <c r="AD18" s="602">
        <v>0</v>
      </c>
      <c r="AE18" s="602">
        <v>0</v>
      </c>
      <c r="AF18" s="602">
        <v>0</v>
      </c>
      <c r="AG18" s="602">
        <v>0</v>
      </c>
      <c r="AH18" s="602">
        <v>0</v>
      </c>
      <c r="AI18" s="602">
        <v>0</v>
      </c>
      <c r="AJ18" s="498">
        <v>0</v>
      </c>
      <c r="AK18" s="498">
        <v>0</v>
      </c>
      <c r="AL18" s="602">
        <v>3.1115110701289801</v>
      </c>
      <c r="AM18" s="602">
        <v>1.8143502630063699</v>
      </c>
      <c r="AN18" s="498">
        <v>4009256.4698370001</v>
      </c>
      <c r="AO18" s="603">
        <v>2337833.7298369999</v>
      </c>
    </row>
    <row r="19" spans="1:41" ht="12" thickBot="1">
      <c r="A19" s="918"/>
      <c r="B19" s="918"/>
      <c r="C19" s="918"/>
      <c r="D19" s="918"/>
      <c r="E19" s="918"/>
      <c r="F19" s="919"/>
      <c r="G19" s="600" t="s">
        <v>247</v>
      </c>
      <c r="H19" s="601">
        <v>170038</v>
      </c>
      <c r="I19" s="602">
        <v>0</v>
      </c>
      <c r="J19" s="602">
        <v>0</v>
      </c>
      <c r="K19" s="776">
        <v>39343905.314916998</v>
      </c>
      <c r="L19" s="776">
        <v>299288.59000000003</v>
      </c>
      <c r="M19" s="498">
        <v>1.53400573617132</v>
      </c>
      <c r="N19" s="602">
        <v>2.98637107804984</v>
      </c>
      <c r="O19" s="602">
        <v>1.4523653418785201</v>
      </c>
      <c r="P19" s="498">
        <v>582648.92241999996</v>
      </c>
      <c r="Q19" s="602">
        <v>283360.33241999999</v>
      </c>
      <c r="R19" s="602">
        <v>-0.20163252419271399</v>
      </c>
      <c r="S19" s="602">
        <v>-39339.040552999999</v>
      </c>
      <c r="T19" s="602">
        <v>0</v>
      </c>
      <c r="U19" s="602">
        <v>0</v>
      </c>
      <c r="V19" s="602">
        <v>0</v>
      </c>
      <c r="W19" s="602">
        <v>0</v>
      </c>
      <c r="X19" s="602">
        <v>0.12961125773286</v>
      </c>
      <c r="Y19" s="602">
        <v>25287.500339999999</v>
      </c>
      <c r="Z19" s="602">
        <v>0</v>
      </c>
      <c r="AA19" s="602">
        <v>0</v>
      </c>
      <c r="AB19" s="602">
        <v>0</v>
      </c>
      <c r="AC19" s="602">
        <v>0</v>
      </c>
      <c r="AD19" s="602">
        <v>0</v>
      </c>
      <c r="AE19" s="602">
        <v>0</v>
      </c>
      <c r="AF19" s="602">
        <v>0</v>
      </c>
      <c r="AG19" s="602">
        <v>0</v>
      </c>
      <c r="AH19" s="602">
        <v>0</v>
      </c>
      <c r="AI19" s="602">
        <v>0</v>
      </c>
      <c r="AJ19" s="498">
        <v>0</v>
      </c>
      <c r="AK19" s="498">
        <v>0</v>
      </c>
      <c r="AL19" s="602">
        <v>2.9143498114925999</v>
      </c>
      <c r="AM19" s="602">
        <v>1.3803440753212901</v>
      </c>
      <c r="AN19" s="498">
        <v>568597.38218800002</v>
      </c>
      <c r="AO19" s="603">
        <v>269308.79218799999</v>
      </c>
    </row>
    <row r="20" spans="1:41" ht="12" thickBot="1">
      <c r="A20" s="918"/>
      <c r="B20" s="918"/>
      <c r="C20" s="918"/>
      <c r="D20" s="918"/>
      <c r="E20" s="919"/>
      <c r="F20" s="600" t="s">
        <v>3419</v>
      </c>
      <c r="G20" s="600" t="s">
        <v>3546</v>
      </c>
      <c r="H20" s="601">
        <v>170040</v>
      </c>
      <c r="I20" s="602">
        <v>3000000000</v>
      </c>
      <c r="J20" s="602">
        <v>4.5</v>
      </c>
      <c r="K20" s="776">
        <v>2535911602.20994</v>
      </c>
      <c r="L20" s="776">
        <v>51542465.759999998</v>
      </c>
      <c r="M20" s="498">
        <v>4.0986928109803902</v>
      </c>
      <c r="N20" s="602">
        <v>3.0158137385608601</v>
      </c>
      <c r="O20" s="602">
        <v>-1.0828790724195301</v>
      </c>
      <c r="P20" s="498">
        <v>37924890.575327002</v>
      </c>
      <c r="Q20" s="602">
        <v>-13617575.184673</v>
      </c>
      <c r="R20" s="602">
        <v>-0.20838422843413201</v>
      </c>
      <c r="S20" s="602">
        <v>-2620503.0370209999</v>
      </c>
      <c r="T20" s="602">
        <v>0</v>
      </c>
      <c r="U20" s="602">
        <v>0</v>
      </c>
      <c r="V20" s="602">
        <v>0</v>
      </c>
      <c r="W20" s="602">
        <v>0</v>
      </c>
      <c r="X20" s="602">
        <v>0</v>
      </c>
      <c r="Y20" s="602">
        <v>0</v>
      </c>
      <c r="Z20" s="602">
        <v>0</v>
      </c>
      <c r="AA20" s="602">
        <v>0</v>
      </c>
      <c r="AB20" s="602">
        <v>0</v>
      </c>
      <c r="AC20" s="602">
        <v>0</v>
      </c>
      <c r="AD20" s="602">
        <v>0</v>
      </c>
      <c r="AE20" s="602">
        <v>0</v>
      </c>
      <c r="AF20" s="602">
        <v>0</v>
      </c>
      <c r="AG20" s="602">
        <v>0</v>
      </c>
      <c r="AH20" s="602">
        <v>0</v>
      </c>
      <c r="AI20" s="602">
        <v>0</v>
      </c>
      <c r="AJ20" s="498">
        <v>0</v>
      </c>
      <c r="AK20" s="498">
        <v>0</v>
      </c>
      <c r="AL20" s="602">
        <v>2.8074295101267301</v>
      </c>
      <c r="AM20" s="602">
        <v>-1.29126330085366</v>
      </c>
      <c r="AN20" s="498">
        <v>35304387.538305998</v>
      </c>
      <c r="AO20" s="603">
        <v>-16238078.221694</v>
      </c>
    </row>
    <row r="21" spans="1:41" ht="12" thickBot="1">
      <c r="A21" s="918"/>
      <c r="B21" s="918"/>
      <c r="C21" s="918"/>
      <c r="D21" s="918"/>
      <c r="E21" s="917" t="s">
        <v>248</v>
      </c>
      <c r="F21" s="600" t="s">
        <v>249</v>
      </c>
      <c r="G21" s="600" t="s">
        <v>249</v>
      </c>
      <c r="H21" s="601">
        <v>170041</v>
      </c>
      <c r="I21" s="602">
        <v>3023147806</v>
      </c>
      <c r="J21" s="602">
        <v>1.65612831856938</v>
      </c>
      <c r="K21" s="776">
        <v>2285402257.6841402</v>
      </c>
      <c r="L21" s="776">
        <v>18317410.93</v>
      </c>
      <c r="M21" s="498">
        <v>1.61627675092559</v>
      </c>
      <c r="N21" s="602">
        <v>3.1339822738223702</v>
      </c>
      <c r="O21" s="602">
        <v>1.51770552289678</v>
      </c>
      <c r="P21" s="498">
        <v>35517705.197494999</v>
      </c>
      <c r="Q21" s="602">
        <v>17200294.267494999</v>
      </c>
      <c r="R21" s="602">
        <v>-0.224597341153177</v>
      </c>
      <c r="S21" s="602">
        <v>-2545382.0265199998</v>
      </c>
      <c r="T21" s="602">
        <v>0</v>
      </c>
      <c r="U21" s="602">
        <v>0</v>
      </c>
      <c r="V21" s="602">
        <v>0</v>
      </c>
      <c r="W21" s="602">
        <v>0</v>
      </c>
      <c r="X21" s="602">
        <v>0.16915500933234601</v>
      </c>
      <c r="Y21" s="602">
        <v>1917049.054275</v>
      </c>
      <c r="Z21" s="602">
        <v>0</v>
      </c>
      <c r="AA21" s="602">
        <v>0</v>
      </c>
      <c r="AB21" s="602">
        <v>0</v>
      </c>
      <c r="AC21" s="602">
        <v>0</v>
      </c>
      <c r="AD21" s="602">
        <v>0</v>
      </c>
      <c r="AE21" s="602">
        <v>0</v>
      </c>
      <c r="AF21" s="602">
        <v>0</v>
      </c>
      <c r="AG21" s="602">
        <v>0</v>
      </c>
      <c r="AH21" s="602">
        <v>0</v>
      </c>
      <c r="AI21" s="602">
        <v>0</v>
      </c>
      <c r="AJ21" s="498">
        <v>0</v>
      </c>
      <c r="AK21" s="498">
        <v>0</v>
      </c>
      <c r="AL21" s="602">
        <v>3.0785399421803099</v>
      </c>
      <c r="AM21" s="602">
        <v>1.4622631912547199</v>
      </c>
      <c r="AN21" s="498">
        <v>34889372.227275997</v>
      </c>
      <c r="AO21" s="603">
        <v>16571961.297276</v>
      </c>
    </row>
    <row r="22" spans="1:41" ht="12" thickBot="1">
      <c r="A22" s="918"/>
      <c r="B22" s="918"/>
      <c r="C22" s="918"/>
      <c r="D22" s="918"/>
      <c r="E22" s="918"/>
      <c r="F22" s="917" t="s">
        <v>250</v>
      </c>
      <c r="G22" s="600" t="s">
        <v>251</v>
      </c>
      <c r="H22" s="601">
        <v>170042</v>
      </c>
      <c r="I22" s="602">
        <v>50000000</v>
      </c>
      <c r="J22" s="602">
        <v>1.6</v>
      </c>
      <c r="K22" s="776">
        <v>50000000</v>
      </c>
      <c r="L22" s="776">
        <v>407746.42</v>
      </c>
      <c r="M22" s="498">
        <v>1.6445021359116001</v>
      </c>
      <c r="N22" s="602">
        <v>3.0969933367783402</v>
      </c>
      <c r="O22" s="602">
        <v>1.4524912008667401</v>
      </c>
      <c r="P22" s="498">
        <v>767884.64925599995</v>
      </c>
      <c r="Q22" s="602">
        <v>360138.22925600002</v>
      </c>
      <c r="R22" s="602">
        <v>-0.21848487704469599</v>
      </c>
      <c r="S22" s="602">
        <v>-54172.277733000003</v>
      </c>
      <c r="T22" s="602">
        <v>0</v>
      </c>
      <c r="U22" s="602">
        <v>0</v>
      </c>
      <c r="V22" s="602">
        <v>0</v>
      </c>
      <c r="W22" s="602">
        <v>0</v>
      </c>
      <c r="X22" s="602">
        <v>0.179431770785691</v>
      </c>
      <c r="Y22" s="602">
        <v>44489.247277000002</v>
      </c>
      <c r="Z22" s="602">
        <v>0</v>
      </c>
      <c r="AA22" s="602">
        <v>0</v>
      </c>
      <c r="AB22" s="602">
        <v>0</v>
      </c>
      <c r="AC22" s="602">
        <v>0</v>
      </c>
      <c r="AD22" s="602">
        <v>0</v>
      </c>
      <c r="AE22" s="602">
        <v>0</v>
      </c>
      <c r="AF22" s="602">
        <v>0</v>
      </c>
      <c r="AG22" s="602">
        <v>0</v>
      </c>
      <c r="AH22" s="602">
        <v>0</v>
      </c>
      <c r="AI22" s="602">
        <v>0</v>
      </c>
      <c r="AJ22" s="498">
        <v>0</v>
      </c>
      <c r="AK22" s="498">
        <v>0</v>
      </c>
      <c r="AL22" s="602">
        <v>3.05794023066453</v>
      </c>
      <c r="AM22" s="602">
        <v>1.4134380947529299</v>
      </c>
      <c r="AN22" s="498">
        <v>758201.61883599998</v>
      </c>
      <c r="AO22" s="603">
        <v>350455.198836</v>
      </c>
    </row>
    <row r="23" spans="1:41" ht="12" thickBot="1">
      <c r="A23" s="918"/>
      <c r="B23" s="918"/>
      <c r="C23" s="918"/>
      <c r="D23" s="918"/>
      <c r="E23" s="918"/>
      <c r="F23" s="918"/>
      <c r="G23" s="600" t="s">
        <v>252</v>
      </c>
      <c r="H23" s="601">
        <v>170046</v>
      </c>
      <c r="I23" s="602">
        <v>38368793.280000001</v>
      </c>
      <c r="J23" s="602">
        <v>1.6</v>
      </c>
      <c r="K23" s="776">
        <v>38222752.363204002</v>
      </c>
      <c r="L23" s="776">
        <v>304565.67</v>
      </c>
      <c r="M23" s="498">
        <v>1.60684239570947</v>
      </c>
      <c r="N23" s="602">
        <v>3.1471342785227399</v>
      </c>
      <c r="O23" s="602">
        <v>1.5402918828132801</v>
      </c>
      <c r="P23" s="498">
        <v>596517.15854500001</v>
      </c>
      <c r="Q23" s="602">
        <v>291951.48854499997</v>
      </c>
      <c r="R23" s="602">
        <v>-0.22619100324498101</v>
      </c>
      <c r="S23" s="602">
        <v>-42872.913134000002</v>
      </c>
      <c r="T23" s="602">
        <v>0</v>
      </c>
      <c r="U23" s="602">
        <v>0</v>
      </c>
      <c r="V23" s="602">
        <v>0</v>
      </c>
      <c r="W23" s="602">
        <v>0</v>
      </c>
      <c r="X23" s="602">
        <v>0.155542085161227</v>
      </c>
      <c r="Y23" s="602">
        <v>29481.907813000002</v>
      </c>
      <c r="Z23" s="602">
        <v>0</v>
      </c>
      <c r="AA23" s="602">
        <v>0</v>
      </c>
      <c r="AB23" s="602">
        <v>0</v>
      </c>
      <c r="AC23" s="602">
        <v>0</v>
      </c>
      <c r="AD23" s="602">
        <v>0</v>
      </c>
      <c r="AE23" s="602">
        <v>0</v>
      </c>
      <c r="AF23" s="602">
        <v>0</v>
      </c>
      <c r="AG23" s="602">
        <v>0</v>
      </c>
      <c r="AH23" s="602">
        <v>0</v>
      </c>
      <c r="AI23" s="602">
        <v>0</v>
      </c>
      <c r="AJ23" s="498">
        <v>0</v>
      </c>
      <c r="AK23" s="498">
        <v>0</v>
      </c>
      <c r="AL23" s="602">
        <v>3.07648536063419</v>
      </c>
      <c r="AM23" s="602">
        <v>1.46964296492473</v>
      </c>
      <c r="AN23" s="498">
        <v>583126.15326100006</v>
      </c>
      <c r="AO23" s="603">
        <v>278560.48326100002</v>
      </c>
    </row>
    <row r="24" spans="1:41" ht="12" thickBot="1">
      <c r="A24" s="918"/>
      <c r="B24" s="918"/>
      <c r="C24" s="918"/>
      <c r="D24" s="918"/>
      <c r="E24" s="918"/>
      <c r="F24" s="919"/>
      <c r="G24" s="600" t="s">
        <v>253</v>
      </c>
      <c r="H24" s="601">
        <v>170048</v>
      </c>
      <c r="I24" s="602">
        <v>31000000</v>
      </c>
      <c r="J24" s="602">
        <v>1.69209677419355</v>
      </c>
      <c r="K24" s="776">
        <v>11160220.994475</v>
      </c>
      <c r="L24" s="776">
        <v>93442.92</v>
      </c>
      <c r="M24" s="498">
        <v>1.68844880198022</v>
      </c>
      <c r="N24" s="602">
        <v>3.3538714450126199</v>
      </c>
      <c r="O24" s="602">
        <v>1.6654226430324299</v>
      </c>
      <c r="P24" s="498">
        <v>185611.515587</v>
      </c>
      <c r="Q24" s="602">
        <v>92168.595587000003</v>
      </c>
      <c r="R24" s="602">
        <v>-0.26040409605544601</v>
      </c>
      <c r="S24" s="602">
        <v>-14411.404768</v>
      </c>
      <c r="T24" s="602">
        <v>0</v>
      </c>
      <c r="U24" s="602">
        <v>0</v>
      </c>
      <c r="V24" s="602">
        <v>0</v>
      </c>
      <c r="W24" s="602">
        <v>0</v>
      </c>
      <c r="X24" s="602">
        <v>0.24966730484257399</v>
      </c>
      <c r="Y24" s="602">
        <v>13817.204268</v>
      </c>
      <c r="Z24" s="602">
        <v>0</v>
      </c>
      <c r="AA24" s="602">
        <v>0</v>
      </c>
      <c r="AB24" s="602">
        <v>0</v>
      </c>
      <c r="AC24" s="602">
        <v>0</v>
      </c>
      <c r="AD24" s="602">
        <v>0</v>
      </c>
      <c r="AE24" s="602">
        <v>0</v>
      </c>
      <c r="AF24" s="602">
        <v>0</v>
      </c>
      <c r="AG24" s="602">
        <v>0</v>
      </c>
      <c r="AH24" s="602">
        <v>0</v>
      </c>
      <c r="AI24" s="602">
        <v>0</v>
      </c>
      <c r="AJ24" s="498">
        <v>0</v>
      </c>
      <c r="AK24" s="498">
        <v>0</v>
      </c>
      <c r="AL24" s="602">
        <v>3.3431346557151</v>
      </c>
      <c r="AM24" s="602">
        <v>1.6546858537349001</v>
      </c>
      <c r="AN24" s="498">
        <v>185017.31519299999</v>
      </c>
      <c r="AO24" s="603">
        <v>91574.395193000004</v>
      </c>
    </row>
    <row r="25" spans="1:41" ht="12" thickBot="1">
      <c r="A25" s="918"/>
      <c r="B25" s="918"/>
      <c r="C25" s="918"/>
      <c r="D25" s="918"/>
      <c r="E25" s="919"/>
      <c r="F25" s="600" t="s">
        <v>254</v>
      </c>
      <c r="G25" s="600" t="s">
        <v>254</v>
      </c>
      <c r="H25" s="601">
        <v>170049</v>
      </c>
      <c r="I25" s="602">
        <v>200000000</v>
      </c>
      <c r="J25" s="602">
        <v>1.82</v>
      </c>
      <c r="K25" s="776">
        <v>401104972.37568998</v>
      </c>
      <c r="L25" s="776">
        <v>2877387.08</v>
      </c>
      <c r="M25" s="498">
        <v>1.4466202261708001</v>
      </c>
      <c r="N25" s="602">
        <v>2.9619418476055399</v>
      </c>
      <c r="O25" s="602">
        <v>1.51532162143475</v>
      </c>
      <c r="P25" s="498">
        <v>5891424.0585249998</v>
      </c>
      <c r="Q25" s="602">
        <v>3014036.9785250002</v>
      </c>
      <c r="R25" s="602">
        <v>-0.19606471438561299</v>
      </c>
      <c r="S25" s="602">
        <v>-389980.77436699998</v>
      </c>
      <c r="T25" s="602">
        <v>0</v>
      </c>
      <c r="U25" s="602">
        <v>0</v>
      </c>
      <c r="V25" s="602">
        <v>0</v>
      </c>
      <c r="W25" s="602">
        <v>0</v>
      </c>
      <c r="X25" s="602">
        <v>0</v>
      </c>
      <c r="Y25" s="602">
        <v>0</v>
      </c>
      <c r="Z25" s="602">
        <v>0</v>
      </c>
      <c r="AA25" s="602">
        <v>0</v>
      </c>
      <c r="AB25" s="602">
        <v>0</v>
      </c>
      <c r="AC25" s="602">
        <v>0</v>
      </c>
      <c r="AD25" s="602">
        <v>0</v>
      </c>
      <c r="AE25" s="602">
        <v>0</v>
      </c>
      <c r="AF25" s="602">
        <v>0</v>
      </c>
      <c r="AG25" s="602">
        <v>0</v>
      </c>
      <c r="AH25" s="602">
        <v>0</v>
      </c>
      <c r="AI25" s="602">
        <v>0</v>
      </c>
      <c r="AJ25" s="498">
        <v>0</v>
      </c>
      <c r="AK25" s="498">
        <v>0</v>
      </c>
      <c r="AL25" s="602">
        <v>2.7658771333280199</v>
      </c>
      <c r="AM25" s="602">
        <v>1.31925690715722</v>
      </c>
      <c r="AN25" s="498">
        <v>5501443.2843730003</v>
      </c>
      <c r="AO25" s="603">
        <v>2624056.2043730002</v>
      </c>
    </row>
    <row r="26" spans="1:41" ht="12" thickBot="1">
      <c r="A26" s="918"/>
      <c r="B26" s="918"/>
      <c r="C26" s="918"/>
      <c r="D26" s="918"/>
      <c r="E26" s="917" t="s">
        <v>257</v>
      </c>
      <c r="F26" s="917" t="s">
        <v>258</v>
      </c>
      <c r="G26" s="600" t="s">
        <v>4175</v>
      </c>
      <c r="H26" s="601">
        <v>170007</v>
      </c>
      <c r="I26" s="602">
        <v>70240000</v>
      </c>
      <c r="J26" s="602">
        <v>2.0249999999999999</v>
      </c>
      <c r="K26" s="776">
        <v>13970386.740331</v>
      </c>
      <c r="L26" s="776">
        <v>138285</v>
      </c>
      <c r="M26" s="498">
        <v>1.9960937500000699</v>
      </c>
      <c r="N26" s="602">
        <v>3.6303763440999899</v>
      </c>
      <c r="O26" s="602">
        <v>1.6342825940999901</v>
      </c>
      <c r="P26" s="498">
        <v>251504.51613</v>
      </c>
      <c r="Q26" s="602">
        <v>113219.51613</v>
      </c>
      <c r="R26" s="602">
        <v>-0.29950604840665301</v>
      </c>
      <c r="S26" s="602">
        <v>-20749.122582</v>
      </c>
      <c r="T26" s="602">
        <v>0</v>
      </c>
      <c r="U26" s="602">
        <v>0</v>
      </c>
      <c r="V26" s="602">
        <v>0</v>
      </c>
      <c r="W26" s="602">
        <v>0</v>
      </c>
      <c r="X26" s="602">
        <v>0.25210946847139198</v>
      </c>
      <c r="Y26" s="602">
        <v>17465.591407</v>
      </c>
      <c r="Z26" s="602">
        <v>0</v>
      </c>
      <c r="AA26" s="602">
        <v>0</v>
      </c>
      <c r="AB26" s="602">
        <v>0</v>
      </c>
      <c r="AC26" s="602">
        <v>0</v>
      </c>
      <c r="AD26" s="602">
        <v>0</v>
      </c>
      <c r="AE26" s="602">
        <v>0</v>
      </c>
      <c r="AF26" s="602">
        <v>0</v>
      </c>
      <c r="AG26" s="602">
        <v>0</v>
      </c>
      <c r="AH26" s="602">
        <v>0</v>
      </c>
      <c r="AI26" s="602">
        <v>0</v>
      </c>
      <c r="AJ26" s="498">
        <v>0</v>
      </c>
      <c r="AK26" s="498">
        <v>0</v>
      </c>
      <c r="AL26" s="602">
        <v>3.5829797641502901</v>
      </c>
      <c r="AM26" s="602">
        <v>1.5868860141502901</v>
      </c>
      <c r="AN26" s="498">
        <v>248220.98495400001</v>
      </c>
      <c r="AO26" s="603">
        <v>109935.984954</v>
      </c>
    </row>
    <row r="27" spans="1:41" ht="12" thickBot="1">
      <c r="A27" s="918"/>
      <c r="B27" s="918"/>
      <c r="C27" s="918"/>
      <c r="D27" s="918"/>
      <c r="E27" s="918"/>
      <c r="F27" s="919"/>
      <c r="G27" s="600" t="s">
        <v>258</v>
      </c>
      <c r="H27" s="601">
        <v>170061</v>
      </c>
      <c r="I27" s="602">
        <v>13428860583.940001</v>
      </c>
      <c r="J27" s="602">
        <v>1.8854837911426101</v>
      </c>
      <c r="K27" s="776">
        <v>12912079899.248199</v>
      </c>
      <c r="L27" s="776">
        <v>120093056.7</v>
      </c>
      <c r="M27" s="498">
        <v>1.8755816873979101</v>
      </c>
      <c r="N27" s="602">
        <v>3.4712585523781301</v>
      </c>
      <c r="O27" s="602">
        <v>1.59567686498021</v>
      </c>
      <c r="P27" s="498">
        <v>222263873.097128</v>
      </c>
      <c r="Q27" s="602">
        <v>102170816.397128</v>
      </c>
      <c r="R27" s="602">
        <v>-0.27434376814837302</v>
      </c>
      <c r="S27" s="602">
        <v>-17566167.298873</v>
      </c>
      <c r="T27" s="602">
        <v>0</v>
      </c>
      <c r="U27" s="602">
        <v>0</v>
      </c>
      <c r="V27" s="602">
        <v>0</v>
      </c>
      <c r="W27" s="602">
        <v>0</v>
      </c>
      <c r="X27" s="602">
        <v>9.8859502567352001E-2</v>
      </c>
      <c r="Y27" s="602">
        <v>6329950.8237500004</v>
      </c>
      <c r="Z27" s="602">
        <v>0</v>
      </c>
      <c r="AA27" s="602">
        <v>0</v>
      </c>
      <c r="AB27" s="602">
        <v>0</v>
      </c>
      <c r="AC27" s="602">
        <v>0</v>
      </c>
      <c r="AD27" s="602">
        <v>0</v>
      </c>
      <c r="AE27" s="602">
        <v>0</v>
      </c>
      <c r="AF27" s="602">
        <v>0</v>
      </c>
      <c r="AG27" s="602">
        <v>0</v>
      </c>
      <c r="AH27" s="602">
        <v>0</v>
      </c>
      <c r="AI27" s="602">
        <v>0</v>
      </c>
      <c r="AJ27" s="498">
        <v>0</v>
      </c>
      <c r="AK27" s="498">
        <v>0</v>
      </c>
      <c r="AL27" s="602">
        <v>3.2957742870467501</v>
      </c>
      <c r="AM27" s="602">
        <v>1.42019259964884</v>
      </c>
      <c r="AN27" s="498">
        <v>211027656.63799</v>
      </c>
      <c r="AO27" s="603">
        <v>90934599.937989995</v>
      </c>
    </row>
    <row r="28" spans="1:41" ht="12" thickBot="1">
      <c r="A28" s="918"/>
      <c r="B28" s="918"/>
      <c r="C28" s="918"/>
      <c r="D28" s="918"/>
      <c r="E28" s="918"/>
      <c r="F28" s="917" t="s">
        <v>259</v>
      </c>
      <c r="G28" s="600" t="s">
        <v>260</v>
      </c>
      <c r="H28" s="601">
        <v>170062</v>
      </c>
      <c r="I28" s="602">
        <v>6140000000</v>
      </c>
      <c r="J28" s="602">
        <v>2.0987785016286602</v>
      </c>
      <c r="K28" s="776">
        <v>6047094049.8455801</v>
      </c>
      <c r="L28" s="776">
        <v>62332705.93</v>
      </c>
      <c r="M28" s="498">
        <v>2.0786604209592299</v>
      </c>
      <c r="N28" s="602">
        <v>3.4546750747055599</v>
      </c>
      <c r="O28" s="602">
        <v>1.37601465374634</v>
      </c>
      <c r="P28" s="498">
        <v>103595201.671253</v>
      </c>
      <c r="Q28" s="602">
        <v>41262495.741253003</v>
      </c>
      <c r="R28" s="602">
        <v>-0.272197932148463</v>
      </c>
      <c r="S28" s="602">
        <v>-8162388.3768060002</v>
      </c>
      <c r="T28" s="602">
        <v>0</v>
      </c>
      <c r="U28" s="602">
        <v>0</v>
      </c>
      <c r="V28" s="602">
        <v>0</v>
      </c>
      <c r="W28" s="602">
        <v>0</v>
      </c>
      <c r="X28" s="602">
        <v>0.109861803381908</v>
      </c>
      <c r="Y28" s="602">
        <v>3294421.4524389999</v>
      </c>
      <c r="Z28" s="602">
        <v>0</v>
      </c>
      <c r="AA28" s="602">
        <v>0</v>
      </c>
      <c r="AB28" s="602">
        <v>0</v>
      </c>
      <c r="AC28" s="602">
        <v>0</v>
      </c>
      <c r="AD28" s="602">
        <v>0</v>
      </c>
      <c r="AE28" s="602">
        <v>0</v>
      </c>
      <c r="AF28" s="602">
        <v>0</v>
      </c>
      <c r="AG28" s="602">
        <v>0</v>
      </c>
      <c r="AH28" s="602">
        <v>0</v>
      </c>
      <c r="AI28" s="602">
        <v>0</v>
      </c>
      <c r="AJ28" s="498">
        <v>0</v>
      </c>
      <c r="AK28" s="498">
        <v>0</v>
      </c>
      <c r="AL28" s="602">
        <v>3.2923389459394401</v>
      </c>
      <c r="AM28" s="602">
        <v>1.21367852498022</v>
      </c>
      <c r="AN28" s="498">
        <v>98727234.746898994</v>
      </c>
      <c r="AO28" s="603">
        <v>36394528.816899002</v>
      </c>
    </row>
    <row r="29" spans="1:41" ht="12" thickBot="1">
      <c r="A29" s="918"/>
      <c r="B29" s="918"/>
      <c r="C29" s="918"/>
      <c r="D29" s="918"/>
      <c r="E29" s="918"/>
      <c r="F29" s="918"/>
      <c r="G29" s="600" t="s">
        <v>261</v>
      </c>
      <c r="H29" s="601">
        <v>170063</v>
      </c>
      <c r="I29" s="602">
        <v>470000000</v>
      </c>
      <c r="J29" s="602">
        <v>2.1</v>
      </c>
      <c r="K29" s="776">
        <v>206022099.44751301</v>
      </c>
      <c r="L29" s="776">
        <v>2156018.8199999998</v>
      </c>
      <c r="M29" s="498">
        <v>2.1103429050683902</v>
      </c>
      <c r="N29" s="602">
        <v>3.5707191324429299</v>
      </c>
      <c r="O29" s="602">
        <v>1.46037622737455</v>
      </c>
      <c r="P29" s="498">
        <v>3648003.190378</v>
      </c>
      <c r="Q29" s="602">
        <v>1491984.370378</v>
      </c>
      <c r="R29" s="602">
        <v>-0.28909006004406002</v>
      </c>
      <c r="S29" s="602">
        <v>-295347.07778200001</v>
      </c>
      <c r="T29" s="602">
        <v>0</v>
      </c>
      <c r="U29" s="602">
        <v>0</v>
      </c>
      <c r="V29" s="602">
        <v>0</v>
      </c>
      <c r="W29" s="602">
        <v>0</v>
      </c>
      <c r="X29" s="602">
        <v>0.10017282559166001</v>
      </c>
      <c r="Y29" s="602">
        <v>102340.949762</v>
      </c>
      <c r="Z29" s="602">
        <v>0</v>
      </c>
      <c r="AA29" s="602">
        <v>0</v>
      </c>
      <c r="AB29" s="602">
        <v>0</v>
      </c>
      <c r="AC29" s="602">
        <v>0</v>
      </c>
      <c r="AD29" s="602">
        <v>0</v>
      </c>
      <c r="AE29" s="602">
        <v>0</v>
      </c>
      <c r="AF29" s="602">
        <v>0</v>
      </c>
      <c r="AG29" s="602">
        <v>0</v>
      </c>
      <c r="AH29" s="602">
        <v>0</v>
      </c>
      <c r="AI29" s="602">
        <v>0</v>
      </c>
      <c r="AJ29" s="498">
        <v>0</v>
      </c>
      <c r="AK29" s="498">
        <v>0</v>
      </c>
      <c r="AL29" s="602">
        <v>3.3818018979455098</v>
      </c>
      <c r="AM29" s="602">
        <v>1.27145899287713</v>
      </c>
      <c r="AN29" s="498">
        <v>3454997.062312</v>
      </c>
      <c r="AO29" s="603">
        <v>1298978.2423119999</v>
      </c>
    </row>
    <row r="30" spans="1:41" ht="12" thickBot="1">
      <c r="A30" s="918"/>
      <c r="B30" s="918"/>
      <c r="C30" s="918"/>
      <c r="D30" s="918"/>
      <c r="E30" s="918"/>
      <c r="F30" s="918"/>
      <c r="G30" s="600" t="s">
        <v>262</v>
      </c>
      <c r="H30" s="601">
        <v>170066</v>
      </c>
      <c r="I30" s="602">
        <v>96393024.620000005</v>
      </c>
      <c r="J30" s="602">
        <v>1.8012137807736699</v>
      </c>
      <c r="K30" s="776">
        <v>58442319.445303999</v>
      </c>
      <c r="L30" s="776">
        <v>485899.18</v>
      </c>
      <c r="M30" s="498">
        <v>1.6766137053922101</v>
      </c>
      <c r="N30" s="602">
        <v>3.5703810740512201</v>
      </c>
      <c r="O30" s="602">
        <v>1.89376736865901</v>
      </c>
      <c r="P30" s="498">
        <v>1034731.6323309999</v>
      </c>
      <c r="Q30" s="602">
        <v>548832.45233100001</v>
      </c>
      <c r="R30" s="602">
        <v>-0.28881141896983797</v>
      </c>
      <c r="S30" s="602">
        <v>-83700.396341</v>
      </c>
      <c r="T30" s="602">
        <v>0</v>
      </c>
      <c r="U30" s="602">
        <v>0</v>
      </c>
      <c r="V30" s="602">
        <v>0</v>
      </c>
      <c r="W30" s="602">
        <v>0</v>
      </c>
      <c r="X30" s="602">
        <v>9.8556770988030007E-2</v>
      </c>
      <c r="Y30" s="602">
        <v>28562.723812</v>
      </c>
      <c r="Z30" s="602">
        <v>0</v>
      </c>
      <c r="AA30" s="602">
        <v>0</v>
      </c>
      <c r="AB30" s="602">
        <v>0</v>
      </c>
      <c r="AC30" s="602">
        <v>0</v>
      </c>
      <c r="AD30" s="602">
        <v>0</v>
      </c>
      <c r="AE30" s="602">
        <v>0</v>
      </c>
      <c r="AF30" s="602">
        <v>0</v>
      </c>
      <c r="AG30" s="602">
        <v>0</v>
      </c>
      <c r="AH30" s="602">
        <v>0</v>
      </c>
      <c r="AI30" s="602">
        <v>0</v>
      </c>
      <c r="AJ30" s="498">
        <v>0</v>
      </c>
      <c r="AK30" s="498">
        <v>0</v>
      </c>
      <c r="AL30" s="602">
        <v>3.3801264254138101</v>
      </c>
      <c r="AM30" s="602">
        <v>1.7035127200216</v>
      </c>
      <c r="AN30" s="498">
        <v>979593.95961200004</v>
      </c>
      <c r="AO30" s="603">
        <v>493694.77961199998</v>
      </c>
    </row>
    <row r="31" spans="1:41" ht="12" thickBot="1">
      <c r="A31" s="918"/>
      <c r="B31" s="918"/>
      <c r="C31" s="918"/>
      <c r="D31" s="918"/>
      <c r="E31" s="919"/>
      <c r="F31" s="919"/>
      <c r="G31" s="600" t="s">
        <v>263</v>
      </c>
      <c r="H31" s="601">
        <v>170068</v>
      </c>
      <c r="I31" s="602">
        <v>26001000</v>
      </c>
      <c r="J31" s="602">
        <v>1.94993846390523</v>
      </c>
      <c r="K31" s="776">
        <v>6387740.3314920003</v>
      </c>
      <c r="L31" s="776">
        <v>61166.17</v>
      </c>
      <c r="M31" s="498">
        <v>1.9309824370058799</v>
      </c>
      <c r="N31" s="602">
        <v>3.5936483838603102</v>
      </c>
      <c r="O31" s="602">
        <v>1.6626659468543401</v>
      </c>
      <c r="P31" s="498">
        <v>113833.09540000001</v>
      </c>
      <c r="Q31" s="602">
        <v>52666.9254</v>
      </c>
      <c r="R31" s="602">
        <v>-0.29420999706923101</v>
      </c>
      <c r="S31" s="602">
        <v>-9319.4522909999996</v>
      </c>
      <c r="T31" s="602">
        <v>0</v>
      </c>
      <c r="U31" s="602">
        <v>0</v>
      </c>
      <c r="V31" s="602">
        <v>0</v>
      </c>
      <c r="W31" s="602">
        <v>0</v>
      </c>
      <c r="X31" s="602">
        <v>0.220092114362717</v>
      </c>
      <c r="Y31" s="602">
        <v>6971.6800240000002</v>
      </c>
      <c r="Z31" s="602">
        <v>0</v>
      </c>
      <c r="AA31" s="602">
        <v>0</v>
      </c>
      <c r="AB31" s="602">
        <v>0</v>
      </c>
      <c r="AC31" s="602">
        <v>0</v>
      </c>
      <c r="AD31" s="602">
        <v>0</v>
      </c>
      <c r="AE31" s="602">
        <v>0</v>
      </c>
      <c r="AF31" s="602">
        <v>0</v>
      </c>
      <c r="AG31" s="602">
        <v>0</v>
      </c>
      <c r="AH31" s="602">
        <v>0</v>
      </c>
      <c r="AI31" s="602">
        <v>0</v>
      </c>
      <c r="AJ31" s="498">
        <v>0</v>
      </c>
      <c r="AK31" s="498">
        <v>0</v>
      </c>
      <c r="AL31" s="602">
        <v>3.5195305046580101</v>
      </c>
      <c r="AM31" s="602">
        <v>1.58854806765204</v>
      </c>
      <c r="AN31" s="498">
        <v>111485.323244</v>
      </c>
      <c r="AO31" s="603">
        <v>50319.153244000001</v>
      </c>
    </row>
    <row r="32" spans="1:41" ht="12" thickBot="1">
      <c r="A32" s="918"/>
      <c r="B32" s="918"/>
      <c r="C32" s="918"/>
      <c r="D32" s="918"/>
      <c r="E32" s="917" t="s">
        <v>265</v>
      </c>
      <c r="F32" s="600" t="s">
        <v>266</v>
      </c>
      <c r="G32" s="600" t="s">
        <v>266</v>
      </c>
      <c r="H32" s="601">
        <v>170071</v>
      </c>
      <c r="I32" s="602">
        <v>1791371793.02</v>
      </c>
      <c r="J32" s="602">
        <v>2.6913195757063999</v>
      </c>
      <c r="K32" s="776">
        <v>1574045224.71597</v>
      </c>
      <c r="L32" s="776">
        <v>21916523.059999999</v>
      </c>
      <c r="M32" s="498">
        <v>2.8078166188816098</v>
      </c>
      <c r="N32" s="602">
        <v>3.8457305805412498</v>
      </c>
      <c r="O32" s="602">
        <v>1.03791396165964</v>
      </c>
      <c r="P32" s="498">
        <v>30018001.312546998</v>
      </c>
      <c r="Q32" s="602">
        <v>8101478.2525469996</v>
      </c>
      <c r="R32" s="602">
        <v>-0.32977422131984802</v>
      </c>
      <c r="S32" s="602">
        <v>-2574065.655694</v>
      </c>
      <c r="T32" s="602">
        <v>0</v>
      </c>
      <c r="U32" s="602">
        <v>0</v>
      </c>
      <c r="V32" s="602">
        <v>0</v>
      </c>
      <c r="W32" s="602">
        <v>0</v>
      </c>
      <c r="X32" s="602">
        <v>0.20051538231652</v>
      </c>
      <c r="Y32" s="602">
        <v>1565130.703648</v>
      </c>
      <c r="Z32" s="602">
        <v>0</v>
      </c>
      <c r="AA32" s="602">
        <v>0</v>
      </c>
      <c r="AB32" s="602">
        <v>0</v>
      </c>
      <c r="AC32" s="602">
        <v>0</v>
      </c>
      <c r="AD32" s="602">
        <v>0</v>
      </c>
      <c r="AE32" s="602">
        <v>0</v>
      </c>
      <c r="AF32" s="602">
        <v>0</v>
      </c>
      <c r="AG32" s="602">
        <v>0</v>
      </c>
      <c r="AH32" s="602">
        <v>0</v>
      </c>
      <c r="AI32" s="602">
        <v>0</v>
      </c>
      <c r="AJ32" s="498">
        <v>0</v>
      </c>
      <c r="AK32" s="498">
        <v>0</v>
      </c>
      <c r="AL32" s="602">
        <v>3.7164717415249799</v>
      </c>
      <c r="AM32" s="602">
        <v>0.90865512264337001</v>
      </c>
      <c r="AN32" s="498">
        <v>29009066.360399999</v>
      </c>
      <c r="AO32" s="603">
        <v>7092543.3004000001</v>
      </c>
    </row>
    <row r="33" spans="1:41" ht="12" thickBot="1">
      <c r="A33" s="918"/>
      <c r="B33" s="918"/>
      <c r="C33" s="918"/>
      <c r="D33" s="918"/>
      <c r="E33" s="918"/>
      <c r="F33" s="917" t="s">
        <v>267</v>
      </c>
      <c r="G33" s="600" t="s">
        <v>268</v>
      </c>
      <c r="H33" s="601">
        <v>170072</v>
      </c>
      <c r="I33" s="602">
        <v>845150276.90999997</v>
      </c>
      <c r="J33" s="602">
        <v>2.6631974770973001</v>
      </c>
      <c r="K33" s="776">
        <v>751529715.85027599</v>
      </c>
      <c r="L33" s="776">
        <v>10204295.25</v>
      </c>
      <c r="M33" s="498">
        <v>2.73811161840595</v>
      </c>
      <c r="N33" s="602">
        <v>3.99722560878587</v>
      </c>
      <c r="O33" s="602">
        <v>1.25911399037993</v>
      </c>
      <c r="P33" s="498">
        <v>14896715.684899</v>
      </c>
      <c r="Q33" s="602">
        <v>4692420.4348990005</v>
      </c>
      <c r="R33" s="602">
        <v>-0.352430821491519</v>
      </c>
      <c r="S33" s="602">
        <v>-1313426.426273</v>
      </c>
      <c r="T33" s="602">
        <v>0</v>
      </c>
      <c r="U33" s="602">
        <v>0</v>
      </c>
      <c r="V33" s="602">
        <v>0</v>
      </c>
      <c r="W33" s="602">
        <v>0</v>
      </c>
      <c r="X33" s="602">
        <v>0.183433845178719</v>
      </c>
      <c r="Y33" s="602">
        <v>683614.61324800004</v>
      </c>
      <c r="Z33" s="602">
        <v>0</v>
      </c>
      <c r="AA33" s="602">
        <v>0</v>
      </c>
      <c r="AB33" s="602">
        <v>0</v>
      </c>
      <c r="AC33" s="602">
        <v>0</v>
      </c>
      <c r="AD33" s="602">
        <v>0</v>
      </c>
      <c r="AE33" s="602">
        <v>0</v>
      </c>
      <c r="AF33" s="602">
        <v>0</v>
      </c>
      <c r="AG33" s="602">
        <v>0</v>
      </c>
      <c r="AH33" s="602">
        <v>0</v>
      </c>
      <c r="AI33" s="602">
        <v>0</v>
      </c>
      <c r="AJ33" s="498">
        <v>0</v>
      </c>
      <c r="AK33" s="498">
        <v>0</v>
      </c>
      <c r="AL33" s="602">
        <v>3.82822863248354</v>
      </c>
      <c r="AM33" s="602">
        <v>1.09011701407759</v>
      </c>
      <c r="AN33" s="498">
        <v>14266903.871912999</v>
      </c>
      <c r="AO33" s="603">
        <v>4062608.621913</v>
      </c>
    </row>
    <row r="34" spans="1:41" ht="12" thickBot="1">
      <c r="A34" s="918"/>
      <c r="B34" s="918"/>
      <c r="C34" s="918"/>
      <c r="D34" s="918"/>
      <c r="E34" s="918"/>
      <c r="F34" s="918"/>
      <c r="G34" s="600" t="s">
        <v>269</v>
      </c>
      <c r="H34" s="601">
        <v>170073</v>
      </c>
      <c r="I34" s="602">
        <v>223000000</v>
      </c>
      <c r="J34" s="602">
        <v>3.5973094170403601</v>
      </c>
      <c r="K34" s="776">
        <v>596701657.45856404</v>
      </c>
      <c r="L34" s="776">
        <v>11763288.470000001</v>
      </c>
      <c r="M34" s="498">
        <v>3.9754453964704699</v>
      </c>
      <c r="N34" s="602">
        <v>5.1239344969390102</v>
      </c>
      <c r="O34" s="602">
        <v>1.14848910046854</v>
      </c>
      <c r="P34" s="498">
        <v>15161651.985559</v>
      </c>
      <c r="Q34" s="602">
        <v>3398363.515559</v>
      </c>
      <c r="R34" s="602">
        <v>-0.51677008240663203</v>
      </c>
      <c r="S34" s="602">
        <v>-1529115.5947990001</v>
      </c>
      <c r="T34" s="602">
        <v>0</v>
      </c>
      <c r="U34" s="602">
        <v>0</v>
      </c>
      <c r="V34" s="602">
        <v>0</v>
      </c>
      <c r="W34" s="602">
        <v>0</v>
      </c>
      <c r="X34" s="602">
        <v>1.2673259076139999E-3</v>
      </c>
      <c r="Y34" s="602">
        <v>3750</v>
      </c>
      <c r="Z34" s="602">
        <v>0</v>
      </c>
      <c r="AA34" s="602">
        <v>0</v>
      </c>
      <c r="AB34" s="602">
        <v>0</v>
      </c>
      <c r="AC34" s="602">
        <v>0</v>
      </c>
      <c r="AD34" s="602">
        <v>0</v>
      </c>
      <c r="AE34" s="602">
        <v>0</v>
      </c>
      <c r="AF34" s="602">
        <v>0</v>
      </c>
      <c r="AG34" s="602">
        <v>0</v>
      </c>
      <c r="AH34" s="602">
        <v>0</v>
      </c>
      <c r="AI34" s="602">
        <v>0</v>
      </c>
      <c r="AJ34" s="498">
        <v>0</v>
      </c>
      <c r="AK34" s="498">
        <v>0</v>
      </c>
      <c r="AL34" s="602">
        <v>4.6084317405525299</v>
      </c>
      <c r="AM34" s="602">
        <v>0.63298634408205801</v>
      </c>
      <c r="AN34" s="498">
        <v>13636286.391093001</v>
      </c>
      <c r="AO34" s="603">
        <v>1872997.9210930001</v>
      </c>
    </row>
    <row r="35" spans="1:41" ht="12" thickBot="1">
      <c r="A35" s="918"/>
      <c r="B35" s="918"/>
      <c r="C35" s="918"/>
      <c r="D35" s="918"/>
      <c r="E35" s="918"/>
      <c r="F35" s="918"/>
      <c r="G35" s="600" t="s">
        <v>3701</v>
      </c>
      <c r="H35" s="601">
        <v>170076</v>
      </c>
      <c r="I35" s="602">
        <v>60109552.960000001</v>
      </c>
      <c r="J35" s="602">
        <v>2.2999999999999998</v>
      </c>
      <c r="K35" s="776">
        <v>24269846.606575001</v>
      </c>
      <c r="L35" s="776">
        <v>276995.26</v>
      </c>
      <c r="M35" s="498">
        <v>2.3015456616282499</v>
      </c>
      <c r="N35" s="602">
        <v>3.66571419698586</v>
      </c>
      <c r="O35" s="602">
        <v>1.3641685353575701</v>
      </c>
      <c r="P35" s="498">
        <v>441175.45613300003</v>
      </c>
      <c r="Q35" s="602">
        <v>164180.19613299999</v>
      </c>
      <c r="R35" s="602">
        <v>-0.30519466811876</v>
      </c>
      <c r="S35" s="602">
        <v>-36730.7405</v>
      </c>
      <c r="T35" s="602">
        <v>0</v>
      </c>
      <c r="U35" s="602">
        <v>0</v>
      </c>
      <c r="V35" s="602">
        <v>0</v>
      </c>
      <c r="W35" s="602">
        <v>0</v>
      </c>
      <c r="X35" s="602">
        <v>0.40628164038357201</v>
      </c>
      <c r="Y35" s="602">
        <v>48896.743821999997</v>
      </c>
      <c r="Z35" s="602">
        <v>0</v>
      </c>
      <c r="AA35" s="602">
        <v>0</v>
      </c>
      <c r="AB35" s="602">
        <v>0</v>
      </c>
      <c r="AC35" s="602">
        <v>0</v>
      </c>
      <c r="AD35" s="602">
        <v>0</v>
      </c>
      <c r="AE35" s="602">
        <v>0</v>
      </c>
      <c r="AF35" s="602">
        <v>0</v>
      </c>
      <c r="AG35" s="602">
        <v>0</v>
      </c>
      <c r="AH35" s="602">
        <v>0</v>
      </c>
      <c r="AI35" s="602">
        <v>0</v>
      </c>
      <c r="AJ35" s="498">
        <v>0</v>
      </c>
      <c r="AK35" s="498">
        <v>0</v>
      </c>
      <c r="AL35" s="602">
        <v>3.7668011686773499</v>
      </c>
      <c r="AM35" s="602">
        <v>1.46525550704906</v>
      </c>
      <c r="AN35" s="498">
        <v>453341.459386</v>
      </c>
      <c r="AO35" s="603">
        <v>176346.19938599999</v>
      </c>
    </row>
    <row r="36" spans="1:41" ht="12" thickBot="1">
      <c r="A36" s="918"/>
      <c r="B36" s="918"/>
      <c r="C36" s="918"/>
      <c r="D36" s="918"/>
      <c r="E36" s="919"/>
      <c r="F36" s="919"/>
      <c r="G36" s="600" t="s">
        <v>270</v>
      </c>
      <c r="H36" s="601">
        <v>170078</v>
      </c>
      <c r="I36" s="602">
        <v>20000000</v>
      </c>
      <c r="J36" s="602">
        <v>2.2999999999999998</v>
      </c>
      <c r="K36" s="776">
        <v>5116022.0994469998</v>
      </c>
      <c r="L36" s="776">
        <v>63403.81</v>
      </c>
      <c r="M36" s="498">
        <v>2.4991782559397802</v>
      </c>
      <c r="N36" s="602">
        <v>3.9437771816495699</v>
      </c>
      <c r="O36" s="602">
        <v>1.44459892571004</v>
      </c>
      <c r="P36" s="498">
        <v>100053.086855</v>
      </c>
      <c r="Q36" s="602">
        <v>36649.276854999996</v>
      </c>
      <c r="R36" s="602">
        <v>-0.34615735655561602</v>
      </c>
      <c r="S36" s="602">
        <v>-8781.9647170000007</v>
      </c>
      <c r="T36" s="602">
        <v>0</v>
      </c>
      <c r="U36" s="602">
        <v>0</v>
      </c>
      <c r="V36" s="602">
        <v>0</v>
      </c>
      <c r="W36" s="602">
        <v>0</v>
      </c>
      <c r="X36" s="602">
        <v>0.38145335474514003</v>
      </c>
      <c r="Y36" s="602">
        <v>9677.4193560000003</v>
      </c>
      <c r="Z36" s="602">
        <v>0</v>
      </c>
      <c r="AA36" s="602">
        <v>0</v>
      </c>
      <c r="AB36" s="602">
        <v>0</v>
      </c>
      <c r="AC36" s="602">
        <v>0</v>
      </c>
      <c r="AD36" s="602">
        <v>0</v>
      </c>
      <c r="AE36" s="602">
        <v>0</v>
      </c>
      <c r="AF36" s="602">
        <v>0</v>
      </c>
      <c r="AG36" s="602">
        <v>0</v>
      </c>
      <c r="AH36" s="602">
        <v>0</v>
      </c>
      <c r="AI36" s="602">
        <v>0</v>
      </c>
      <c r="AJ36" s="498">
        <v>0</v>
      </c>
      <c r="AK36" s="498">
        <v>0</v>
      </c>
      <c r="AL36" s="602">
        <v>3.9790731783412499</v>
      </c>
      <c r="AM36" s="602">
        <v>1.4798949224017299</v>
      </c>
      <c r="AN36" s="498">
        <v>100948.54145600001</v>
      </c>
      <c r="AO36" s="603">
        <v>37544.731456000001</v>
      </c>
    </row>
    <row r="37" spans="1:41" ht="12" thickBot="1">
      <c r="A37" s="918"/>
      <c r="B37" s="918"/>
      <c r="C37" s="918"/>
      <c r="D37" s="918"/>
      <c r="E37" s="917" t="s">
        <v>271</v>
      </c>
      <c r="F37" s="600" t="s">
        <v>272</v>
      </c>
      <c r="G37" s="600" t="s">
        <v>272</v>
      </c>
      <c r="H37" s="601">
        <v>170081</v>
      </c>
      <c r="I37" s="602">
        <v>1302722593.4000001</v>
      </c>
      <c r="J37" s="602">
        <v>3.9725351735921999</v>
      </c>
      <c r="K37" s="776">
        <v>1333148437.48177</v>
      </c>
      <c r="L37" s="776">
        <v>26669358.440000001</v>
      </c>
      <c r="M37" s="498">
        <v>4.0341157018412801</v>
      </c>
      <c r="N37" s="602">
        <v>4.9708271277869001</v>
      </c>
      <c r="O37" s="602">
        <v>0.93671142594560297</v>
      </c>
      <c r="P37" s="498">
        <v>32861915.773441002</v>
      </c>
      <c r="Q37" s="602">
        <v>6192557.3334410004</v>
      </c>
      <c r="R37" s="602">
        <v>-0.49662948950854902</v>
      </c>
      <c r="S37" s="602">
        <v>-3283195.3385800002</v>
      </c>
      <c r="T37" s="602">
        <v>0</v>
      </c>
      <c r="U37" s="602">
        <v>0</v>
      </c>
      <c r="V37" s="602">
        <v>0</v>
      </c>
      <c r="W37" s="602">
        <v>0</v>
      </c>
      <c r="X37" s="602">
        <v>2.6119520779971001E-2</v>
      </c>
      <c r="Y37" s="602">
        <v>172674.98342800001</v>
      </c>
      <c r="Z37" s="602">
        <v>0</v>
      </c>
      <c r="AA37" s="602">
        <v>0</v>
      </c>
      <c r="AB37" s="602">
        <v>0</v>
      </c>
      <c r="AC37" s="602">
        <v>0</v>
      </c>
      <c r="AD37" s="602">
        <v>0</v>
      </c>
      <c r="AE37" s="602">
        <v>0</v>
      </c>
      <c r="AF37" s="602">
        <v>0</v>
      </c>
      <c r="AG37" s="602">
        <v>0</v>
      </c>
      <c r="AH37" s="602">
        <v>0</v>
      </c>
      <c r="AI37" s="602">
        <v>0</v>
      </c>
      <c r="AJ37" s="498">
        <v>0</v>
      </c>
      <c r="AK37" s="498">
        <v>0</v>
      </c>
      <c r="AL37" s="602">
        <v>4.5003171591489197</v>
      </c>
      <c r="AM37" s="602">
        <v>0.46620145730763202</v>
      </c>
      <c r="AN37" s="498">
        <v>29751395.418887999</v>
      </c>
      <c r="AO37" s="603">
        <v>3082036.9788879999</v>
      </c>
    </row>
    <row r="38" spans="1:41" ht="12" thickBot="1">
      <c r="A38" s="918"/>
      <c r="B38" s="918"/>
      <c r="C38" s="918"/>
      <c r="D38" s="918"/>
      <c r="E38" s="918"/>
      <c r="F38" s="917" t="s">
        <v>273</v>
      </c>
      <c r="G38" s="600" t="s">
        <v>274</v>
      </c>
      <c r="H38" s="601">
        <v>170082</v>
      </c>
      <c r="I38" s="602">
        <v>8607346289.9200001</v>
      </c>
      <c r="J38" s="602">
        <v>4.0453711647736696</v>
      </c>
      <c r="K38" s="776">
        <v>8252283527.4890604</v>
      </c>
      <c r="L38" s="776">
        <v>173565506.27000001</v>
      </c>
      <c r="M38" s="498">
        <v>4.2413446862448501</v>
      </c>
      <c r="N38" s="602">
        <v>4.9018532732887001</v>
      </c>
      <c r="O38" s="602">
        <v>0.66050858704384496</v>
      </c>
      <c r="P38" s="498">
        <v>200595025.39343801</v>
      </c>
      <c r="Q38" s="602">
        <v>27029519.123438001</v>
      </c>
      <c r="R38" s="602">
        <v>-0.48635578915389899</v>
      </c>
      <c r="S38" s="602">
        <v>-19902789.095545001</v>
      </c>
      <c r="T38" s="602">
        <v>0</v>
      </c>
      <c r="U38" s="602">
        <v>0</v>
      </c>
      <c r="V38" s="602">
        <v>0</v>
      </c>
      <c r="W38" s="602">
        <v>0</v>
      </c>
      <c r="X38" s="602">
        <v>0.16677683734527601</v>
      </c>
      <c r="Y38" s="602">
        <v>6824888.8853150001</v>
      </c>
      <c r="Z38" s="602">
        <v>0</v>
      </c>
      <c r="AA38" s="602">
        <v>0</v>
      </c>
      <c r="AB38" s="602">
        <v>0</v>
      </c>
      <c r="AC38" s="602">
        <v>0</v>
      </c>
      <c r="AD38" s="602">
        <v>0</v>
      </c>
      <c r="AE38" s="602">
        <v>0</v>
      </c>
      <c r="AF38" s="602">
        <v>0</v>
      </c>
      <c r="AG38" s="602">
        <v>0</v>
      </c>
      <c r="AH38" s="602">
        <v>0</v>
      </c>
      <c r="AI38" s="602">
        <v>0</v>
      </c>
      <c r="AJ38" s="498">
        <v>0</v>
      </c>
      <c r="AK38" s="498">
        <v>0</v>
      </c>
      <c r="AL38" s="602">
        <v>4.5822743214737702</v>
      </c>
      <c r="AM38" s="602">
        <v>0.340929635228919</v>
      </c>
      <c r="AN38" s="498">
        <v>187517125.18294999</v>
      </c>
      <c r="AO38" s="603">
        <v>13951618.91295</v>
      </c>
    </row>
    <row r="39" spans="1:41" ht="12" thickBot="1">
      <c r="A39" s="918"/>
      <c r="B39" s="918"/>
      <c r="C39" s="918"/>
      <c r="D39" s="918"/>
      <c r="E39" s="918"/>
      <c r="F39" s="918"/>
      <c r="G39" s="600" t="s">
        <v>275</v>
      </c>
      <c r="H39" s="601">
        <v>170083</v>
      </c>
      <c r="I39" s="602">
        <v>510000000</v>
      </c>
      <c r="J39" s="602">
        <v>4.4385294117647103</v>
      </c>
      <c r="K39" s="776">
        <v>510000000</v>
      </c>
      <c r="L39" s="776">
        <v>11284259.060000001</v>
      </c>
      <c r="M39" s="498">
        <v>4.4618725564944199</v>
      </c>
      <c r="N39" s="602">
        <v>5.2039590737774599</v>
      </c>
      <c r="O39" s="602">
        <v>0.74208651728304098</v>
      </c>
      <c r="P39" s="498">
        <v>13161026.358914999</v>
      </c>
      <c r="Q39" s="602">
        <v>1876767.2989149999</v>
      </c>
      <c r="R39" s="602">
        <v>-0.53135721927479196</v>
      </c>
      <c r="S39" s="602">
        <v>-1343824.2441440001</v>
      </c>
      <c r="T39" s="602">
        <v>0</v>
      </c>
      <c r="U39" s="602">
        <v>0</v>
      </c>
      <c r="V39" s="602">
        <v>0</v>
      </c>
      <c r="W39" s="602">
        <v>0</v>
      </c>
      <c r="X39" s="602">
        <v>0</v>
      </c>
      <c r="Y39" s="602">
        <v>0</v>
      </c>
      <c r="Z39" s="602">
        <v>0</v>
      </c>
      <c r="AA39" s="602">
        <v>0</v>
      </c>
      <c r="AB39" s="602">
        <v>0</v>
      </c>
      <c r="AC39" s="602">
        <v>0</v>
      </c>
      <c r="AD39" s="602">
        <v>0</v>
      </c>
      <c r="AE39" s="602">
        <v>0</v>
      </c>
      <c r="AF39" s="602">
        <v>0</v>
      </c>
      <c r="AG39" s="602">
        <v>0</v>
      </c>
      <c r="AH39" s="602">
        <v>0</v>
      </c>
      <c r="AI39" s="602">
        <v>0</v>
      </c>
      <c r="AJ39" s="498">
        <v>0</v>
      </c>
      <c r="AK39" s="498">
        <v>0</v>
      </c>
      <c r="AL39" s="602">
        <v>4.6726018545208596</v>
      </c>
      <c r="AM39" s="602">
        <v>0.210729298026438</v>
      </c>
      <c r="AN39" s="498">
        <v>11817202.114817001</v>
      </c>
      <c r="AO39" s="603">
        <v>532943.05481700005</v>
      </c>
    </row>
    <row r="40" spans="1:41" ht="12" thickBot="1">
      <c r="A40" s="918"/>
      <c r="B40" s="918"/>
      <c r="C40" s="918"/>
      <c r="D40" s="918"/>
      <c r="E40" s="919"/>
      <c r="F40" s="919"/>
      <c r="G40" s="600" t="s">
        <v>276</v>
      </c>
      <c r="H40" s="601">
        <v>170086</v>
      </c>
      <c r="I40" s="602">
        <v>16869591</v>
      </c>
      <c r="J40" s="602">
        <v>4.7321168159915699</v>
      </c>
      <c r="K40" s="776">
        <v>16869591</v>
      </c>
      <c r="L40" s="776">
        <v>397717.58</v>
      </c>
      <c r="M40" s="498">
        <v>4.7542774693731298</v>
      </c>
      <c r="N40" s="602">
        <v>5.2220184212237903</v>
      </c>
      <c r="O40" s="602">
        <v>0.46774095185065701</v>
      </c>
      <c r="P40" s="498">
        <v>436846.30158500001</v>
      </c>
      <c r="Q40" s="602">
        <v>39128.721584999999</v>
      </c>
      <c r="R40" s="602">
        <v>-0.53403746382980999</v>
      </c>
      <c r="S40" s="602">
        <v>-44674.735353999997</v>
      </c>
      <c r="T40" s="602">
        <v>0</v>
      </c>
      <c r="U40" s="602">
        <v>0</v>
      </c>
      <c r="V40" s="602">
        <v>0</v>
      </c>
      <c r="W40" s="602">
        <v>0</v>
      </c>
      <c r="X40" s="602">
        <v>5.5225681474509996E-3</v>
      </c>
      <c r="Y40" s="602">
        <v>461.98869400000001</v>
      </c>
      <c r="Z40" s="602">
        <v>0</v>
      </c>
      <c r="AA40" s="602">
        <v>0</v>
      </c>
      <c r="AB40" s="602">
        <v>0</v>
      </c>
      <c r="AC40" s="602">
        <v>0</v>
      </c>
      <c r="AD40" s="602">
        <v>0</v>
      </c>
      <c r="AE40" s="602">
        <v>0</v>
      </c>
      <c r="AF40" s="602">
        <v>0</v>
      </c>
      <c r="AG40" s="602">
        <v>0</v>
      </c>
      <c r="AH40" s="602">
        <v>0</v>
      </c>
      <c r="AI40" s="602">
        <v>0</v>
      </c>
      <c r="AJ40" s="498">
        <v>0</v>
      </c>
      <c r="AK40" s="498">
        <v>0</v>
      </c>
      <c r="AL40" s="602">
        <v>4.69350352491983</v>
      </c>
      <c r="AM40" s="602">
        <v>-6.0773944453305001E-2</v>
      </c>
      <c r="AN40" s="498">
        <v>392633.55487300002</v>
      </c>
      <c r="AO40" s="603">
        <v>-5084.0251269999999</v>
      </c>
    </row>
    <row r="41" spans="1:41" ht="12" thickBot="1">
      <c r="A41" s="918"/>
      <c r="B41" s="918"/>
      <c r="C41" s="918"/>
      <c r="D41" s="918"/>
      <c r="E41" s="917" t="s">
        <v>278</v>
      </c>
      <c r="F41" s="600" t="s">
        <v>279</v>
      </c>
      <c r="G41" s="600" t="s">
        <v>279</v>
      </c>
      <c r="H41" s="601">
        <v>170091</v>
      </c>
      <c r="I41" s="602">
        <v>166611987.25</v>
      </c>
      <c r="J41" s="602">
        <v>4.9692792672365202</v>
      </c>
      <c r="K41" s="776">
        <v>171725029.90784499</v>
      </c>
      <c r="L41" s="776">
        <v>4258992.2699999996</v>
      </c>
      <c r="M41" s="498">
        <v>5.00135337097245</v>
      </c>
      <c r="N41" s="602">
        <v>5.87834562790019</v>
      </c>
      <c r="O41" s="602">
        <v>0.87699225692775495</v>
      </c>
      <c r="P41" s="498">
        <v>5005810.7741240002</v>
      </c>
      <c r="Q41" s="602">
        <v>746818.50412399997</v>
      </c>
      <c r="R41" s="602">
        <v>-0.63133565229622701</v>
      </c>
      <c r="S41" s="602">
        <v>-537625.21131000004</v>
      </c>
      <c r="T41" s="602">
        <v>0</v>
      </c>
      <c r="U41" s="602">
        <v>0</v>
      </c>
      <c r="V41" s="602">
        <v>0</v>
      </c>
      <c r="W41" s="602">
        <v>0</v>
      </c>
      <c r="X41" s="602">
        <v>1.5362513442048999E-2</v>
      </c>
      <c r="Y41" s="602">
        <v>13082.224179000001</v>
      </c>
      <c r="Z41" s="602">
        <v>0</v>
      </c>
      <c r="AA41" s="602">
        <v>0</v>
      </c>
      <c r="AB41" s="602">
        <v>0</v>
      </c>
      <c r="AC41" s="602">
        <v>0</v>
      </c>
      <c r="AD41" s="602">
        <v>0</v>
      </c>
      <c r="AE41" s="602">
        <v>0</v>
      </c>
      <c r="AF41" s="602">
        <v>0</v>
      </c>
      <c r="AG41" s="602">
        <v>0</v>
      </c>
      <c r="AH41" s="602">
        <v>0</v>
      </c>
      <c r="AI41" s="602">
        <v>0</v>
      </c>
      <c r="AJ41" s="498">
        <v>0</v>
      </c>
      <c r="AK41" s="498">
        <v>0</v>
      </c>
      <c r="AL41" s="602">
        <v>5.2623724910270697</v>
      </c>
      <c r="AM41" s="602">
        <v>0.26101912005462902</v>
      </c>
      <c r="AN41" s="498">
        <v>4481267.7886800002</v>
      </c>
      <c r="AO41" s="603">
        <v>222275.51868000001</v>
      </c>
    </row>
    <row r="42" spans="1:41" ht="12" thickBot="1">
      <c r="A42" s="918"/>
      <c r="B42" s="918"/>
      <c r="C42" s="918"/>
      <c r="D42" s="919"/>
      <c r="E42" s="919"/>
      <c r="F42" s="600" t="s">
        <v>280</v>
      </c>
      <c r="G42" s="600" t="s">
        <v>281</v>
      </c>
      <c r="H42" s="601">
        <v>170092</v>
      </c>
      <c r="I42" s="602">
        <v>15085600000</v>
      </c>
      <c r="J42" s="602">
        <v>5.0585565042159404</v>
      </c>
      <c r="K42" s="776">
        <v>15085600000</v>
      </c>
      <c r="L42" s="776">
        <v>380285003.61000001</v>
      </c>
      <c r="M42" s="498">
        <v>5.0834774458965999</v>
      </c>
      <c r="N42" s="602">
        <v>5.9896177912300503</v>
      </c>
      <c r="O42" s="602">
        <v>0.906140345333459</v>
      </c>
      <c r="P42" s="498">
        <v>448071590.284926</v>
      </c>
      <c r="Q42" s="602">
        <v>67786586.674925998</v>
      </c>
      <c r="R42" s="602">
        <v>-0.64795932289380398</v>
      </c>
      <c r="S42" s="602">
        <v>-48472569.430735998</v>
      </c>
      <c r="T42" s="602">
        <v>0</v>
      </c>
      <c r="U42" s="602">
        <v>0</v>
      </c>
      <c r="V42" s="602">
        <v>0</v>
      </c>
      <c r="W42" s="602">
        <v>0</v>
      </c>
      <c r="X42" s="602">
        <v>0</v>
      </c>
      <c r="Y42" s="602">
        <v>0</v>
      </c>
      <c r="Z42" s="602">
        <v>0</v>
      </c>
      <c r="AA42" s="602">
        <v>0</v>
      </c>
      <c r="AB42" s="602">
        <v>0</v>
      </c>
      <c r="AC42" s="602">
        <v>0</v>
      </c>
      <c r="AD42" s="602">
        <v>0</v>
      </c>
      <c r="AE42" s="602">
        <v>0</v>
      </c>
      <c r="AF42" s="602">
        <v>0</v>
      </c>
      <c r="AG42" s="602">
        <v>0</v>
      </c>
      <c r="AH42" s="602">
        <v>0</v>
      </c>
      <c r="AI42" s="602">
        <v>0</v>
      </c>
      <c r="AJ42" s="498">
        <v>0</v>
      </c>
      <c r="AK42" s="498">
        <v>0</v>
      </c>
      <c r="AL42" s="602">
        <v>5.3416584683395403</v>
      </c>
      <c r="AM42" s="602">
        <v>0.258181022442944</v>
      </c>
      <c r="AN42" s="498">
        <v>399599020.85443598</v>
      </c>
      <c r="AO42" s="603">
        <v>19314017.244436</v>
      </c>
    </row>
    <row r="43" spans="1:41" s="432" customFormat="1" ht="12" thickBot="1">
      <c r="A43" s="918"/>
      <c r="B43" s="918"/>
      <c r="C43" s="918"/>
      <c r="D43" s="917" t="s">
        <v>283</v>
      </c>
      <c r="E43" s="917" t="s">
        <v>283</v>
      </c>
      <c r="F43" s="917" t="s">
        <v>283</v>
      </c>
      <c r="G43" s="600" t="s">
        <v>283</v>
      </c>
      <c r="H43" s="601">
        <v>170111</v>
      </c>
      <c r="I43" s="602">
        <v>6225000000</v>
      </c>
      <c r="J43" s="602">
        <v>6.4334618473895597</v>
      </c>
      <c r="K43" s="776">
        <v>6225000000</v>
      </c>
      <c r="L43" s="776">
        <v>201319028.03</v>
      </c>
      <c r="M43" s="498">
        <v>6.5216841049013698</v>
      </c>
      <c r="N43" s="602">
        <v>6.17906883466474</v>
      </c>
      <c r="O43" s="602">
        <v>-0.34261527023663702</v>
      </c>
      <c r="P43" s="498">
        <v>190742776.23938701</v>
      </c>
      <c r="Q43" s="602">
        <v>-10576251.790612999</v>
      </c>
      <c r="R43" s="602">
        <v>-0.67481661664361903</v>
      </c>
      <c r="S43" s="602">
        <v>-20831034.311994001</v>
      </c>
      <c r="T43" s="602">
        <v>0</v>
      </c>
      <c r="U43" s="602">
        <v>0</v>
      </c>
      <c r="V43" s="602">
        <v>0</v>
      </c>
      <c r="W43" s="602">
        <v>0</v>
      </c>
      <c r="X43" s="602">
        <v>0</v>
      </c>
      <c r="Y43" s="602">
        <v>0</v>
      </c>
      <c r="Z43" s="602">
        <v>0</v>
      </c>
      <c r="AA43" s="602">
        <v>0</v>
      </c>
      <c r="AB43" s="602">
        <v>0</v>
      </c>
      <c r="AC43" s="602">
        <v>0</v>
      </c>
      <c r="AD43" s="602">
        <v>0</v>
      </c>
      <c r="AE43" s="602">
        <v>0</v>
      </c>
      <c r="AF43" s="602">
        <v>0</v>
      </c>
      <c r="AG43" s="602">
        <v>0</v>
      </c>
      <c r="AH43" s="602">
        <v>0</v>
      </c>
      <c r="AI43" s="602">
        <v>0</v>
      </c>
      <c r="AJ43" s="498">
        <v>0</v>
      </c>
      <c r="AK43" s="498">
        <v>0</v>
      </c>
      <c r="AL43" s="602">
        <v>5.5042522180282099</v>
      </c>
      <c r="AM43" s="602">
        <v>-1.01743188687316</v>
      </c>
      <c r="AN43" s="498">
        <v>169911741.92761201</v>
      </c>
      <c r="AO43" s="603">
        <v>-31407286.102387998</v>
      </c>
    </row>
    <row r="44" spans="1:41" ht="12" thickBot="1">
      <c r="A44" s="918"/>
      <c r="B44" s="918"/>
      <c r="C44" s="918"/>
      <c r="D44" s="919"/>
      <c r="E44" s="919"/>
      <c r="F44" s="919"/>
      <c r="G44" s="600" t="s">
        <v>3945</v>
      </c>
      <c r="H44" s="601">
        <v>170112</v>
      </c>
      <c r="I44" s="602">
        <v>2000000000</v>
      </c>
      <c r="J44" s="602">
        <v>3.5</v>
      </c>
      <c r="K44" s="776">
        <v>4801104972.3756905</v>
      </c>
      <c r="L44" s="776">
        <v>86739444.439999998</v>
      </c>
      <c r="M44" s="498">
        <v>3.6432562969620301</v>
      </c>
      <c r="N44" s="602">
        <v>3.9616570771051598</v>
      </c>
      <c r="O44" s="602">
        <v>0.31840078014313</v>
      </c>
      <c r="P44" s="498">
        <v>94320000.000119999</v>
      </c>
      <c r="Q44" s="602">
        <v>7580555.5601199996</v>
      </c>
      <c r="R44" s="602">
        <v>-0.34551793249101997</v>
      </c>
      <c r="S44" s="602">
        <v>-8226166.666704</v>
      </c>
      <c r="T44" s="602">
        <v>0</v>
      </c>
      <c r="U44" s="602">
        <v>0</v>
      </c>
      <c r="V44" s="602">
        <v>0</v>
      </c>
      <c r="W44" s="602">
        <v>0</v>
      </c>
      <c r="X44" s="602">
        <v>0</v>
      </c>
      <c r="Y44" s="602">
        <v>0</v>
      </c>
      <c r="Z44" s="602">
        <v>0</v>
      </c>
      <c r="AA44" s="602">
        <v>0</v>
      </c>
      <c r="AB44" s="602">
        <v>0</v>
      </c>
      <c r="AC44" s="602">
        <v>0</v>
      </c>
      <c r="AD44" s="602">
        <v>0</v>
      </c>
      <c r="AE44" s="602">
        <v>0</v>
      </c>
      <c r="AF44" s="602">
        <v>0</v>
      </c>
      <c r="AG44" s="602">
        <v>0</v>
      </c>
      <c r="AH44" s="602">
        <v>0</v>
      </c>
      <c r="AI44" s="602">
        <v>0</v>
      </c>
      <c r="AJ44" s="498">
        <v>0</v>
      </c>
      <c r="AK44" s="498">
        <v>0</v>
      </c>
      <c r="AL44" s="602">
        <v>3.6161391446141402</v>
      </c>
      <c r="AM44" s="602">
        <v>-2.711715234789E-2</v>
      </c>
      <c r="AN44" s="498">
        <v>86093833.333416</v>
      </c>
      <c r="AO44" s="603">
        <v>-645611.10658400005</v>
      </c>
    </row>
    <row r="45" spans="1:41" s="325" customFormat="1" ht="12" thickBot="1">
      <c r="A45" s="918"/>
      <c r="B45" s="918"/>
      <c r="C45" s="918"/>
      <c r="D45" s="917" t="s">
        <v>284</v>
      </c>
      <c r="E45" s="600" t="s">
        <v>2640</v>
      </c>
      <c r="F45" s="600" t="s">
        <v>2640</v>
      </c>
      <c r="G45" s="600" t="s">
        <v>2640</v>
      </c>
      <c r="H45" s="601">
        <v>170121</v>
      </c>
      <c r="I45" s="602">
        <v>0</v>
      </c>
      <c r="J45" s="602">
        <v>0</v>
      </c>
      <c r="K45" s="776">
        <v>1314917.1270719999</v>
      </c>
      <c r="L45" s="776">
        <v>3636.11</v>
      </c>
      <c r="M45" s="498">
        <v>0.55763871848732005</v>
      </c>
      <c r="N45" s="602">
        <v>3.06328368963025</v>
      </c>
      <c r="O45" s="602">
        <v>2.5056449711428601</v>
      </c>
      <c r="P45" s="498">
        <v>19974.288167999999</v>
      </c>
      <c r="Q45" s="602">
        <v>16338.178168</v>
      </c>
      <c r="R45" s="602">
        <v>-0.21311755387395001</v>
      </c>
      <c r="S45" s="602">
        <v>-1389.6432279999999</v>
      </c>
      <c r="T45" s="602">
        <v>0</v>
      </c>
      <c r="U45" s="602">
        <v>0</v>
      </c>
      <c r="V45" s="602">
        <v>0</v>
      </c>
      <c r="W45" s="602">
        <v>0</v>
      </c>
      <c r="X45" s="602">
        <v>0</v>
      </c>
      <c r="Y45" s="602">
        <v>0</v>
      </c>
      <c r="Z45" s="602">
        <v>0</v>
      </c>
      <c r="AA45" s="602">
        <v>0</v>
      </c>
      <c r="AB45" s="602">
        <v>0</v>
      </c>
      <c r="AC45" s="602">
        <v>0</v>
      </c>
      <c r="AD45" s="602">
        <v>0</v>
      </c>
      <c r="AE45" s="602">
        <v>0</v>
      </c>
      <c r="AF45" s="602">
        <v>0</v>
      </c>
      <c r="AG45" s="602">
        <v>0</v>
      </c>
      <c r="AH45" s="602">
        <v>0</v>
      </c>
      <c r="AI45" s="602">
        <v>0</v>
      </c>
      <c r="AJ45" s="498">
        <v>0</v>
      </c>
      <c r="AK45" s="498">
        <v>0</v>
      </c>
      <c r="AL45" s="602">
        <v>2.8501661357563002</v>
      </c>
      <c r="AM45" s="602">
        <v>2.2925274172689099</v>
      </c>
      <c r="AN45" s="498">
        <v>18584.644939999998</v>
      </c>
      <c r="AO45" s="603">
        <v>14948.53494</v>
      </c>
    </row>
    <row r="46" spans="1:41" s="325" customFormat="1" ht="12" thickBot="1">
      <c r="A46" s="918"/>
      <c r="B46" s="918"/>
      <c r="C46" s="918"/>
      <c r="D46" s="918"/>
      <c r="E46" s="600" t="s">
        <v>285</v>
      </c>
      <c r="F46" s="600" t="s">
        <v>285</v>
      </c>
      <c r="G46" s="600" t="s">
        <v>285</v>
      </c>
      <c r="H46" s="601">
        <v>170122</v>
      </c>
      <c r="I46" s="602">
        <v>528466860.25999999</v>
      </c>
      <c r="J46" s="602">
        <v>1.3844076162619801</v>
      </c>
      <c r="K46" s="776">
        <v>490083346.28635502</v>
      </c>
      <c r="L46" s="776">
        <v>3287300.45</v>
      </c>
      <c r="M46" s="498">
        <v>1.3526447272795701</v>
      </c>
      <c r="N46" s="602">
        <v>3.05213257464256</v>
      </c>
      <c r="O46" s="602">
        <v>1.69948784736299</v>
      </c>
      <c r="P46" s="498">
        <v>7417525.5214729998</v>
      </c>
      <c r="Q46" s="602">
        <v>4130225.0714730001</v>
      </c>
      <c r="R46" s="602">
        <v>-0.21010996914354599</v>
      </c>
      <c r="S46" s="602">
        <v>-510625.28259299998</v>
      </c>
      <c r="T46" s="602">
        <v>0</v>
      </c>
      <c r="U46" s="602">
        <v>0</v>
      </c>
      <c r="V46" s="602">
        <v>0</v>
      </c>
      <c r="W46" s="602">
        <v>0</v>
      </c>
      <c r="X46" s="602">
        <v>0</v>
      </c>
      <c r="Y46" s="602">
        <v>0</v>
      </c>
      <c r="Z46" s="602">
        <v>0</v>
      </c>
      <c r="AA46" s="602">
        <v>0</v>
      </c>
      <c r="AB46" s="602">
        <v>0</v>
      </c>
      <c r="AC46" s="602">
        <v>0</v>
      </c>
      <c r="AD46" s="602">
        <v>0</v>
      </c>
      <c r="AE46" s="602">
        <v>0</v>
      </c>
      <c r="AF46" s="602">
        <v>0</v>
      </c>
      <c r="AG46" s="602">
        <v>0</v>
      </c>
      <c r="AH46" s="602">
        <v>0</v>
      </c>
      <c r="AI46" s="602">
        <v>0</v>
      </c>
      <c r="AJ46" s="498">
        <v>0</v>
      </c>
      <c r="AK46" s="498">
        <v>0</v>
      </c>
      <c r="AL46" s="602">
        <v>2.8420226054772102</v>
      </c>
      <c r="AM46" s="602">
        <v>1.4893778781976299</v>
      </c>
      <c r="AN46" s="498">
        <v>6906900.2388270004</v>
      </c>
      <c r="AO46" s="603">
        <v>3619599.7888270002</v>
      </c>
    </row>
    <row r="47" spans="1:41" s="669" customFormat="1" ht="12" thickBot="1">
      <c r="A47" s="918"/>
      <c r="B47" s="918"/>
      <c r="C47" s="918"/>
      <c r="D47" s="918"/>
      <c r="E47" s="600" t="s">
        <v>286</v>
      </c>
      <c r="F47" s="600" t="s">
        <v>286</v>
      </c>
      <c r="G47" s="600" t="s">
        <v>286</v>
      </c>
      <c r="H47" s="601">
        <v>170123</v>
      </c>
      <c r="I47" s="602">
        <v>1169932381.29</v>
      </c>
      <c r="J47" s="602">
        <v>1.5462263112540999</v>
      </c>
      <c r="K47" s="776">
        <v>2090560476.2388999</v>
      </c>
      <c r="L47" s="776">
        <v>17631883.34</v>
      </c>
      <c r="M47" s="498">
        <v>1.70078829311362</v>
      </c>
      <c r="N47" s="602">
        <v>3.0219312423912301</v>
      </c>
      <c r="O47" s="602">
        <v>1.3211429492776099</v>
      </c>
      <c r="P47" s="498">
        <v>31328025.565016001</v>
      </c>
      <c r="Q47" s="602">
        <v>13696142.225016</v>
      </c>
      <c r="R47" s="602">
        <v>-0.204720508434445</v>
      </c>
      <c r="S47" s="602">
        <v>-2122314.774059</v>
      </c>
      <c r="T47" s="602">
        <v>0</v>
      </c>
      <c r="U47" s="602">
        <v>0</v>
      </c>
      <c r="V47" s="602">
        <v>0</v>
      </c>
      <c r="W47" s="602">
        <v>0</v>
      </c>
      <c r="X47" s="602">
        <v>0</v>
      </c>
      <c r="Y47" s="602">
        <v>0</v>
      </c>
      <c r="Z47" s="602">
        <v>0</v>
      </c>
      <c r="AA47" s="602">
        <v>0</v>
      </c>
      <c r="AB47" s="602">
        <v>0</v>
      </c>
      <c r="AC47" s="602">
        <v>0</v>
      </c>
      <c r="AD47" s="602">
        <v>0</v>
      </c>
      <c r="AE47" s="602">
        <v>0</v>
      </c>
      <c r="AF47" s="602">
        <v>0</v>
      </c>
      <c r="AG47" s="602">
        <v>0</v>
      </c>
      <c r="AH47" s="602">
        <v>0</v>
      </c>
      <c r="AI47" s="602">
        <v>0</v>
      </c>
      <c r="AJ47" s="498">
        <v>0</v>
      </c>
      <c r="AK47" s="498">
        <v>0</v>
      </c>
      <c r="AL47" s="602">
        <v>2.8172107339574599</v>
      </c>
      <c r="AM47" s="602">
        <v>1.1164224408438399</v>
      </c>
      <c r="AN47" s="498">
        <v>29205710.790964</v>
      </c>
      <c r="AO47" s="603">
        <v>11573827.450964</v>
      </c>
    </row>
    <row r="48" spans="1:41" s="432" customFormat="1" ht="12" thickBot="1">
      <c r="A48" s="918"/>
      <c r="B48" s="918"/>
      <c r="C48" s="918"/>
      <c r="D48" s="918"/>
      <c r="E48" s="738" t="s">
        <v>287</v>
      </c>
      <c r="F48" s="738" t="s">
        <v>287</v>
      </c>
      <c r="G48" s="738" t="s">
        <v>287</v>
      </c>
      <c r="H48" s="739">
        <v>170124</v>
      </c>
      <c r="I48" s="740">
        <v>1041212041.77</v>
      </c>
      <c r="J48" s="740">
        <v>0.30000000000000099</v>
      </c>
      <c r="K48" s="777">
        <v>1183460001.5687799</v>
      </c>
      <c r="L48" s="777">
        <v>5347535.68</v>
      </c>
      <c r="M48" s="716">
        <v>0.91120143762962102</v>
      </c>
      <c r="N48" s="740">
        <v>3.1607252140581301</v>
      </c>
      <c r="O48" s="740">
        <v>2.2495237764285099</v>
      </c>
      <c r="P48" s="716">
        <v>18549236.380509</v>
      </c>
      <c r="Q48" s="740">
        <v>13201700.700509001</v>
      </c>
      <c r="R48" s="740">
        <v>-0.22559351035219399</v>
      </c>
      <c r="S48" s="740">
        <v>-1323932.6629280001</v>
      </c>
      <c r="T48" s="740">
        <v>0</v>
      </c>
      <c r="U48" s="740">
        <v>0</v>
      </c>
      <c r="V48" s="740">
        <v>0</v>
      </c>
      <c r="W48" s="740">
        <v>0</v>
      </c>
      <c r="X48" s="740">
        <v>0</v>
      </c>
      <c r="Y48" s="740">
        <v>0</v>
      </c>
      <c r="Z48" s="740">
        <v>0</v>
      </c>
      <c r="AA48" s="740">
        <v>0</v>
      </c>
      <c r="AB48" s="740">
        <v>0</v>
      </c>
      <c r="AC48" s="740">
        <v>0</v>
      </c>
      <c r="AD48" s="740">
        <v>0</v>
      </c>
      <c r="AE48" s="740">
        <v>0</v>
      </c>
      <c r="AF48" s="740">
        <v>0</v>
      </c>
      <c r="AG48" s="740">
        <v>0</v>
      </c>
      <c r="AH48" s="740">
        <v>0</v>
      </c>
      <c r="AI48" s="740">
        <v>0</v>
      </c>
      <c r="AJ48" s="716">
        <v>0</v>
      </c>
      <c r="AK48" s="716">
        <v>0</v>
      </c>
      <c r="AL48" s="740">
        <v>2.9351317037129201</v>
      </c>
      <c r="AM48" s="740">
        <v>2.0239302660832998</v>
      </c>
      <c r="AN48" s="716">
        <v>17225303.717622001</v>
      </c>
      <c r="AO48" s="741">
        <v>11877768.037621999</v>
      </c>
    </row>
    <row r="49" spans="1:41" ht="12" thickBot="1">
      <c r="A49" s="918"/>
      <c r="B49" s="918"/>
      <c r="C49" s="918"/>
      <c r="D49" s="918"/>
      <c r="E49" s="600" t="s">
        <v>288</v>
      </c>
      <c r="F49" s="600" t="s">
        <v>288</v>
      </c>
      <c r="G49" s="600" t="s">
        <v>288</v>
      </c>
      <c r="H49" s="601">
        <v>170125</v>
      </c>
      <c r="I49" s="602">
        <v>4452105285.7700005</v>
      </c>
      <c r="J49" s="602">
        <v>2.2887655658843302</v>
      </c>
      <c r="K49" s="776">
        <v>4430098002.9272404</v>
      </c>
      <c r="L49" s="776">
        <v>43610113.590000004</v>
      </c>
      <c r="M49" s="498">
        <v>1.98512643928319</v>
      </c>
      <c r="N49" s="602">
        <v>3.8818770405087601</v>
      </c>
      <c r="O49" s="602">
        <v>1.8967506012255699</v>
      </c>
      <c r="P49" s="498">
        <v>85278748.662542894</v>
      </c>
      <c r="Q49" s="602">
        <v>41668635.072543003</v>
      </c>
      <c r="R49" s="602">
        <v>-0.33560155132256803</v>
      </c>
      <c r="S49" s="602">
        <v>-7372639.5883590002</v>
      </c>
      <c r="T49" s="602">
        <v>0</v>
      </c>
      <c r="U49" s="602">
        <v>0</v>
      </c>
      <c r="V49" s="602">
        <v>0</v>
      </c>
      <c r="W49" s="602">
        <v>0</v>
      </c>
      <c r="X49" s="602">
        <v>0</v>
      </c>
      <c r="Y49" s="602">
        <v>0</v>
      </c>
      <c r="Z49" s="602">
        <v>0</v>
      </c>
      <c r="AA49" s="602">
        <v>0</v>
      </c>
      <c r="AB49" s="602">
        <v>0</v>
      </c>
      <c r="AC49" s="602">
        <v>0</v>
      </c>
      <c r="AD49" s="602">
        <v>0</v>
      </c>
      <c r="AE49" s="602">
        <v>0</v>
      </c>
      <c r="AF49" s="602">
        <v>0</v>
      </c>
      <c r="AG49" s="602">
        <v>0</v>
      </c>
      <c r="AH49" s="602">
        <v>0</v>
      </c>
      <c r="AI49" s="602">
        <v>0</v>
      </c>
      <c r="AJ49" s="498">
        <v>0</v>
      </c>
      <c r="AK49" s="498">
        <v>0</v>
      </c>
      <c r="AL49" s="602">
        <v>3.54627548910622</v>
      </c>
      <c r="AM49" s="602">
        <v>1.5611490498230201</v>
      </c>
      <c r="AN49" s="498">
        <v>77906109.072427005</v>
      </c>
      <c r="AO49" s="603">
        <v>34295995.482427001</v>
      </c>
    </row>
    <row r="50" spans="1:41" ht="12" thickBot="1">
      <c r="A50" s="918"/>
      <c r="B50" s="918"/>
      <c r="C50" s="918"/>
      <c r="D50" s="918"/>
      <c r="E50" s="917" t="s">
        <v>289</v>
      </c>
      <c r="F50" s="917" t="s">
        <v>289</v>
      </c>
      <c r="G50" s="600" t="s">
        <v>290</v>
      </c>
      <c r="H50" s="601">
        <v>170126</v>
      </c>
      <c r="I50" s="602">
        <v>3463639813.25</v>
      </c>
      <c r="J50" s="602">
        <v>4.1201748380782401</v>
      </c>
      <c r="K50" s="776">
        <v>3220497461.6936998</v>
      </c>
      <c r="L50" s="776">
        <v>67556414.269999996</v>
      </c>
      <c r="M50" s="498">
        <v>4.23017095135015</v>
      </c>
      <c r="N50" s="602">
        <v>4.9270540903649698</v>
      </c>
      <c r="O50" s="602">
        <v>0.69688313901481502</v>
      </c>
      <c r="P50" s="498">
        <v>78685734.238034993</v>
      </c>
      <c r="Q50" s="602">
        <v>11129319.968034999</v>
      </c>
      <c r="R50" s="602">
        <v>-0.49065607790433902</v>
      </c>
      <c r="S50" s="602">
        <v>-7835845.3226150004</v>
      </c>
      <c r="T50" s="602">
        <v>0</v>
      </c>
      <c r="U50" s="602">
        <v>0</v>
      </c>
      <c r="V50" s="602">
        <v>0</v>
      </c>
      <c r="W50" s="602">
        <v>0</v>
      </c>
      <c r="X50" s="602">
        <v>0</v>
      </c>
      <c r="Y50" s="602">
        <v>0</v>
      </c>
      <c r="Z50" s="602">
        <v>0</v>
      </c>
      <c r="AA50" s="602">
        <v>0</v>
      </c>
      <c r="AB50" s="602">
        <v>0</v>
      </c>
      <c r="AC50" s="602">
        <v>0</v>
      </c>
      <c r="AD50" s="602">
        <v>0</v>
      </c>
      <c r="AE50" s="602">
        <v>0</v>
      </c>
      <c r="AF50" s="602">
        <v>0</v>
      </c>
      <c r="AG50" s="602">
        <v>0</v>
      </c>
      <c r="AH50" s="602">
        <v>0</v>
      </c>
      <c r="AI50" s="602">
        <v>0</v>
      </c>
      <c r="AJ50" s="498">
        <v>0</v>
      </c>
      <c r="AK50" s="498">
        <v>0</v>
      </c>
      <c r="AL50" s="602">
        <v>4.4363980125079703</v>
      </c>
      <c r="AM50" s="602">
        <v>0.206227061157814</v>
      </c>
      <c r="AN50" s="498">
        <v>70849888.916176006</v>
      </c>
      <c r="AO50" s="603">
        <v>3293474.6461760001</v>
      </c>
    </row>
    <row r="51" spans="1:41" ht="12" thickBot="1">
      <c r="A51" s="918"/>
      <c r="B51" s="918"/>
      <c r="C51" s="918"/>
      <c r="D51" s="918"/>
      <c r="E51" s="918"/>
      <c r="F51" s="918"/>
      <c r="G51" s="600" t="s">
        <v>291</v>
      </c>
      <c r="H51" s="601">
        <v>170127</v>
      </c>
      <c r="I51" s="602">
        <v>484331876.43000001</v>
      </c>
      <c r="J51" s="602">
        <v>2.73075275403033</v>
      </c>
      <c r="K51" s="776">
        <v>476135411.90270799</v>
      </c>
      <c r="L51" s="776">
        <v>6737466.0599999996</v>
      </c>
      <c r="M51" s="498">
        <v>2.8535165603168902</v>
      </c>
      <c r="N51" s="602">
        <v>3.7406101594222898</v>
      </c>
      <c r="O51" s="602">
        <v>0.88709359910539898</v>
      </c>
      <c r="P51" s="498">
        <v>8831991.4954339992</v>
      </c>
      <c r="Q51" s="602">
        <v>2094525.4354340001</v>
      </c>
      <c r="R51" s="602">
        <v>-0.31409428387886701</v>
      </c>
      <c r="S51" s="602">
        <v>-741611.10774799995</v>
      </c>
      <c r="T51" s="602">
        <v>0</v>
      </c>
      <c r="U51" s="602">
        <v>0</v>
      </c>
      <c r="V51" s="602">
        <v>0</v>
      </c>
      <c r="W51" s="602">
        <v>0</v>
      </c>
      <c r="X51" s="602">
        <v>0</v>
      </c>
      <c r="Y51" s="602">
        <v>0</v>
      </c>
      <c r="Z51" s="602">
        <v>0</v>
      </c>
      <c r="AA51" s="602">
        <v>0</v>
      </c>
      <c r="AB51" s="602">
        <v>0</v>
      </c>
      <c r="AC51" s="602">
        <v>0</v>
      </c>
      <c r="AD51" s="602">
        <v>0</v>
      </c>
      <c r="AE51" s="602">
        <v>0</v>
      </c>
      <c r="AF51" s="602">
        <v>0</v>
      </c>
      <c r="AG51" s="602">
        <v>0</v>
      </c>
      <c r="AH51" s="602">
        <v>0</v>
      </c>
      <c r="AI51" s="602">
        <v>0</v>
      </c>
      <c r="AJ51" s="498">
        <v>0</v>
      </c>
      <c r="AK51" s="498">
        <v>0</v>
      </c>
      <c r="AL51" s="602">
        <v>3.42651587559086</v>
      </c>
      <c r="AM51" s="602">
        <v>0.57299931527396697</v>
      </c>
      <c r="AN51" s="498">
        <v>8090380.3877980001</v>
      </c>
      <c r="AO51" s="603">
        <v>1352914.3277980001</v>
      </c>
    </row>
    <row r="52" spans="1:41" ht="12" thickBot="1">
      <c r="A52" s="918"/>
      <c r="B52" s="918"/>
      <c r="C52" s="918"/>
      <c r="D52" s="919"/>
      <c r="E52" s="919"/>
      <c r="F52" s="919"/>
      <c r="G52" s="600" t="s">
        <v>292</v>
      </c>
      <c r="H52" s="601">
        <v>170128</v>
      </c>
      <c r="I52" s="602">
        <v>93195470.400000006</v>
      </c>
      <c r="J52" s="602">
        <v>5.0188741022761096</v>
      </c>
      <c r="K52" s="776">
        <v>93195470.400000006</v>
      </c>
      <c r="L52" s="776">
        <v>2331257.34</v>
      </c>
      <c r="M52" s="498">
        <v>5.0444021412653202</v>
      </c>
      <c r="N52" s="602">
        <v>5.69844897391489</v>
      </c>
      <c r="O52" s="602">
        <v>0.65404683264956298</v>
      </c>
      <c r="P52" s="498">
        <v>2633523.3839469999</v>
      </c>
      <c r="Q52" s="602">
        <v>302266.043947</v>
      </c>
      <c r="R52" s="602">
        <v>-0.60474603462120602</v>
      </c>
      <c r="S52" s="602">
        <v>-279481.80826299998</v>
      </c>
      <c r="T52" s="602">
        <v>0</v>
      </c>
      <c r="U52" s="602">
        <v>0</v>
      </c>
      <c r="V52" s="602">
        <v>0</v>
      </c>
      <c r="W52" s="602">
        <v>0</v>
      </c>
      <c r="X52" s="602">
        <v>0</v>
      </c>
      <c r="Y52" s="602">
        <v>0</v>
      </c>
      <c r="Z52" s="602">
        <v>0</v>
      </c>
      <c r="AA52" s="602">
        <v>0</v>
      </c>
      <c r="AB52" s="602">
        <v>0</v>
      </c>
      <c r="AC52" s="602">
        <v>0</v>
      </c>
      <c r="AD52" s="602">
        <v>0</v>
      </c>
      <c r="AE52" s="602">
        <v>0</v>
      </c>
      <c r="AF52" s="602">
        <v>0</v>
      </c>
      <c r="AG52" s="602">
        <v>0</v>
      </c>
      <c r="AH52" s="602">
        <v>0</v>
      </c>
      <c r="AI52" s="602">
        <v>0</v>
      </c>
      <c r="AJ52" s="498">
        <v>0</v>
      </c>
      <c r="AK52" s="498">
        <v>0</v>
      </c>
      <c r="AL52" s="602">
        <v>5.0937029391638502</v>
      </c>
      <c r="AM52" s="602">
        <v>4.9300797898528002E-2</v>
      </c>
      <c r="AN52" s="498">
        <v>2354041.5756239998</v>
      </c>
      <c r="AO52" s="603">
        <v>22784.235624000001</v>
      </c>
    </row>
    <row r="53" spans="1:41" ht="12" thickBot="1">
      <c r="A53" s="918"/>
      <c r="B53" s="918"/>
      <c r="C53" s="918"/>
      <c r="D53" s="917" t="s">
        <v>2668</v>
      </c>
      <c r="E53" s="917" t="s">
        <v>2668</v>
      </c>
      <c r="F53" s="917" t="s">
        <v>2668</v>
      </c>
      <c r="G53" s="600" t="s">
        <v>4176</v>
      </c>
      <c r="H53" s="601">
        <v>170602</v>
      </c>
      <c r="I53" s="602">
        <v>480000000</v>
      </c>
      <c r="J53" s="602">
        <v>1.54</v>
      </c>
      <c r="K53" s="776">
        <v>215651933.701657</v>
      </c>
      <c r="L53" s="776">
        <v>1643191.66</v>
      </c>
      <c r="M53" s="498">
        <v>1.5365586962314</v>
      </c>
      <c r="N53" s="602">
        <v>3.13390976952138</v>
      </c>
      <c r="O53" s="602">
        <v>1.59735107328999</v>
      </c>
      <c r="P53" s="498">
        <v>3351394.5214720001</v>
      </c>
      <c r="Q53" s="602">
        <v>1708202.8614719999</v>
      </c>
      <c r="R53" s="602">
        <v>-0.22706248933982801</v>
      </c>
      <c r="S53" s="602">
        <v>-242820.00401100001</v>
      </c>
      <c r="T53" s="602">
        <v>0</v>
      </c>
      <c r="U53" s="602">
        <v>0</v>
      </c>
      <c r="V53" s="602">
        <v>0</v>
      </c>
      <c r="W53" s="602">
        <v>0</v>
      </c>
      <c r="X53" s="602">
        <v>8.0626933915007998E-2</v>
      </c>
      <c r="Y53" s="602">
        <v>86222.222232999993</v>
      </c>
      <c r="Z53" s="602">
        <v>0</v>
      </c>
      <c r="AA53" s="602">
        <v>0</v>
      </c>
      <c r="AB53" s="602">
        <v>0</v>
      </c>
      <c r="AC53" s="602">
        <v>0</v>
      </c>
      <c r="AD53" s="602">
        <v>0</v>
      </c>
      <c r="AE53" s="602">
        <v>0</v>
      </c>
      <c r="AF53" s="602">
        <v>0</v>
      </c>
      <c r="AG53" s="602">
        <v>0</v>
      </c>
      <c r="AH53" s="602">
        <v>0</v>
      </c>
      <c r="AI53" s="602">
        <v>0</v>
      </c>
      <c r="AJ53" s="498">
        <v>0</v>
      </c>
      <c r="AK53" s="498">
        <v>0</v>
      </c>
      <c r="AL53" s="602">
        <v>2.9874742140806601</v>
      </c>
      <c r="AM53" s="602">
        <v>1.4509155178492701</v>
      </c>
      <c r="AN53" s="498">
        <v>3194796.7396769999</v>
      </c>
      <c r="AO53" s="603">
        <v>1551605.0796769999</v>
      </c>
    </row>
    <row r="54" spans="1:41" ht="12" thickBot="1">
      <c r="A54" s="918"/>
      <c r="B54" s="918"/>
      <c r="C54" s="918"/>
      <c r="D54" s="918"/>
      <c r="E54" s="918"/>
      <c r="F54" s="918"/>
      <c r="G54" s="600" t="s">
        <v>4177</v>
      </c>
      <c r="H54" s="601">
        <v>170603</v>
      </c>
      <c r="I54" s="602">
        <v>0</v>
      </c>
      <c r="J54" s="602">
        <v>0</v>
      </c>
      <c r="K54" s="776">
        <v>336795580.11049801</v>
      </c>
      <c r="L54" s="776">
        <v>3147580.65</v>
      </c>
      <c r="M54" s="498">
        <v>1.8846242408956699</v>
      </c>
      <c r="N54" s="602">
        <v>3.0921155890257799</v>
      </c>
      <c r="O54" s="602">
        <v>1.2074913481301099</v>
      </c>
      <c r="P54" s="498">
        <v>5164256.6111509996</v>
      </c>
      <c r="Q54" s="602">
        <v>2016675.9611510001</v>
      </c>
      <c r="R54" s="602">
        <v>-0.21623173460804601</v>
      </c>
      <c r="S54" s="602">
        <v>-361136.61758100003</v>
      </c>
      <c r="T54" s="602">
        <v>0</v>
      </c>
      <c r="U54" s="602">
        <v>0</v>
      </c>
      <c r="V54" s="602">
        <v>0</v>
      </c>
      <c r="W54" s="602">
        <v>0</v>
      </c>
      <c r="X54" s="602">
        <v>0</v>
      </c>
      <c r="Y54" s="602">
        <v>0</v>
      </c>
      <c r="Z54" s="602">
        <v>0</v>
      </c>
      <c r="AA54" s="602">
        <v>0</v>
      </c>
      <c r="AB54" s="602">
        <v>0</v>
      </c>
      <c r="AC54" s="602">
        <v>0</v>
      </c>
      <c r="AD54" s="602">
        <v>0</v>
      </c>
      <c r="AE54" s="602">
        <v>0</v>
      </c>
      <c r="AF54" s="602">
        <v>0</v>
      </c>
      <c r="AG54" s="602">
        <v>0</v>
      </c>
      <c r="AH54" s="602">
        <v>0</v>
      </c>
      <c r="AI54" s="602">
        <v>0</v>
      </c>
      <c r="AJ54" s="498">
        <v>0</v>
      </c>
      <c r="AK54" s="498">
        <v>0</v>
      </c>
      <c r="AL54" s="602">
        <v>2.8758838544530598</v>
      </c>
      <c r="AM54" s="602">
        <v>0.99125961355739001</v>
      </c>
      <c r="AN54" s="498">
        <v>4803119.9936290001</v>
      </c>
      <c r="AO54" s="603">
        <v>1655539.343629</v>
      </c>
    </row>
    <row r="55" spans="1:41" ht="12" thickBot="1">
      <c r="A55" s="918"/>
      <c r="B55" s="918"/>
      <c r="C55" s="918"/>
      <c r="D55" s="918"/>
      <c r="E55" s="918"/>
      <c r="F55" s="918"/>
      <c r="G55" s="600" t="s">
        <v>4178</v>
      </c>
      <c r="H55" s="601">
        <v>170604</v>
      </c>
      <c r="I55" s="602">
        <v>854000000</v>
      </c>
      <c r="J55" s="602">
        <v>2.1</v>
      </c>
      <c r="K55" s="776">
        <v>551491712.70718205</v>
      </c>
      <c r="L55" s="776">
        <v>5756677.6900000004</v>
      </c>
      <c r="M55" s="498">
        <v>2.1049763142155902</v>
      </c>
      <c r="N55" s="602">
        <v>3.1448521972297199</v>
      </c>
      <c r="O55" s="602">
        <v>1.0398758830141299</v>
      </c>
      <c r="P55" s="498">
        <v>8600524.5569170006</v>
      </c>
      <c r="Q55" s="602">
        <v>2843846.8669170002</v>
      </c>
      <c r="R55" s="602">
        <v>-0.22770405477236</v>
      </c>
      <c r="S55" s="602">
        <v>-622723.80129800003</v>
      </c>
      <c r="T55" s="602">
        <v>0</v>
      </c>
      <c r="U55" s="602">
        <v>0</v>
      </c>
      <c r="V55" s="602">
        <v>0</v>
      </c>
      <c r="W55" s="602">
        <v>0</v>
      </c>
      <c r="X55" s="602">
        <v>4.9820927629582998E-2</v>
      </c>
      <c r="Y55" s="602">
        <v>136249.99989000001</v>
      </c>
      <c r="Z55" s="602">
        <v>0</v>
      </c>
      <c r="AA55" s="602">
        <v>0</v>
      </c>
      <c r="AB55" s="602">
        <v>0</v>
      </c>
      <c r="AC55" s="602">
        <v>0</v>
      </c>
      <c r="AD55" s="602">
        <v>0</v>
      </c>
      <c r="AE55" s="602">
        <v>0</v>
      </c>
      <c r="AF55" s="602">
        <v>0</v>
      </c>
      <c r="AG55" s="602">
        <v>0</v>
      </c>
      <c r="AH55" s="602">
        <v>0</v>
      </c>
      <c r="AI55" s="602">
        <v>0</v>
      </c>
      <c r="AJ55" s="498">
        <v>0</v>
      </c>
      <c r="AK55" s="498">
        <v>0</v>
      </c>
      <c r="AL55" s="602">
        <v>2.9669690701118099</v>
      </c>
      <c r="AM55" s="602">
        <v>0.86199275589621804</v>
      </c>
      <c r="AN55" s="498">
        <v>8114050.7555769999</v>
      </c>
      <c r="AO55" s="603">
        <v>2357373.0655769999</v>
      </c>
    </row>
    <row r="56" spans="1:41" ht="12" thickBot="1">
      <c r="A56" s="918"/>
      <c r="B56" s="918"/>
      <c r="C56" s="918"/>
      <c r="D56" s="918"/>
      <c r="E56" s="918"/>
      <c r="F56" s="918"/>
      <c r="G56" s="600" t="s">
        <v>4179</v>
      </c>
      <c r="H56" s="601">
        <v>170605</v>
      </c>
      <c r="I56" s="602">
        <v>207000000</v>
      </c>
      <c r="J56" s="602">
        <v>2.1</v>
      </c>
      <c r="K56" s="776">
        <v>227751381.21546999</v>
      </c>
      <c r="L56" s="776">
        <v>2358593.8199999998</v>
      </c>
      <c r="M56" s="498">
        <v>2.0883650978822499</v>
      </c>
      <c r="N56" s="602">
        <v>3.4537182289912498</v>
      </c>
      <c r="O56" s="602">
        <v>1.3653531311089999</v>
      </c>
      <c r="P56" s="498">
        <v>3900619.9055809998</v>
      </c>
      <c r="Q56" s="602">
        <v>1542026.085581</v>
      </c>
      <c r="R56" s="602">
        <v>-0.27220319151776901</v>
      </c>
      <c r="S56" s="602">
        <v>-307425.53873799997</v>
      </c>
      <c r="T56" s="602">
        <v>0</v>
      </c>
      <c r="U56" s="602">
        <v>0</v>
      </c>
      <c r="V56" s="602">
        <v>0</v>
      </c>
      <c r="W56" s="602">
        <v>0</v>
      </c>
      <c r="X56" s="602">
        <v>1.844641744212E-2</v>
      </c>
      <c r="Y56" s="602">
        <v>20833.333320999998</v>
      </c>
      <c r="Z56" s="602">
        <v>0</v>
      </c>
      <c r="AA56" s="602">
        <v>0</v>
      </c>
      <c r="AB56" s="602">
        <v>0</v>
      </c>
      <c r="AC56" s="602">
        <v>0</v>
      </c>
      <c r="AD56" s="602">
        <v>0</v>
      </c>
      <c r="AE56" s="602">
        <v>0</v>
      </c>
      <c r="AF56" s="602">
        <v>0</v>
      </c>
      <c r="AG56" s="602">
        <v>0</v>
      </c>
      <c r="AH56" s="602">
        <v>0</v>
      </c>
      <c r="AI56" s="602">
        <v>0</v>
      </c>
      <c r="AJ56" s="498">
        <v>0</v>
      </c>
      <c r="AK56" s="498">
        <v>0</v>
      </c>
      <c r="AL56" s="602">
        <v>3.1999614547695101</v>
      </c>
      <c r="AM56" s="602">
        <v>1.11159635688726</v>
      </c>
      <c r="AN56" s="498">
        <v>3614027.6999989999</v>
      </c>
      <c r="AO56" s="603">
        <v>1255433.8799990001</v>
      </c>
    </row>
    <row r="57" spans="1:41" ht="12" thickBot="1">
      <c r="A57" s="918"/>
      <c r="B57" s="918"/>
      <c r="C57" s="918"/>
      <c r="D57" s="919"/>
      <c r="E57" s="919"/>
      <c r="F57" s="919"/>
      <c r="G57" s="600" t="s">
        <v>4180</v>
      </c>
      <c r="H57" s="601">
        <v>170606</v>
      </c>
      <c r="I57" s="602">
        <v>588713835</v>
      </c>
      <c r="J57" s="602">
        <v>2.9386580380771901</v>
      </c>
      <c r="K57" s="776">
        <v>588769083.61878502</v>
      </c>
      <c r="L57" s="776">
        <v>8587790.9900000002</v>
      </c>
      <c r="M57" s="498">
        <v>2.9413774498382601</v>
      </c>
      <c r="N57" s="602">
        <v>3.4883094324866302</v>
      </c>
      <c r="O57" s="602">
        <v>0.54693198264836396</v>
      </c>
      <c r="P57" s="498">
        <v>10184640.640489001</v>
      </c>
      <c r="Q57" s="602">
        <v>1596849.6504889999</v>
      </c>
      <c r="R57" s="602">
        <v>-0.27673210254694902</v>
      </c>
      <c r="S57" s="602">
        <v>-807960.72500900005</v>
      </c>
      <c r="T57" s="602">
        <v>0</v>
      </c>
      <c r="U57" s="602">
        <v>0</v>
      </c>
      <c r="V57" s="602">
        <v>0</v>
      </c>
      <c r="W57" s="602">
        <v>0</v>
      </c>
      <c r="X57" s="602">
        <v>0</v>
      </c>
      <c r="Y57" s="602">
        <v>0</v>
      </c>
      <c r="Z57" s="602">
        <v>0</v>
      </c>
      <c r="AA57" s="602">
        <v>0</v>
      </c>
      <c r="AB57" s="602">
        <v>0</v>
      </c>
      <c r="AC57" s="602">
        <v>0</v>
      </c>
      <c r="AD57" s="602">
        <v>0</v>
      </c>
      <c r="AE57" s="602">
        <v>0</v>
      </c>
      <c r="AF57" s="602">
        <v>0</v>
      </c>
      <c r="AG57" s="602">
        <v>0</v>
      </c>
      <c r="AH57" s="602">
        <v>0</v>
      </c>
      <c r="AI57" s="602">
        <v>0</v>
      </c>
      <c r="AJ57" s="498">
        <v>0</v>
      </c>
      <c r="AK57" s="498">
        <v>0</v>
      </c>
      <c r="AL57" s="602">
        <v>3.2115773299722199</v>
      </c>
      <c r="AM57" s="602">
        <v>0.27019988013395302</v>
      </c>
      <c r="AN57" s="498">
        <v>9376679.9155749995</v>
      </c>
      <c r="AO57" s="603">
        <v>788888.925575</v>
      </c>
    </row>
    <row r="58" spans="1:41" ht="12" thickBot="1">
      <c r="A58" s="918"/>
      <c r="B58" s="918"/>
      <c r="C58" s="919"/>
      <c r="D58" s="600" t="s">
        <v>2870</v>
      </c>
      <c r="E58" s="600" t="s">
        <v>2870</v>
      </c>
      <c r="F58" s="600" t="s">
        <v>2870</v>
      </c>
      <c r="G58" s="600" t="s">
        <v>2871</v>
      </c>
      <c r="H58" s="601">
        <v>170140</v>
      </c>
      <c r="I58" s="602">
        <v>1860000000</v>
      </c>
      <c r="J58" s="602">
        <v>3.9491956989247301</v>
      </c>
      <c r="K58" s="776">
        <v>872430939.22652102</v>
      </c>
      <c r="L58" s="776">
        <v>16242152.189999999</v>
      </c>
      <c r="M58" s="498">
        <v>3.7542812673991501</v>
      </c>
      <c r="N58" s="602">
        <v>3.2239265263778001</v>
      </c>
      <c r="O58" s="602">
        <v>-0.53035474102134805</v>
      </c>
      <c r="P58" s="498">
        <v>13947677.747406</v>
      </c>
      <c r="Q58" s="602">
        <v>-2294474.4425940001</v>
      </c>
      <c r="R58" s="602">
        <v>0</v>
      </c>
      <c r="S58" s="602">
        <v>0</v>
      </c>
      <c r="T58" s="602">
        <v>0</v>
      </c>
      <c r="U58" s="602">
        <v>0</v>
      </c>
      <c r="V58" s="602">
        <v>0</v>
      </c>
      <c r="W58" s="602">
        <v>0</v>
      </c>
      <c r="X58" s="602">
        <v>0</v>
      </c>
      <c r="Y58" s="602">
        <v>0</v>
      </c>
      <c r="Z58" s="602">
        <v>0</v>
      </c>
      <c r="AA58" s="602">
        <v>0</v>
      </c>
      <c r="AB58" s="602">
        <v>0</v>
      </c>
      <c r="AC58" s="602">
        <v>0</v>
      </c>
      <c r="AD58" s="602">
        <v>0</v>
      </c>
      <c r="AE58" s="602">
        <v>0</v>
      </c>
      <c r="AF58" s="602">
        <v>0</v>
      </c>
      <c r="AG58" s="602">
        <v>0</v>
      </c>
      <c r="AH58" s="602">
        <v>0</v>
      </c>
      <c r="AI58" s="602">
        <v>0</v>
      </c>
      <c r="AJ58" s="498">
        <v>0</v>
      </c>
      <c r="AK58" s="498">
        <v>0</v>
      </c>
      <c r="AL58" s="602">
        <v>3.2239265263778001</v>
      </c>
      <c r="AM58" s="602">
        <v>-0.53035474102134805</v>
      </c>
      <c r="AN58" s="498">
        <v>13947677.747406</v>
      </c>
      <c r="AO58" s="603">
        <v>-2294474.4425940001</v>
      </c>
    </row>
    <row r="59" spans="1:41" ht="12" thickBot="1">
      <c r="A59" s="918"/>
      <c r="B59" s="918"/>
      <c r="C59" s="917" t="s">
        <v>293</v>
      </c>
      <c r="D59" s="917" t="s">
        <v>293</v>
      </c>
      <c r="E59" s="917" t="s">
        <v>293</v>
      </c>
      <c r="F59" s="917" t="s">
        <v>294</v>
      </c>
      <c r="G59" s="600" t="s">
        <v>295</v>
      </c>
      <c r="H59" s="601">
        <v>170141</v>
      </c>
      <c r="I59" s="602">
        <v>14899.72</v>
      </c>
      <c r="J59" s="602">
        <v>0.3</v>
      </c>
      <c r="K59" s="776">
        <v>1959181.453315</v>
      </c>
      <c r="L59" s="776">
        <v>2955.09</v>
      </c>
      <c r="M59" s="498">
        <v>0.304165771995345</v>
      </c>
      <c r="N59" s="602">
        <v>3.1164142791550198</v>
      </c>
      <c r="O59" s="602">
        <v>2.8122485071596701</v>
      </c>
      <c r="P59" s="498">
        <v>30277.189349</v>
      </c>
      <c r="Q59" s="602">
        <v>27322.099349</v>
      </c>
      <c r="R59" s="602">
        <v>-0.220222747731211</v>
      </c>
      <c r="S59" s="602">
        <v>-2139.5505330000001</v>
      </c>
      <c r="T59" s="602">
        <v>0</v>
      </c>
      <c r="U59" s="602">
        <v>0</v>
      </c>
      <c r="V59" s="602">
        <v>0</v>
      </c>
      <c r="W59" s="602">
        <v>0</v>
      </c>
      <c r="X59" s="602">
        <v>0</v>
      </c>
      <c r="Y59" s="602">
        <v>0</v>
      </c>
      <c r="Z59" s="602">
        <v>0</v>
      </c>
      <c r="AA59" s="602">
        <v>0</v>
      </c>
      <c r="AB59" s="602">
        <v>0</v>
      </c>
      <c r="AC59" s="602">
        <v>0</v>
      </c>
      <c r="AD59" s="602">
        <v>0</v>
      </c>
      <c r="AE59" s="602">
        <v>0</v>
      </c>
      <c r="AF59" s="602">
        <v>0</v>
      </c>
      <c r="AG59" s="602">
        <v>0</v>
      </c>
      <c r="AH59" s="602">
        <v>0</v>
      </c>
      <c r="AI59" s="602">
        <v>0</v>
      </c>
      <c r="AJ59" s="498">
        <v>0</v>
      </c>
      <c r="AK59" s="498">
        <v>0</v>
      </c>
      <c r="AL59" s="602">
        <v>2.8961915464515098</v>
      </c>
      <c r="AM59" s="602">
        <v>2.5920257744561499</v>
      </c>
      <c r="AN59" s="498">
        <v>28137.638962000001</v>
      </c>
      <c r="AO59" s="603">
        <v>25182.548962000001</v>
      </c>
    </row>
    <row r="60" spans="1:41" ht="12" thickBot="1">
      <c r="A60" s="918"/>
      <c r="B60" s="918"/>
      <c r="C60" s="918"/>
      <c r="D60" s="918"/>
      <c r="E60" s="918"/>
      <c r="F60" s="918"/>
      <c r="G60" s="600" t="s">
        <v>296</v>
      </c>
      <c r="H60" s="601">
        <v>170142</v>
      </c>
      <c r="I60" s="602">
        <v>5108.1899999999996</v>
      </c>
      <c r="J60" s="602">
        <v>0.3</v>
      </c>
      <c r="K60" s="776">
        <v>5102.8243650000004</v>
      </c>
      <c r="L60" s="776">
        <v>7.7</v>
      </c>
      <c r="M60" s="498">
        <v>0.30429470424056498</v>
      </c>
      <c r="N60" s="602">
        <v>3.1580045060301898</v>
      </c>
      <c r="O60" s="602">
        <v>2.8537098017682099</v>
      </c>
      <c r="P60" s="498">
        <v>79.911462</v>
      </c>
      <c r="Q60" s="602">
        <v>72.211461999999997</v>
      </c>
      <c r="R60" s="602">
        <v>-0.22518503646139201</v>
      </c>
      <c r="S60" s="602">
        <v>-5.6981760000000001</v>
      </c>
      <c r="T60" s="602">
        <v>0</v>
      </c>
      <c r="U60" s="602">
        <v>0</v>
      </c>
      <c r="V60" s="602">
        <v>0</v>
      </c>
      <c r="W60" s="602">
        <v>0</v>
      </c>
      <c r="X60" s="602">
        <v>0</v>
      </c>
      <c r="Y60" s="602">
        <v>0</v>
      </c>
      <c r="Z60" s="602">
        <v>0</v>
      </c>
      <c r="AA60" s="602">
        <v>0</v>
      </c>
      <c r="AB60" s="602">
        <v>0</v>
      </c>
      <c r="AC60" s="602">
        <v>0</v>
      </c>
      <c r="AD60" s="602">
        <v>0</v>
      </c>
      <c r="AE60" s="602">
        <v>0</v>
      </c>
      <c r="AF60" s="602">
        <v>0</v>
      </c>
      <c r="AG60" s="602">
        <v>0</v>
      </c>
      <c r="AH60" s="602">
        <v>0</v>
      </c>
      <c r="AI60" s="602">
        <v>0</v>
      </c>
      <c r="AJ60" s="498">
        <v>0</v>
      </c>
      <c r="AK60" s="498">
        <v>0</v>
      </c>
      <c r="AL60" s="602">
        <v>2.9328227891474001</v>
      </c>
      <c r="AM60" s="602">
        <v>2.62852808488541</v>
      </c>
      <c r="AN60" s="498">
        <v>74.213369999999998</v>
      </c>
      <c r="AO60" s="603">
        <v>66.513369999999995</v>
      </c>
    </row>
    <row r="61" spans="1:41" ht="12" thickBot="1">
      <c r="A61" s="918"/>
      <c r="B61" s="918"/>
      <c r="C61" s="918"/>
      <c r="D61" s="918"/>
      <c r="E61" s="918"/>
      <c r="F61" s="918"/>
      <c r="G61" s="600" t="s">
        <v>297</v>
      </c>
      <c r="H61" s="601">
        <v>170143</v>
      </c>
      <c r="I61" s="602">
        <v>0</v>
      </c>
      <c r="J61" s="602">
        <v>0</v>
      </c>
      <c r="K61" s="776">
        <v>0</v>
      </c>
      <c r="L61" s="776">
        <v>0</v>
      </c>
      <c r="M61" s="498">
        <v>0</v>
      </c>
      <c r="N61" s="602">
        <v>0</v>
      </c>
      <c r="O61" s="602">
        <v>0</v>
      </c>
      <c r="P61" s="498">
        <v>0</v>
      </c>
      <c r="Q61" s="602">
        <v>0</v>
      </c>
      <c r="R61" s="602">
        <v>0</v>
      </c>
      <c r="S61" s="602">
        <v>0</v>
      </c>
      <c r="T61" s="602">
        <v>0</v>
      </c>
      <c r="U61" s="602">
        <v>0</v>
      </c>
      <c r="V61" s="602">
        <v>0</v>
      </c>
      <c r="W61" s="602">
        <v>0</v>
      </c>
      <c r="X61" s="602">
        <v>0</v>
      </c>
      <c r="Y61" s="602">
        <v>0</v>
      </c>
      <c r="Z61" s="602">
        <v>0</v>
      </c>
      <c r="AA61" s="602">
        <v>0</v>
      </c>
      <c r="AB61" s="602">
        <v>0</v>
      </c>
      <c r="AC61" s="602">
        <v>0</v>
      </c>
      <c r="AD61" s="602">
        <v>0</v>
      </c>
      <c r="AE61" s="602">
        <v>0</v>
      </c>
      <c r="AF61" s="602">
        <v>0</v>
      </c>
      <c r="AG61" s="602">
        <v>0</v>
      </c>
      <c r="AH61" s="602">
        <v>0</v>
      </c>
      <c r="AI61" s="602">
        <v>0</v>
      </c>
      <c r="AJ61" s="498">
        <v>0</v>
      </c>
      <c r="AK61" s="498">
        <v>0</v>
      </c>
      <c r="AL61" s="602">
        <v>0</v>
      </c>
      <c r="AM61" s="602">
        <v>0</v>
      </c>
      <c r="AN61" s="498">
        <v>0</v>
      </c>
      <c r="AO61" s="603">
        <v>0</v>
      </c>
    </row>
    <row r="62" spans="1:41" ht="12" thickBot="1">
      <c r="A62" s="918"/>
      <c r="B62" s="918"/>
      <c r="C62" s="918"/>
      <c r="D62" s="918"/>
      <c r="E62" s="918"/>
      <c r="F62" s="918"/>
      <c r="G62" s="600" t="s">
        <v>298</v>
      </c>
      <c r="H62" s="601">
        <v>170144</v>
      </c>
      <c r="I62" s="602">
        <v>24808655.73</v>
      </c>
      <c r="J62" s="602">
        <v>0.3</v>
      </c>
      <c r="K62" s="776">
        <v>60289470.432819001</v>
      </c>
      <c r="L62" s="776">
        <v>90936.6</v>
      </c>
      <c r="M62" s="498">
        <v>0.30416660678489599</v>
      </c>
      <c r="N62" s="602">
        <v>3.1062778685429402</v>
      </c>
      <c r="O62" s="602">
        <v>2.8021112617580402</v>
      </c>
      <c r="P62" s="498">
        <v>928682.970844</v>
      </c>
      <c r="Q62" s="602">
        <v>837746.37084400002</v>
      </c>
      <c r="R62" s="602">
        <v>-0.216814014964893</v>
      </c>
      <c r="S62" s="602">
        <v>-64820.821594000001</v>
      </c>
      <c r="T62" s="602">
        <v>0</v>
      </c>
      <c r="U62" s="602">
        <v>0</v>
      </c>
      <c r="V62" s="602">
        <v>0</v>
      </c>
      <c r="W62" s="602">
        <v>0</v>
      </c>
      <c r="X62" s="602">
        <v>0</v>
      </c>
      <c r="Y62" s="602">
        <v>0</v>
      </c>
      <c r="Z62" s="602">
        <v>0</v>
      </c>
      <c r="AA62" s="602">
        <v>0</v>
      </c>
      <c r="AB62" s="602">
        <v>0</v>
      </c>
      <c r="AC62" s="602">
        <v>0</v>
      </c>
      <c r="AD62" s="602">
        <v>0</v>
      </c>
      <c r="AE62" s="602">
        <v>0</v>
      </c>
      <c r="AF62" s="602">
        <v>0</v>
      </c>
      <c r="AG62" s="602">
        <v>0</v>
      </c>
      <c r="AH62" s="602">
        <v>0</v>
      </c>
      <c r="AI62" s="602">
        <v>0</v>
      </c>
      <c r="AJ62" s="498">
        <v>0</v>
      </c>
      <c r="AK62" s="498">
        <v>0</v>
      </c>
      <c r="AL62" s="602">
        <v>2.88946385379211</v>
      </c>
      <c r="AM62" s="602">
        <v>2.58529724700721</v>
      </c>
      <c r="AN62" s="498">
        <v>863862.14931400004</v>
      </c>
      <c r="AO62" s="603">
        <v>772925.54931399995</v>
      </c>
    </row>
    <row r="63" spans="1:41" ht="12" thickBot="1">
      <c r="A63" s="918"/>
      <c r="B63" s="918"/>
      <c r="C63" s="918"/>
      <c r="D63" s="918"/>
      <c r="E63" s="918"/>
      <c r="F63" s="918"/>
      <c r="G63" s="600" t="s">
        <v>320</v>
      </c>
      <c r="H63" s="601">
        <v>170145</v>
      </c>
      <c r="I63" s="602">
        <v>2055062.22</v>
      </c>
      <c r="J63" s="602">
        <v>0.3</v>
      </c>
      <c r="K63" s="776">
        <v>2248378.7057460002</v>
      </c>
      <c r="L63" s="776">
        <v>3391.3</v>
      </c>
      <c r="M63" s="498">
        <v>0.30416625877072201</v>
      </c>
      <c r="N63" s="602">
        <v>3.1521041911918202</v>
      </c>
      <c r="O63" s="602">
        <v>2.8479379324210798</v>
      </c>
      <c r="P63" s="498">
        <v>35144.368040000001</v>
      </c>
      <c r="Q63" s="602">
        <v>31753.068039999998</v>
      </c>
      <c r="R63" s="602">
        <v>-0.22434798407894499</v>
      </c>
      <c r="S63" s="602">
        <v>-2501.3665930000002</v>
      </c>
      <c r="T63" s="602">
        <v>0</v>
      </c>
      <c r="U63" s="602">
        <v>0</v>
      </c>
      <c r="V63" s="602">
        <v>0</v>
      </c>
      <c r="W63" s="602">
        <v>0</v>
      </c>
      <c r="X63" s="602">
        <v>0</v>
      </c>
      <c r="Y63" s="602">
        <v>0</v>
      </c>
      <c r="Z63" s="602">
        <v>0</v>
      </c>
      <c r="AA63" s="602">
        <v>0</v>
      </c>
      <c r="AB63" s="602">
        <v>0</v>
      </c>
      <c r="AC63" s="602">
        <v>0</v>
      </c>
      <c r="AD63" s="602">
        <v>0</v>
      </c>
      <c r="AE63" s="602">
        <v>0</v>
      </c>
      <c r="AF63" s="602">
        <v>0</v>
      </c>
      <c r="AG63" s="602">
        <v>0</v>
      </c>
      <c r="AH63" s="602">
        <v>0</v>
      </c>
      <c r="AI63" s="602">
        <v>0</v>
      </c>
      <c r="AJ63" s="498">
        <v>0</v>
      </c>
      <c r="AK63" s="498">
        <v>0</v>
      </c>
      <c r="AL63" s="602">
        <v>2.9277562044221699</v>
      </c>
      <c r="AM63" s="602">
        <v>2.62358994565143</v>
      </c>
      <c r="AN63" s="498">
        <v>32643.001416999999</v>
      </c>
      <c r="AO63" s="603">
        <v>29251.701417</v>
      </c>
    </row>
    <row r="64" spans="1:41" ht="12" thickBot="1">
      <c r="A64" s="918"/>
      <c r="B64" s="918"/>
      <c r="C64" s="918"/>
      <c r="D64" s="918"/>
      <c r="E64" s="918"/>
      <c r="F64" s="919"/>
      <c r="G64" s="600" t="s">
        <v>299</v>
      </c>
      <c r="H64" s="601">
        <v>170146</v>
      </c>
      <c r="I64" s="602">
        <v>563762850.39999998</v>
      </c>
      <c r="J64" s="602">
        <v>0.30000000000000199</v>
      </c>
      <c r="K64" s="776">
        <v>415991343.42431003</v>
      </c>
      <c r="L64" s="776">
        <v>627453.38</v>
      </c>
      <c r="M64" s="498">
        <v>0.30416655533343601</v>
      </c>
      <c r="N64" s="602">
        <v>3.1789509320108098</v>
      </c>
      <c r="O64" s="602">
        <v>2.8747843766773702</v>
      </c>
      <c r="P64" s="498">
        <v>6557734.4785909997</v>
      </c>
      <c r="Q64" s="602">
        <v>5930281.0985909998</v>
      </c>
      <c r="R64" s="602">
        <v>-0.227959132070709</v>
      </c>
      <c r="S64" s="602">
        <v>-470248.04473600001</v>
      </c>
      <c r="T64" s="602">
        <v>0</v>
      </c>
      <c r="U64" s="602">
        <v>0</v>
      </c>
      <c r="V64" s="602">
        <v>0</v>
      </c>
      <c r="W64" s="602">
        <v>0</v>
      </c>
      <c r="X64" s="602">
        <v>0</v>
      </c>
      <c r="Y64" s="602">
        <v>0</v>
      </c>
      <c r="Z64" s="602">
        <v>0</v>
      </c>
      <c r="AA64" s="602">
        <v>0</v>
      </c>
      <c r="AB64" s="602">
        <v>0</v>
      </c>
      <c r="AC64" s="602">
        <v>0</v>
      </c>
      <c r="AD64" s="602">
        <v>0</v>
      </c>
      <c r="AE64" s="602">
        <v>0</v>
      </c>
      <c r="AF64" s="602">
        <v>0</v>
      </c>
      <c r="AG64" s="602">
        <v>0</v>
      </c>
      <c r="AH64" s="602">
        <v>0</v>
      </c>
      <c r="AI64" s="602">
        <v>0</v>
      </c>
      <c r="AJ64" s="498">
        <v>0</v>
      </c>
      <c r="AK64" s="498">
        <v>0</v>
      </c>
      <c r="AL64" s="602">
        <v>2.95099179970547</v>
      </c>
      <c r="AM64" s="602">
        <v>2.6468252443720299</v>
      </c>
      <c r="AN64" s="498">
        <v>6087486.433371</v>
      </c>
      <c r="AO64" s="603">
        <v>5460033.0533710001</v>
      </c>
    </row>
    <row r="65" spans="1:41" ht="12" thickBot="1">
      <c r="A65" s="918"/>
      <c r="B65" s="918"/>
      <c r="C65" s="918"/>
      <c r="D65" s="918"/>
      <c r="E65" s="918"/>
      <c r="F65" s="917" t="s">
        <v>300</v>
      </c>
      <c r="G65" s="600" t="s">
        <v>301</v>
      </c>
      <c r="H65" s="601">
        <v>170154</v>
      </c>
      <c r="I65" s="602">
        <v>778.78</v>
      </c>
      <c r="J65" s="602">
        <v>0.3</v>
      </c>
      <c r="K65" s="776">
        <v>779.69038699999999</v>
      </c>
      <c r="L65" s="776">
        <v>1.17</v>
      </c>
      <c r="M65" s="498">
        <v>0.30260630431414698</v>
      </c>
      <c r="N65" s="602">
        <v>3.1578025694573801</v>
      </c>
      <c r="O65" s="602">
        <v>2.8551962650424501</v>
      </c>
      <c r="P65" s="498">
        <v>12.209358999999999</v>
      </c>
      <c r="Q65" s="602">
        <v>11.039358999999999</v>
      </c>
      <c r="R65" s="602">
        <v>-0.22515253965379101</v>
      </c>
      <c r="S65" s="602">
        <v>-0.87053199999999997</v>
      </c>
      <c r="T65" s="602">
        <v>0</v>
      </c>
      <c r="U65" s="602">
        <v>0</v>
      </c>
      <c r="V65" s="602">
        <v>0</v>
      </c>
      <c r="W65" s="602">
        <v>0</v>
      </c>
      <c r="X65" s="602">
        <v>0</v>
      </c>
      <c r="Y65" s="602">
        <v>0</v>
      </c>
      <c r="Z65" s="602">
        <v>0</v>
      </c>
      <c r="AA65" s="602">
        <v>0</v>
      </c>
      <c r="AB65" s="602">
        <v>0</v>
      </c>
      <c r="AC65" s="602">
        <v>0</v>
      </c>
      <c r="AD65" s="602">
        <v>0</v>
      </c>
      <c r="AE65" s="602">
        <v>0</v>
      </c>
      <c r="AF65" s="602">
        <v>0</v>
      </c>
      <c r="AG65" s="602">
        <v>0</v>
      </c>
      <c r="AH65" s="602">
        <v>0</v>
      </c>
      <c r="AI65" s="602">
        <v>0</v>
      </c>
      <c r="AJ65" s="498">
        <v>0</v>
      </c>
      <c r="AK65" s="498">
        <v>0</v>
      </c>
      <c r="AL65" s="602">
        <v>2.9326567543881299</v>
      </c>
      <c r="AM65" s="602">
        <v>2.6300504499731998</v>
      </c>
      <c r="AN65" s="498">
        <v>11.338853</v>
      </c>
      <c r="AO65" s="603">
        <v>10.168853</v>
      </c>
    </row>
    <row r="66" spans="1:41" ht="12" thickBot="1">
      <c r="A66" s="918"/>
      <c r="B66" s="918"/>
      <c r="C66" s="918"/>
      <c r="D66" s="918"/>
      <c r="E66" s="918"/>
      <c r="F66" s="919"/>
      <c r="G66" s="600" t="s">
        <v>302</v>
      </c>
      <c r="H66" s="601">
        <v>170156</v>
      </c>
      <c r="I66" s="602">
        <v>130.03</v>
      </c>
      <c r="J66" s="602">
        <v>0.3</v>
      </c>
      <c r="K66" s="776">
        <v>129.89187799999999</v>
      </c>
      <c r="L66" s="776">
        <v>0.19</v>
      </c>
      <c r="M66" s="498">
        <v>0.29497546511007999</v>
      </c>
      <c r="N66" s="602">
        <v>3.1579669533904702</v>
      </c>
      <c r="O66" s="602">
        <v>2.8629914893092101</v>
      </c>
      <c r="P66" s="498">
        <v>2.0341140000000002</v>
      </c>
      <c r="Q66" s="602">
        <v>1.844114</v>
      </c>
      <c r="R66" s="602">
        <v>-0.22516098174299701</v>
      </c>
      <c r="S66" s="602">
        <v>-0.14503099999999999</v>
      </c>
      <c r="T66" s="602">
        <v>0</v>
      </c>
      <c r="U66" s="602">
        <v>0</v>
      </c>
      <c r="V66" s="602">
        <v>0</v>
      </c>
      <c r="W66" s="602">
        <v>0</v>
      </c>
      <c r="X66" s="602">
        <v>0</v>
      </c>
      <c r="Y66" s="602">
        <v>0</v>
      </c>
      <c r="Z66" s="602">
        <v>0</v>
      </c>
      <c r="AA66" s="602">
        <v>0</v>
      </c>
      <c r="AB66" s="602">
        <v>0</v>
      </c>
      <c r="AC66" s="602">
        <v>0</v>
      </c>
      <c r="AD66" s="602">
        <v>0</v>
      </c>
      <c r="AE66" s="602">
        <v>0</v>
      </c>
      <c r="AF66" s="602">
        <v>0</v>
      </c>
      <c r="AG66" s="602">
        <v>0</v>
      </c>
      <c r="AH66" s="602">
        <v>0</v>
      </c>
      <c r="AI66" s="602">
        <v>0</v>
      </c>
      <c r="AJ66" s="498">
        <v>0</v>
      </c>
      <c r="AK66" s="498">
        <v>0</v>
      </c>
      <c r="AL66" s="602">
        <v>2.9327392140424502</v>
      </c>
      <c r="AM66" s="602">
        <v>2.6377637499611901</v>
      </c>
      <c r="AN66" s="498">
        <v>1.8890400000000001</v>
      </c>
      <c r="AO66" s="603">
        <v>1.6990400000000001</v>
      </c>
    </row>
    <row r="67" spans="1:41" ht="12" thickBot="1">
      <c r="A67" s="918"/>
      <c r="B67" s="918"/>
      <c r="C67" s="918"/>
      <c r="D67" s="918"/>
      <c r="E67" s="918"/>
      <c r="F67" s="917" t="s">
        <v>303</v>
      </c>
      <c r="G67" s="600" t="s">
        <v>2642</v>
      </c>
      <c r="H67" s="601">
        <v>170161</v>
      </c>
      <c r="I67" s="602">
        <v>0</v>
      </c>
      <c r="J67" s="602">
        <v>0</v>
      </c>
      <c r="K67" s="776">
        <v>121395.118674</v>
      </c>
      <c r="L67" s="776">
        <v>183.1</v>
      </c>
      <c r="M67" s="498">
        <v>0.30415951700775901</v>
      </c>
      <c r="N67" s="602">
        <v>3.0035079083713598</v>
      </c>
      <c r="O67" s="602">
        <v>2.6993483913636802</v>
      </c>
      <c r="P67" s="498">
        <v>1808.0719730000001</v>
      </c>
      <c r="Q67" s="602">
        <v>1624.9719729999999</v>
      </c>
      <c r="R67" s="602">
        <v>-0.19924128799652199</v>
      </c>
      <c r="S67" s="602">
        <v>-119.94061600000001</v>
      </c>
      <c r="T67" s="602">
        <v>0</v>
      </c>
      <c r="U67" s="602">
        <v>0</v>
      </c>
      <c r="V67" s="602">
        <v>0</v>
      </c>
      <c r="W67" s="602">
        <v>0</v>
      </c>
      <c r="X67" s="602">
        <v>0</v>
      </c>
      <c r="Y67" s="602">
        <v>0</v>
      </c>
      <c r="Z67" s="602">
        <v>0</v>
      </c>
      <c r="AA67" s="602">
        <v>0</v>
      </c>
      <c r="AB67" s="602">
        <v>0</v>
      </c>
      <c r="AC67" s="602">
        <v>0</v>
      </c>
      <c r="AD67" s="602">
        <v>0</v>
      </c>
      <c r="AE67" s="602">
        <v>0</v>
      </c>
      <c r="AF67" s="602">
        <v>0</v>
      </c>
      <c r="AG67" s="602">
        <v>0</v>
      </c>
      <c r="AH67" s="602">
        <v>0</v>
      </c>
      <c r="AI67" s="602">
        <v>0</v>
      </c>
      <c r="AJ67" s="498">
        <v>0</v>
      </c>
      <c r="AK67" s="498">
        <v>0</v>
      </c>
      <c r="AL67" s="602">
        <v>2.8042667532681298</v>
      </c>
      <c r="AM67" s="602">
        <v>2.5001072362604502</v>
      </c>
      <c r="AN67" s="498">
        <v>1688.131437</v>
      </c>
      <c r="AO67" s="603">
        <v>1505.0314370000001</v>
      </c>
    </row>
    <row r="68" spans="1:41" ht="12" thickBot="1">
      <c r="A68" s="918"/>
      <c r="B68" s="918"/>
      <c r="C68" s="918"/>
      <c r="D68" s="918"/>
      <c r="E68" s="918"/>
      <c r="F68" s="918"/>
      <c r="G68" s="600" t="s">
        <v>2641</v>
      </c>
      <c r="H68" s="601">
        <v>170162</v>
      </c>
      <c r="I68" s="602">
        <v>147087.79</v>
      </c>
      <c r="J68" s="602">
        <v>0.3</v>
      </c>
      <c r="K68" s="776">
        <v>735188.10961299995</v>
      </c>
      <c r="L68" s="776">
        <v>1108.9000000000001</v>
      </c>
      <c r="M68" s="498">
        <v>0.30416427153428299</v>
      </c>
      <c r="N68" s="602">
        <v>3.0343858023730799</v>
      </c>
      <c r="O68" s="602">
        <v>2.7302215308389002</v>
      </c>
      <c r="P68" s="498">
        <v>11062.543274</v>
      </c>
      <c r="Q68" s="602">
        <v>9953.643274</v>
      </c>
      <c r="R68" s="602">
        <v>-0.202908207444043</v>
      </c>
      <c r="S68" s="602">
        <v>-739.74799900000005</v>
      </c>
      <c r="T68" s="602">
        <v>0</v>
      </c>
      <c r="U68" s="602">
        <v>0</v>
      </c>
      <c r="V68" s="602">
        <v>0</v>
      </c>
      <c r="W68" s="602">
        <v>0</v>
      </c>
      <c r="X68" s="602">
        <v>0</v>
      </c>
      <c r="Y68" s="602">
        <v>0</v>
      </c>
      <c r="Z68" s="602">
        <v>0</v>
      </c>
      <c r="AA68" s="602">
        <v>0</v>
      </c>
      <c r="AB68" s="602">
        <v>0</v>
      </c>
      <c r="AC68" s="602">
        <v>0</v>
      </c>
      <c r="AD68" s="602">
        <v>0</v>
      </c>
      <c r="AE68" s="602">
        <v>0</v>
      </c>
      <c r="AF68" s="602">
        <v>0</v>
      </c>
      <c r="AG68" s="602">
        <v>0</v>
      </c>
      <c r="AH68" s="602">
        <v>0</v>
      </c>
      <c r="AI68" s="602">
        <v>0</v>
      </c>
      <c r="AJ68" s="498">
        <v>0</v>
      </c>
      <c r="AK68" s="498">
        <v>0</v>
      </c>
      <c r="AL68" s="602">
        <v>2.8314776124838299</v>
      </c>
      <c r="AM68" s="602">
        <v>2.52731334094966</v>
      </c>
      <c r="AN68" s="498">
        <v>10322.795339</v>
      </c>
      <c r="AO68" s="603">
        <v>9213.8953390000006</v>
      </c>
    </row>
    <row r="69" spans="1:41" ht="12" thickBot="1">
      <c r="A69" s="918"/>
      <c r="B69" s="918"/>
      <c r="C69" s="918"/>
      <c r="D69" s="918"/>
      <c r="E69" s="918"/>
      <c r="F69" s="918"/>
      <c r="G69" s="600" t="s">
        <v>304</v>
      </c>
      <c r="H69" s="601">
        <v>170165</v>
      </c>
      <c r="I69" s="602">
        <v>75.77</v>
      </c>
      <c r="J69" s="602">
        <v>0.3</v>
      </c>
      <c r="K69" s="776">
        <v>75.687127000000004</v>
      </c>
      <c r="L69" s="776">
        <v>0.11</v>
      </c>
      <c r="M69" s="498">
        <v>0.29307917107210302</v>
      </c>
      <c r="N69" s="602">
        <v>3.1579360583734899</v>
      </c>
      <c r="O69" s="602">
        <v>2.8648568875795002</v>
      </c>
      <c r="P69" s="498">
        <v>1.1852529999999999</v>
      </c>
      <c r="Q69" s="602">
        <v>1.075253</v>
      </c>
      <c r="R69" s="602">
        <v>-0.22516473385272501</v>
      </c>
      <c r="S69" s="602">
        <v>-8.4510000000000002E-2</v>
      </c>
      <c r="T69" s="602">
        <v>0</v>
      </c>
      <c r="U69" s="602">
        <v>0</v>
      </c>
      <c r="V69" s="602">
        <v>0</v>
      </c>
      <c r="W69" s="602">
        <v>0</v>
      </c>
      <c r="X69" s="602">
        <v>0</v>
      </c>
      <c r="Y69" s="602">
        <v>0</v>
      </c>
      <c r="Z69" s="602">
        <v>0</v>
      </c>
      <c r="AA69" s="602">
        <v>0</v>
      </c>
      <c r="AB69" s="602">
        <v>0</v>
      </c>
      <c r="AC69" s="602">
        <v>0</v>
      </c>
      <c r="AD69" s="602">
        <v>0</v>
      </c>
      <c r="AE69" s="602">
        <v>0</v>
      </c>
      <c r="AF69" s="602">
        <v>0</v>
      </c>
      <c r="AG69" s="602">
        <v>0</v>
      </c>
      <c r="AH69" s="602">
        <v>0</v>
      </c>
      <c r="AI69" s="602">
        <v>0</v>
      </c>
      <c r="AJ69" s="498">
        <v>0</v>
      </c>
      <c r="AK69" s="498">
        <v>0</v>
      </c>
      <c r="AL69" s="602">
        <v>2.9327713245207598</v>
      </c>
      <c r="AM69" s="602">
        <v>2.6396921537267799</v>
      </c>
      <c r="AN69" s="498">
        <v>1.100743</v>
      </c>
      <c r="AO69" s="603">
        <v>0.99074300000000004</v>
      </c>
    </row>
    <row r="70" spans="1:41" ht="12" thickBot="1">
      <c r="A70" s="918"/>
      <c r="B70" s="918"/>
      <c r="C70" s="918"/>
      <c r="D70" s="918"/>
      <c r="E70" s="918"/>
      <c r="F70" s="918"/>
      <c r="G70" s="600" t="s">
        <v>305</v>
      </c>
      <c r="H70" s="601">
        <v>170166</v>
      </c>
      <c r="I70" s="602">
        <v>26073186.449999999</v>
      </c>
      <c r="J70" s="602">
        <v>0.3</v>
      </c>
      <c r="K70" s="776">
        <v>17329872.026351999</v>
      </c>
      <c r="L70" s="776">
        <v>26139.14</v>
      </c>
      <c r="M70" s="498">
        <v>0.30416569340045302</v>
      </c>
      <c r="N70" s="602">
        <v>3.2045217450869901</v>
      </c>
      <c r="O70" s="602">
        <v>2.9003560516865701</v>
      </c>
      <c r="P70" s="498">
        <v>275387.54154499999</v>
      </c>
      <c r="Q70" s="602">
        <v>249248.401545</v>
      </c>
      <c r="R70" s="602">
        <v>-0.23230627726445399</v>
      </c>
      <c r="S70" s="602">
        <v>-19963.744879999998</v>
      </c>
      <c r="T70" s="602">
        <v>0</v>
      </c>
      <c r="U70" s="602">
        <v>0</v>
      </c>
      <c r="V70" s="602">
        <v>0</v>
      </c>
      <c r="W70" s="602">
        <v>0</v>
      </c>
      <c r="X70" s="602">
        <v>0</v>
      </c>
      <c r="Y70" s="602">
        <v>0</v>
      </c>
      <c r="Z70" s="602">
        <v>0</v>
      </c>
      <c r="AA70" s="602">
        <v>0</v>
      </c>
      <c r="AB70" s="602">
        <v>0</v>
      </c>
      <c r="AC70" s="602">
        <v>0</v>
      </c>
      <c r="AD70" s="602">
        <v>0</v>
      </c>
      <c r="AE70" s="602">
        <v>0</v>
      </c>
      <c r="AF70" s="602">
        <v>0</v>
      </c>
      <c r="AG70" s="602">
        <v>0</v>
      </c>
      <c r="AH70" s="602">
        <v>0</v>
      </c>
      <c r="AI70" s="602">
        <v>0</v>
      </c>
      <c r="AJ70" s="498">
        <v>0</v>
      </c>
      <c r="AK70" s="498">
        <v>0</v>
      </c>
      <c r="AL70" s="602">
        <v>2.97221547227928</v>
      </c>
      <c r="AM70" s="602">
        <v>2.66804977887886</v>
      </c>
      <c r="AN70" s="498">
        <v>255423.79704800001</v>
      </c>
      <c r="AO70" s="603">
        <v>229284.65704799999</v>
      </c>
    </row>
    <row r="71" spans="1:41" ht="12" thickBot="1">
      <c r="A71" s="918"/>
      <c r="B71" s="918"/>
      <c r="C71" s="918"/>
      <c r="D71" s="918"/>
      <c r="E71" s="918"/>
      <c r="F71" s="919"/>
      <c r="G71" s="600" t="s">
        <v>3513</v>
      </c>
      <c r="H71" s="601">
        <v>170167</v>
      </c>
      <c r="I71" s="602">
        <v>46232.49</v>
      </c>
      <c r="J71" s="602">
        <v>0.3</v>
      </c>
      <c r="K71" s="776">
        <v>46183.916518999999</v>
      </c>
      <c r="L71" s="776">
        <v>69.66</v>
      </c>
      <c r="M71" s="498">
        <v>0.30416343225799802</v>
      </c>
      <c r="N71" s="602">
        <v>3.1580069373580399</v>
      </c>
      <c r="O71" s="602">
        <v>2.8538435051022599</v>
      </c>
      <c r="P71" s="498">
        <v>723.25184400000001</v>
      </c>
      <c r="Q71" s="602">
        <v>653.59184400000004</v>
      </c>
      <c r="R71" s="602">
        <v>-0.22518407860647599</v>
      </c>
      <c r="S71" s="602">
        <v>-51.572020999999999</v>
      </c>
      <c r="T71" s="602">
        <v>0</v>
      </c>
      <c r="U71" s="602">
        <v>0</v>
      </c>
      <c r="V71" s="602">
        <v>0</v>
      </c>
      <c r="W71" s="602">
        <v>0</v>
      </c>
      <c r="X71" s="602">
        <v>0</v>
      </c>
      <c r="Y71" s="602">
        <v>0</v>
      </c>
      <c r="Z71" s="602">
        <v>0</v>
      </c>
      <c r="AA71" s="602">
        <v>0</v>
      </c>
      <c r="AB71" s="602">
        <v>0</v>
      </c>
      <c r="AC71" s="602">
        <v>0</v>
      </c>
      <c r="AD71" s="602">
        <v>0</v>
      </c>
      <c r="AE71" s="602">
        <v>0</v>
      </c>
      <c r="AF71" s="602">
        <v>0</v>
      </c>
      <c r="AG71" s="602">
        <v>0</v>
      </c>
      <c r="AH71" s="602">
        <v>0</v>
      </c>
      <c r="AI71" s="602">
        <v>0</v>
      </c>
      <c r="AJ71" s="498">
        <v>0</v>
      </c>
      <c r="AK71" s="498">
        <v>0</v>
      </c>
      <c r="AL71" s="602">
        <v>2.9328228238203602</v>
      </c>
      <c r="AM71" s="602">
        <v>2.6286593915645899</v>
      </c>
      <c r="AN71" s="498">
        <v>671.67981499999996</v>
      </c>
      <c r="AO71" s="603">
        <v>602.01981499999999</v>
      </c>
    </row>
    <row r="72" spans="1:41" ht="12" thickBot="1">
      <c r="A72" s="918"/>
      <c r="B72" s="918"/>
      <c r="C72" s="918"/>
      <c r="D72" s="918"/>
      <c r="E72" s="918"/>
      <c r="F72" s="600" t="s">
        <v>306</v>
      </c>
      <c r="G72" s="600" t="s">
        <v>307</v>
      </c>
      <c r="H72" s="601">
        <v>170171</v>
      </c>
      <c r="I72" s="602">
        <v>17399904.258072</v>
      </c>
      <c r="J72" s="602">
        <v>0.25069263149752202</v>
      </c>
      <c r="K72" s="776">
        <v>51083868.291152999</v>
      </c>
      <c r="L72" s="776">
        <v>52557.439616000003</v>
      </c>
      <c r="M72" s="498">
        <v>0.207474493536046</v>
      </c>
      <c r="N72" s="602">
        <v>2.4824156720735502</v>
      </c>
      <c r="O72" s="602">
        <v>2.2749411785375</v>
      </c>
      <c r="P72" s="498">
        <v>628845.54897899996</v>
      </c>
      <c r="Q72" s="602">
        <v>576288.10936300003</v>
      </c>
      <c r="R72" s="602">
        <v>-0.16756694563892799</v>
      </c>
      <c r="S72" s="602">
        <v>-42448.059407000001</v>
      </c>
      <c r="T72" s="602">
        <v>0</v>
      </c>
      <c r="U72" s="602">
        <v>0</v>
      </c>
      <c r="V72" s="602">
        <v>0</v>
      </c>
      <c r="W72" s="602">
        <v>0</v>
      </c>
      <c r="X72" s="602">
        <v>0</v>
      </c>
      <c r="Y72" s="602">
        <v>0</v>
      </c>
      <c r="Z72" s="602">
        <v>0</v>
      </c>
      <c r="AA72" s="602">
        <v>0</v>
      </c>
      <c r="AB72" s="602">
        <v>0</v>
      </c>
      <c r="AC72" s="602">
        <v>0</v>
      </c>
      <c r="AD72" s="602">
        <v>0</v>
      </c>
      <c r="AE72" s="602">
        <v>0</v>
      </c>
      <c r="AF72" s="602">
        <v>0</v>
      </c>
      <c r="AG72" s="602">
        <v>0</v>
      </c>
      <c r="AH72" s="602">
        <v>0</v>
      </c>
      <c r="AI72" s="602">
        <v>0</v>
      </c>
      <c r="AJ72" s="498">
        <v>0</v>
      </c>
      <c r="AK72" s="498">
        <v>0</v>
      </c>
      <c r="AL72" s="602">
        <v>2.3148487195263598</v>
      </c>
      <c r="AM72" s="602">
        <v>2.1073742259903101</v>
      </c>
      <c r="AN72" s="498">
        <v>586397.48782200005</v>
      </c>
      <c r="AO72" s="603">
        <v>533840.04820600001</v>
      </c>
    </row>
    <row r="73" spans="1:41" ht="12" thickBot="1">
      <c r="A73" s="918"/>
      <c r="B73" s="918"/>
      <c r="C73" s="918"/>
      <c r="D73" s="918"/>
      <c r="E73" s="918"/>
      <c r="F73" s="600" t="s">
        <v>308</v>
      </c>
      <c r="G73" s="600" t="s">
        <v>308</v>
      </c>
      <c r="H73" s="601">
        <v>170177</v>
      </c>
      <c r="I73" s="602">
        <v>635553246.38436699</v>
      </c>
      <c r="J73" s="602">
        <v>0.30058271847229101</v>
      </c>
      <c r="K73" s="776">
        <v>588438704.98036098</v>
      </c>
      <c r="L73" s="776">
        <v>889404.22916700004</v>
      </c>
      <c r="M73" s="498">
        <v>0.30479809531812402</v>
      </c>
      <c r="N73" s="602">
        <v>3.18847733762829</v>
      </c>
      <c r="O73" s="602">
        <v>2.88367924231017</v>
      </c>
      <c r="P73" s="498">
        <v>9304012.3027340006</v>
      </c>
      <c r="Q73" s="602">
        <v>8414608.0735669993</v>
      </c>
      <c r="R73" s="602">
        <v>-0.230842654338724</v>
      </c>
      <c r="S73" s="602">
        <v>-673601.43056899996</v>
      </c>
      <c r="T73" s="602">
        <v>0</v>
      </c>
      <c r="U73" s="602">
        <v>0</v>
      </c>
      <c r="V73" s="602">
        <v>0</v>
      </c>
      <c r="W73" s="602">
        <v>0</v>
      </c>
      <c r="X73" s="602">
        <v>0</v>
      </c>
      <c r="Y73" s="602">
        <v>0</v>
      </c>
      <c r="Z73" s="602">
        <v>0</v>
      </c>
      <c r="AA73" s="602">
        <v>0</v>
      </c>
      <c r="AB73" s="602">
        <v>0</v>
      </c>
      <c r="AC73" s="602">
        <v>0</v>
      </c>
      <c r="AD73" s="602">
        <v>0</v>
      </c>
      <c r="AE73" s="602">
        <v>0</v>
      </c>
      <c r="AF73" s="602">
        <v>0</v>
      </c>
      <c r="AG73" s="602">
        <v>0</v>
      </c>
      <c r="AH73" s="602">
        <v>0</v>
      </c>
      <c r="AI73" s="602">
        <v>0</v>
      </c>
      <c r="AJ73" s="498">
        <v>0</v>
      </c>
      <c r="AK73" s="498">
        <v>0</v>
      </c>
      <c r="AL73" s="602">
        <v>2.9576346835750398</v>
      </c>
      <c r="AM73" s="602">
        <v>2.65283658825691</v>
      </c>
      <c r="AN73" s="498">
        <v>8630410.8729979992</v>
      </c>
      <c r="AO73" s="603">
        <v>7741006.6438309997</v>
      </c>
    </row>
    <row r="74" spans="1:41" ht="12" thickBot="1">
      <c r="A74" s="918"/>
      <c r="B74" s="918"/>
      <c r="C74" s="918"/>
      <c r="D74" s="918"/>
      <c r="E74" s="918"/>
      <c r="F74" s="600" t="s">
        <v>309</v>
      </c>
      <c r="G74" s="600" t="s">
        <v>309</v>
      </c>
      <c r="H74" s="601">
        <v>170178</v>
      </c>
      <c r="I74" s="602">
        <v>31321784.460000001</v>
      </c>
      <c r="J74" s="602">
        <v>0.3</v>
      </c>
      <c r="K74" s="776">
        <v>28197239.494973</v>
      </c>
      <c r="L74" s="776">
        <v>42530.8</v>
      </c>
      <c r="M74" s="498">
        <v>0.304166407502517</v>
      </c>
      <c r="N74" s="602">
        <v>3.1764660184062001</v>
      </c>
      <c r="O74" s="602">
        <v>2.8722996109036698</v>
      </c>
      <c r="P74" s="498">
        <v>444157.006176</v>
      </c>
      <c r="Q74" s="602">
        <v>401626.20617600001</v>
      </c>
      <c r="R74" s="602">
        <v>-0.22853090737972701</v>
      </c>
      <c r="S74" s="602">
        <v>-31954.884155</v>
      </c>
      <c r="T74" s="602">
        <v>0</v>
      </c>
      <c r="U74" s="602">
        <v>0</v>
      </c>
      <c r="V74" s="602">
        <v>0</v>
      </c>
      <c r="W74" s="602">
        <v>0</v>
      </c>
      <c r="X74" s="602">
        <v>0</v>
      </c>
      <c r="Y74" s="602">
        <v>0</v>
      </c>
      <c r="Z74" s="602">
        <v>0</v>
      </c>
      <c r="AA74" s="602">
        <v>0</v>
      </c>
      <c r="AB74" s="602">
        <v>0</v>
      </c>
      <c r="AC74" s="602">
        <v>0</v>
      </c>
      <c r="AD74" s="602">
        <v>0</v>
      </c>
      <c r="AE74" s="602">
        <v>0</v>
      </c>
      <c r="AF74" s="602">
        <v>0</v>
      </c>
      <c r="AG74" s="602">
        <v>0</v>
      </c>
      <c r="AH74" s="602">
        <v>0</v>
      </c>
      <c r="AI74" s="602">
        <v>0</v>
      </c>
      <c r="AJ74" s="498">
        <v>0</v>
      </c>
      <c r="AK74" s="498">
        <v>0</v>
      </c>
      <c r="AL74" s="602">
        <v>2.9479351129288198</v>
      </c>
      <c r="AM74" s="602">
        <v>2.6437687054262899</v>
      </c>
      <c r="AN74" s="498">
        <v>412202.12228700001</v>
      </c>
      <c r="AO74" s="603">
        <v>369671.32228700002</v>
      </c>
    </row>
    <row r="75" spans="1:41" ht="12" thickBot="1">
      <c r="A75" s="918"/>
      <c r="B75" s="918"/>
      <c r="C75" s="918"/>
      <c r="D75" s="918"/>
      <c r="E75" s="918"/>
      <c r="F75" s="600" t="s">
        <v>310</v>
      </c>
      <c r="G75" s="600" t="s">
        <v>310</v>
      </c>
      <c r="H75" s="601">
        <v>170179</v>
      </c>
      <c r="I75" s="602">
        <v>4952.42</v>
      </c>
      <c r="J75" s="602">
        <v>0.3</v>
      </c>
      <c r="K75" s="776">
        <v>4947.224475</v>
      </c>
      <c r="L75" s="776">
        <v>7.46</v>
      </c>
      <c r="M75" s="498">
        <v>0.30408255143586899</v>
      </c>
      <c r="N75" s="602">
        <v>3.1580070679287</v>
      </c>
      <c r="O75" s="602">
        <v>2.8539245165013201</v>
      </c>
      <c r="P75" s="498">
        <v>77.474793000000005</v>
      </c>
      <c r="Q75" s="602">
        <v>70.014792999999997</v>
      </c>
      <c r="R75" s="602">
        <v>-0.225182423007809</v>
      </c>
      <c r="S75" s="602">
        <v>-5.5243580000000003</v>
      </c>
      <c r="T75" s="602">
        <v>0</v>
      </c>
      <c r="U75" s="602">
        <v>0</v>
      </c>
      <c r="V75" s="602">
        <v>0</v>
      </c>
      <c r="W75" s="602">
        <v>0</v>
      </c>
      <c r="X75" s="602">
        <v>0</v>
      </c>
      <c r="Y75" s="602">
        <v>0</v>
      </c>
      <c r="Z75" s="602">
        <v>0</v>
      </c>
      <c r="AA75" s="602">
        <v>0</v>
      </c>
      <c r="AB75" s="602">
        <v>0</v>
      </c>
      <c r="AC75" s="602">
        <v>0</v>
      </c>
      <c r="AD75" s="602">
        <v>0</v>
      </c>
      <c r="AE75" s="602">
        <v>0</v>
      </c>
      <c r="AF75" s="602">
        <v>0</v>
      </c>
      <c r="AG75" s="602">
        <v>0</v>
      </c>
      <c r="AH75" s="602">
        <v>0</v>
      </c>
      <c r="AI75" s="602">
        <v>0</v>
      </c>
      <c r="AJ75" s="498">
        <v>0</v>
      </c>
      <c r="AK75" s="498">
        <v>0</v>
      </c>
      <c r="AL75" s="602">
        <v>2.9328197942742902</v>
      </c>
      <c r="AM75" s="602">
        <v>2.6287372428469098</v>
      </c>
      <c r="AN75" s="498">
        <v>71.950316000000001</v>
      </c>
      <c r="AO75" s="603">
        <v>64.490316000000007</v>
      </c>
    </row>
    <row r="76" spans="1:41" ht="12" thickBot="1">
      <c r="A76" s="918"/>
      <c r="B76" s="918"/>
      <c r="C76" s="918"/>
      <c r="D76" s="918"/>
      <c r="E76" s="918"/>
      <c r="F76" s="600" t="s">
        <v>311</v>
      </c>
      <c r="G76" s="600" t="s">
        <v>311</v>
      </c>
      <c r="H76" s="601">
        <v>170180</v>
      </c>
      <c r="I76" s="602">
        <v>1214.8399999999999</v>
      </c>
      <c r="J76" s="602">
        <v>0.299999999176846</v>
      </c>
      <c r="K76" s="776">
        <v>1213.5641989999999</v>
      </c>
      <c r="L76" s="776">
        <v>1.83</v>
      </c>
      <c r="M76" s="498">
        <v>0.30409033941126601</v>
      </c>
      <c r="N76" s="602">
        <v>3.1580035990055699</v>
      </c>
      <c r="O76" s="602">
        <v>2.8539132595679999</v>
      </c>
      <c r="P76" s="498">
        <v>19.004702999999999</v>
      </c>
      <c r="Q76" s="602">
        <v>17.174703000000001</v>
      </c>
      <c r="R76" s="602">
        <v>-0.22518521079772699</v>
      </c>
      <c r="S76" s="602">
        <v>-1.3551530000000001</v>
      </c>
      <c r="T76" s="602">
        <v>0</v>
      </c>
      <c r="U76" s="602">
        <v>0</v>
      </c>
      <c r="V76" s="602">
        <v>0</v>
      </c>
      <c r="W76" s="602">
        <v>0</v>
      </c>
      <c r="X76" s="602">
        <v>0</v>
      </c>
      <c r="Y76" s="602">
        <v>0</v>
      </c>
      <c r="Z76" s="602">
        <v>0</v>
      </c>
      <c r="AA76" s="602">
        <v>0</v>
      </c>
      <c r="AB76" s="602">
        <v>0</v>
      </c>
      <c r="AC76" s="602">
        <v>0</v>
      </c>
      <c r="AD76" s="602">
        <v>0</v>
      </c>
      <c r="AE76" s="602">
        <v>0</v>
      </c>
      <c r="AF76" s="602">
        <v>0</v>
      </c>
      <c r="AG76" s="602">
        <v>0</v>
      </c>
      <c r="AH76" s="602">
        <v>0</v>
      </c>
      <c r="AI76" s="602">
        <v>0</v>
      </c>
      <c r="AJ76" s="498">
        <v>0</v>
      </c>
      <c r="AK76" s="498">
        <v>0</v>
      </c>
      <c r="AL76" s="602">
        <v>2.9328170588511702</v>
      </c>
      <c r="AM76" s="602">
        <v>2.6287267194136001</v>
      </c>
      <c r="AN76" s="498">
        <v>17.649542</v>
      </c>
      <c r="AO76" s="603">
        <v>15.819542</v>
      </c>
    </row>
    <row r="77" spans="1:41" ht="12" thickBot="1">
      <c r="A77" s="918"/>
      <c r="B77" s="918"/>
      <c r="C77" s="918"/>
      <c r="D77" s="918"/>
      <c r="E77" s="918"/>
      <c r="F77" s="600" t="s">
        <v>312</v>
      </c>
      <c r="G77" s="600" t="s">
        <v>312</v>
      </c>
      <c r="H77" s="601">
        <v>170181</v>
      </c>
      <c r="I77" s="602">
        <v>96879219.239999995</v>
      </c>
      <c r="J77" s="602">
        <v>0.26299493498066101</v>
      </c>
      <c r="K77" s="776">
        <v>140017684.47006899</v>
      </c>
      <c r="L77" s="776">
        <v>197272.38008</v>
      </c>
      <c r="M77" s="498">
        <v>0.28411730248414901</v>
      </c>
      <c r="N77" s="602">
        <v>3.1200838826025099</v>
      </c>
      <c r="O77" s="602">
        <v>2.83596658011836</v>
      </c>
      <c r="P77" s="498">
        <v>2166381.1678789998</v>
      </c>
      <c r="Q77" s="602">
        <v>1969108.787799</v>
      </c>
      <c r="R77" s="602">
        <v>-0.20075324029237901</v>
      </c>
      <c r="S77" s="602">
        <v>-139389.85473600001</v>
      </c>
      <c r="T77" s="602">
        <v>0</v>
      </c>
      <c r="U77" s="602">
        <v>0</v>
      </c>
      <c r="V77" s="602">
        <v>0</v>
      </c>
      <c r="W77" s="602">
        <v>0</v>
      </c>
      <c r="X77" s="602">
        <v>0</v>
      </c>
      <c r="Y77" s="602">
        <v>0</v>
      </c>
      <c r="Z77" s="602">
        <v>0</v>
      </c>
      <c r="AA77" s="602">
        <v>0</v>
      </c>
      <c r="AB77" s="602">
        <v>0</v>
      </c>
      <c r="AC77" s="602">
        <v>0</v>
      </c>
      <c r="AD77" s="602">
        <v>0</v>
      </c>
      <c r="AE77" s="602">
        <v>0</v>
      </c>
      <c r="AF77" s="602">
        <v>0</v>
      </c>
      <c r="AG77" s="602">
        <v>0</v>
      </c>
      <c r="AH77" s="602">
        <v>0</v>
      </c>
      <c r="AI77" s="602">
        <v>0</v>
      </c>
      <c r="AJ77" s="498">
        <v>0</v>
      </c>
      <c r="AK77" s="498">
        <v>0</v>
      </c>
      <c r="AL77" s="602">
        <v>2.9193306416260199</v>
      </c>
      <c r="AM77" s="602">
        <v>2.6352133391418699</v>
      </c>
      <c r="AN77" s="498">
        <v>2026991.3126680001</v>
      </c>
      <c r="AO77" s="603">
        <v>1829718.9325880001</v>
      </c>
    </row>
    <row r="78" spans="1:41" ht="12" thickBot="1">
      <c r="A78" s="918"/>
      <c r="B78" s="918"/>
      <c r="C78" s="918"/>
      <c r="D78" s="918"/>
      <c r="E78" s="918"/>
      <c r="F78" s="917" t="s">
        <v>313</v>
      </c>
      <c r="G78" s="600" t="s">
        <v>314</v>
      </c>
      <c r="H78" s="601">
        <v>170182</v>
      </c>
      <c r="I78" s="602">
        <v>12031.73</v>
      </c>
      <c r="J78" s="602">
        <v>0.3</v>
      </c>
      <c r="K78" s="776">
        <v>12019.086851</v>
      </c>
      <c r="L78" s="776">
        <v>18.13</v>
      </c>
      <c r="M78" s="498">
        <v>0.30418697935049199</v>
      </c>
      <c r="N78" s="602">
        <v>3.1580076440294702</v>
      </c>
      <c r="O78" s="602">
        <v>2.8538206646746498</v>
      </c>
      <c r="P78" s="498">
        <v>188.22199000000001</v>
      </c>
      <c r="Q78" s="602">
        <v>170.09199000000001</v>
      </c>
      <c r="R78" s="602">
        <v>-0.225184352492522</v>
      </c>
      <c r="S78" s="602">
        <v>-13.421325</v>
      </c>
      <c r="T78" s="602">
        <v>0</v>
      </c>
      <c r="U78" s="602">
        <v>0</v>
      </c>
      <c r="V78" s="602">
        <v>0</v>
      </c>
      <c r="W78" s="602">
        <v>0</v>
      </c>
      <c r="X78" s="602">
        <v>0</v>
      </c>
      <c r="Y78" s="602">
        <v>0</v>
      </c>
      <c r="Z78" s="602">
        <v>0</v>
      </c>
      <c r="AA78" s="602">
        <v>0</v>
      </c>
      <c r="AB78" s="602">
        <v>0</v>
      </c>
      <c r="AC78" s="602">
        <v>0</v>
      </c>
      <c r="AD78" s="602">
        <v>0</v>
      </c>
      <c r="AE78" s="602">
        <v>0</v>
      </c>
      <c r="AF78" s="602">
        <v>0</v>
      </c>
      <c r="AG78" s="602">
        <v>0</v>
      </c>
      <c r="AH78" s="602">
        <v>0</v>
      </c>
      <c r="AI78" s="602">
        <v>0</v>
      </c>
      <c r="AJ78" s="498">
        <v>0</v>
      </c>
      <c r="AK78" s="498">
        <v>0</v>
      </c>
      <c r="AL78" s="602">
        <v>2.9328229727530299</v>
      </c>
      <c r="AM78" s="602">
        <v>2.6286359933982002</v>
      </c>
      <c r="AN78" s="498">
        <v>174.800646</v>
      </c>
      <c r="AO78" s="603">
        <v>156.670646</v>
      </c>
    </row>
    <row r="79" spans="1:41" ht="12" thickBot="1">
      <c r="A79" s="918"/>
      <c r="B79" s="918"/>
      <c r="C79" s="918"/>
      <c r="D79" s="918"/>
      <c r="E79" s="918"/>
      <c r="F79" s="919"/>
      <c r="G79" s="600" t="s">
        <v>315</v>
      </c>
      <c r="H79" s="601">
        <v>170283</v>
      </c>
      <c r="I79" s="602">
        <v>0</v>
      </c>
      <c r="J79" s="602">
        <v>0</v>
      </c>
      <c r="K79" s="776">
        <v>2048.285746</v>
      </c>
      <c r="L79" s="776">
        <v>3.09</v>
      </c>
      <c r="M79" s="498">
        <v>0.30421612227600098</v>
      </c>
      <c r="N79" s="602">
        <v>3.0035102200541099</v>
      </c>
      <c r="O79" s="602">
        <v>2.6992940977567801</v>
      </c>
      <c r="P79" s="498">
        <v>30.507411999999999</v>
      </c>
      <c r="Q79" s="602">
        <v>27.417411999999999</v>
      </c>
      <c r="R79" s="602">
        <v>-0.19734627840793501</v>
      </c>
      <c r="S79" s="602">
        <v>-2.0044960000000001</v>
      </c>
      <c r="T79" s="602">
        <v>0</v>
      </c>
      <c r="U79" s="602">
        <v>0</v>
      </c>
      <c r="V79" s="602">
        <v>0</v>
      </c>
      <c r="W79" s="602">
        <v>0</v>
      </c>
      <c r="X79" s="602">
        <v>0</v>
      </c>
      <c r="Y79" s="602">
        <v>0</v>
      </c>
      <c r="Z79" s="602">
        <v>0</v>
      </c>
      <c r="AA79" s="602">
        <v>0</v>
      </c>
      <c r="AB79" s="602">
        <v>0</v>
      </c>
      <c r="AC79" s="602">
        <v>0</v>
      </c>
      <c r="AD79" s="602">
        <v>0</v>
      </c>
      <c r="AE79" s="602">
        <v>0</v>
      </c>
      <c r="AF79" s="602">
        <v>0</v>
      </c>
      <c r="AG79" s="602">
        <v>0</v>
      </c>
      <c r="AH79" s="602">
        <v>0</v>
      </c>
      <c r="AI79" s="602">
        <v>0</v>
      </c>
      <c r="AJ79" s="498">
        <v>0</v>
      </c>
      <c r="AK79" s="498">
        <v>0</v>
      </c>
      <c r="AL79" s="602">
        <v>2.8061639416461799</v>
      </c>
      <c r="AM79" s="602">
        <v>2.5019478193488398</v>
      </c>
      <c r="AN79" s="498">
        <v>28.502915999999999</v>
      </c>
      <c r="AO79" s="603">
        <v>25.412915999999999</v>
      </c>
    </row>
    <row r="80" spans="1:41" ht="12" thickBot="1">
      <c r="A80" s="918"/>
      <c r="B80" s="918"/>
      <c r="C80" s="919"/>
      <c r="D80" s="919"/>
      <c r="E80" s="919"/>
      <c r="F80" s="600" t="s">
        <v>3512</v>
      </c>
      <c r="G80" s="600" t="s">
        <v>3512</v>
      </c>
      <c r="H80" s="601">
        <v>170147</v>
      </c>
      <c r="I80" s="602">
        <v>1213.8599999999999</v>
      </c>
      <c r="J80" s="602">
        <v>0.3</v>
      </c>
      <c r="K80" s="776">
        <v>49711.863758</v>
      </c>
      <c r="L80" s="776">
        <v>74.98</v>
      </c>
      <c r="M80" s="498">
        <v>0.30415830548418399</v>
      </c>
      <c r="N80" s="602">
        <v>3.5350355555710098</v>
      </c>
      <c r="O80" s="602">
        <v>3.2308772500801299</v>
      </c>
      <c r="P80" s="498">
        <v>871.44411700000001</v>
      </c>
      <c r="Q80" s="602">
        <v>796.46411699999999</v>
      </c>
      <c r="R80" s="602">
        <v>-0.28382825158045</v>
      </c>
      <c r="S80" s="602">
        <v>-69.968309000000005</v>
      </c>
      <c r="T80" s="602">
        <v>0</v>
      </c>
      <c r="U80" s="602">
        <v>0</v>
      </c>
      <c r="V80" s="602">
        <v>0</v>
      </c>
      <c r="W80" s="602">
        <v>0</v>
      </c>
      <c r="X80" s="602">
        <v>0</v>
      </c>
      <c r="Y80" s="602">
        <v>0</v>
      </c>
      <c r="Z80" s="602">
        <v>0</v>
      </c>
      <c r="AA80" s="602">
        <v>0</v>
      </c>
      <c r="AB80" s="602">
        <v>0</v>
      </c>
      <c r="AC80" s="602">
        <v>0</v>
      </c>
      <c r="AD80" s="602">
        <v>0</v>
      </c>
      <c r="AE80" s="602">
        <v>0</v>
      </c>
      <c r="AF80" s="602">
        <v>0</v>
      </c>
      <c r="AG80" s="602">
        <v>0</v>
      </c>
      <c r="AH80" s="602">
        <v>0</v>
      </c>
      <c r="AI80" s="602">
        <v>0</v>
      </c>
      <c r="AJ80" s="498">
        <v>0</v>
      </c>
      <c r="AK80" s="498">
        <v>0</v>
      </c>
      <c r="AL80" s="602">
        <v>3.2512075798343099</v>
      </c>
      <c r="AM80" s="602">
        <v>2.94704927434343</v>
      </c>
      <c r="AN80" s="498">
        <v>801.47587599999997</v>
      </c>
      <c r="AO80" s="603">
        <v>726.49587599999995</v>
      </c>
    </row>
    <row r="81" spans="1:41" ht="12" thickBot="1">
      <c r="A81" s="918"/>
      <c r="B81" s="918"/>
      <c r="C81" s="917" t="s">
        <v>324</v>
      </c>
      <c r="D81" s="600" t="s">
        <v>324</v>
      </c>
      <c r="E81" s="600" t="s">
        <v>324</v>
      </c>
      <c r="F81" s="600" t="s">
        <v>324</v>
      </c>
      <c r="G81" s="600" t="s">
        <v>324</v>
      </c>
      <c r="H81" s="601">
        <v>170280</v>
      </c>
      <c r="I81" s="602">
        <v>1120287373.8299999</v>
      </c>
      <c r="J81" s="602">
        <v>0.34998465701801001</v>
      </c>
      <c r="K81" s="776">
        <v>733760048.85701597</v>
      </c>
      <c r="L81" s="776">
        <v>1291127.83</v>
      </c>
      <c r="M81" s="498">
        <v>0.35483746666778399</v>
      </c>
      <c r="N81" s="602">
        <v>3.1865439799174702</v>
      </c>
      <c r="O81" s="602">
        <v>2.8317065132496801</v>
      </c>
      <c r="P81" s="498">
        <v>11594704.619628999</v>
      </c>
      <c r="Q81" s="602">
        <v>10303576.789628999</v>
      </c>
      <c r="R81" s="602">
        <v>0</v>
      </c>
      <c r="S81" s="602">
        <v>0</v>
      </c>
      <c r="T81" s="602">
        <v>0</v>
      </c>
      <c r="U81" s="602">
        <v>0</v>
      </c>
      <c r="V81" s="602">
        <v>0</v>
      </c>
      <c r="W81" s="602">
        <v>0</v>
      </c>
      <c r="X81" s="602">
        <v>0</v>
      </c>
      <c r="Y81" s="602">
        <v>0</v>
      </c>
      <c r="Z81" s="602">
        <v>0</v>
      </c>
      <c r="AA81" s="602">
        <v>0</v>
      </c>
      <c r="AB81" s="602">
        <v>0</v>
      </c>
      <c r="AC81" s="602">
        <v>0</v>
      </c>
      <c r="AD81" s="602">
        <v>0</v>
      </c>
      <c r="AE81" s="602">
        <v>0</v>
      </c>
      <c r="AF81" s="602">
        <v>0</v>
      </c>
      <c r="AG81" s="602">
        <v>0</v>
      </c>
      <c r="AH81" s="602">
        <v>0</v>
      </c>
      <c r="AI81" s="602">
        <v>0</v>
      </c>
      <c r="AJ81" s="498">
        <v>0</v>
      </c>
      <c r="AK81" s="498">
        <v>0</v>
      </c>
      <c r="AL81" s="602">
        <v>3.1865439799174702</v>
      </c>
      <c r="AM81" s="602">
        <v>2.8317065132496801</v>
      </c>
      <c r="AN81" s="498">
        <v>11594704.619628999</v>
      </c>
      <c r="AO81" s="603">
        <v>10303576.789628999</v>
      </c>
    </row>
    <row r="82" spans="1:41" ht="12" thickBot="1">
      <c r="A82" s="918"/>
      <c r="B82" s="918"/>
      <c r="C82" s="919"/>
      <c r="D82" s="600" t="s">
        <v>4181</v>
      </c>
      <c r="E82" s="600" t="s">
        <v>4181</v>
      </c>
      <c r="F82" s="600" t="s">
        <v>4181</v>
      </c>
      <c r="G82" s="600" t="s">
        <v>4181</v>
      </c>
      <c r="H82" s="601">
        <v>170296</v>
      </c>
      <c r="I82" s="602">
        <v>89688085.370000005</v>
      </c>
      <c r="J82" s="602">
        <v>0.35000000000003301</v>
      </c>
      <c r="K82" s="776">
        <v>10896157.980442001</v>
      </c>
      <c r="L82" s="776">
        <v>19174.21</v>
      </c>
      <c r="M82" s="498">
        <v>0.35486108640347402</v>
      </c>
      <c r="N82" s="602">
        <v>3.5444622778325399</v>
      </c>
      <c r="O82" s="602">
        <v>3.1896011914290701</v>
      </c>
      <c r="P82" s="498">
        <v>191517.93943100001</v>
      </c>
      <c r="Q82" s="602">
        <v>172343.72943100001</v>
      </c>
      <c r="R82" s="602">
        <v>0</v>
      </c>
      <c r="S82" s="602">
        <v>0</v>
      </c>
      <c r="T82" s="602">
        <v>0</v>
      </c>
      <c r="U82" s="602">
        <v>0</v>
      </c>
      <c r="V82" s="602">
        <v>0</v>
      </c>
      <c r="W82" s="602">
        <v>0</v>
      </c>
      <c r="X82" s="602">
        <v>0</v>
      </c>
      <c r="Y82" s="602">
        <v>0</v>
      </c>
      <c r="Z82" s="602">
        <v>0</v>
      </c>
      <c r="AA82" s="602">
        <v>0</v>
      </c>
      <c r="AB82" s="602">
        <v>0</v>
      </c>
      <c r="AC82" s="602">
        <v>0</v>
      </c>
      <c r="AD82" s="602">
        <v>0</v>
      </c>
      <c r="AE82" s="602">
        <v>0</v>
      </c>
      <c r="AF82" s="602">
        <v>0</v>
      </c>
      <c r="AG82" s="602">
        <v>0</v>
      </c>
      <c r="AH82" s="602">
        <v>0</v>
      </c>
      <c r="AI82" s="602">
        <v>0</v>
      </c>
      <c r="AJ82" s="498">
        <v>0</v>
      </c>
      <c r="AK82" s="498">
        <v>0</v>
      </c>
      <c r="AL82" s="602">
        <v>3.5444622778325399</v>
      </c>
      <c r="AM82" s="602">
        <v>3.1896011914290701</v>
      </c>
      <c r="AN82" s="498">
        <v>191517.93943100001</v>
      </c>
      <c r="AO82" s="603">
        <v>172343.72943100001</v>
      </c>
    </row>
    <row r="83" spans="1:41" ht="12" thickBot="1">
      <c r="A83" s="918"/>
      <c r="B83" s="918"/>
      <c r="C83" s="917" t="s">
        <v>316</v>
      </c>
      <c r="D83" s="917" t="s">
        <v>316</v>
      </c>
      <c r="E83" s="917" t="s">
        <v>317</v>
      </c>
      <c r="F83" s="600" t="s">
        <v>3512</v>
      </c>
      <c r="G83" s="600" t="s">
        <v>3512</v>
      </c>
      <c r="H83" s="601">
        <v>170214</v>
      </c>
      <c r="I83" s="602">
        <v>0</v>
      </c>
      <c r="J83" s="602">
        <v>0</v>
      </c>
      <c r="K83" s="776">
        <v>6353.5911599999999</v>
      </c>
      <c r="L83" s="776">
        <v>9.58</v>
      </c>
      <c r="M83" s="498">
        <v>0.30406086957579298</v>
      </c>
      <c r="N83" s="602">
        <v>1.9704043200000001</v>
      </c>
      <c r="O83" s="602">
        <v>1.66634345043478</v>
      </c>
      <c r="P83" s="498">
        <v>62.081232</v>
      </c>
      <c r="Q83" s="602">
        <v>52.501232000000002</v>
      </c>
      <c r="R83" s="602">
        <v>-5.5228880000000001E-2</v>
      </c>
      <c r="S83" s="602">
        <v>-1.7400880000000001</v>
      </c>
      <c r="T83" s="602">
        <v>0</v>
      </c>
      <c r="U83" s="602">
        <v>0</v>
      </c>
      <c r="V83" s="602">
        <v>0</v>
      </c>
      <c r="W83" s="602">
        <v>0</v>
      </c>
      <c r="X83" s="602">
        <v>0</v>
      </c>
      <c r="Y83" s="602">
        <v>0</v>
      </c>
      <c r="Z83" s="602">
        <v>0</v>
      </c>
      <c r="AA83" s="602">
        <v>0</v>
      </c>
      <c r="AB83" s="602">
        <v>0</v>
      </c>
      <c r="AC83" s="602">
        <v>0</v>
      </c>
      <c r="AD83" s="602">
        <v>0</v>
      </c>
      <c r="AE83" s="602">
        <v>0</v>
      </c>
      <c r="AF83" s="602">
        <v>0</v>
      </c>
      <c r="AG83" s="602">
        <v>0</v>
      </c>
      <c r="AH83" s="602">
        <v>0</v>
      </c>
      <c r="AI83" s="602">
        <v>0</v>
      </c>
      <c r="AJ83" s="498">
        <v>0</v>
      </c>
      <c r="AK83" s="498">
        <v>0</v>
      </c>
      <c r="AL83" s="602">
        <v>1.9151754400000001</v>
      </c>
      <c r="AM83" s="602">
        <v>1.61111457043478</v>
      </c>
      <c r="AN83" s="498">
        <v>60.341144</v>
      </c>
      <c r="AO83" s="603">
        <v>50.761144000000002</v>
      </c>
    </row>
    <row r="84" spans="1:41" ht="12" thickBot="1">
      <c r="A84" s="918"/>
      <c r="B84" s="918"/>
      <c r="C84" s="918"/>
      <c r="D84" s="918"/>
      <c r="E84" s="918"/>
      <c r="F84" s="917" t="s">
        <v>294</v>
      </c>
      <c r="G84" s="600" t="s">
        <v>295</v>
      </c>
      <c r="H84" s="601">
        <v>170185</v>
      </c>
      <c r="I84" s="602">
        <v>4332434.5</v>
      </c>
      <c r="J84" s="602">
        <v>1.0522417967311499</v>
      </c>
      <c r="K84" s="776">
        <v>20902549.105581</v>
      </c>
      <c r="L84" s="776">
        <v>77189.490000000005</v>
      </c>
      <c r="M84" s="498">
        <v>0.74468603339194495</v>
      </c>
      <c r="N84" s="602">
        <v>2.7938567848198299</v>
      </c>
      <c r="O84" s="602">
        <v>2.0491707514278499</v>
      </c>
      <c r="P84" s="498">
        <v>289593.69544099999</v>
      </c>
      <c r="Q84" s="602">
        <v>212404.205441</v>
      </c>
      <c r="R84" s="602">
        <v>-0.17203817953421899</v>
      </c>
      <c r="S84" s="602">
        <v>-17832.400157</v>
      </c>
      <c r="T84" s="602">
        <v>0</v>
      </c>
      <c r="U84" s="602">
        <v>0</v>
      </c>
      <c r="V84" s="602">
        <v>0</v>
      </c>
      <c r="W84" s="602">
        <v>0</v>
      </c>
      <c r="X84" s="602">
        <v>0</v>
      </c>
      <c r="Y84" s="602">
        <v>0</v>
      </c>
      <c r="Z84" s="602">
        <v>0</v>
      </c>
      <c r="AA84" s="602">
        <v>0</v>
      </c>
      <c r="AB84" s="602">
        <v>0</v>
      </c>
      <c r="AC84" s="602">
        <v>0</v>
      </c>
      <c r="AD84" s="602">
        <v>0</v>
      </c>
      <c r="AE84" s="602">
        <v>0</v>
      </c>
      <c r="AF84" s="602">
        <v>0</v>
      </c>
      <c r="AG84" s="602">
        <v>0</v>
      </c>
      <c r="AH84" s="602">
        <v>0</v>
      </c>
      <c r="AI84" s="602">
        <v>0</v>
      </c>
      <c r="AJ84" s="498">
        <v>0</v>
      </c>
      <c r="AK84" s="498">
        <v>0</v>
      </c>
      <c r="AL84" s="602">
        <v>2.62181860460064</v>
      </c>
      <c r="AM84" s="602">
        <v>1.87713257120866</v>
      </c>
      <c r="AN84" s="498">
        <v>271761.29521299998</v>
      </c>
      <c r="AO84" s="603">
        <v>194571.80521300001</v>
      </c>
    </row>
    <row r="85" spans="1:41" ht="12" thickBot="1">
      <c r="A85" s="918"/>
      <c r="B85" s="918"/>
      <c r="C85" s="918"/>
      <c r="D85" s="918"/>
      <c r="E85" s="918"/>
      <c r="F85" s="918"/>
      <c r="G85" s="600" t="s">
        <v>296</v>
      </c>
      <c r="H85" s="601">
        <v>170186</v>
      </c>
      <c r="I85" s="602">
        <v>0</v>
      </c>
      <c r="J85" s="602">
        <v>0</v>
      </c>
      <c r="K85" s="776">
        <v>0</v>
      </c>
      <c r="L85" s="776">
        <v>0</v>
      </c>
      <c r="M85" s="498">
        <v>0</v>
      </c>
      <c r="N85" s="602">
        <v>0</v>
      </c>
      <c r="O85" s="602">
        <v>0</v>
      </c>
      <c r="P85" s="498">
        <v>0</v>
      </c>
      <c r="Q85" s="602">
        <v>0</v>
      </c>
      <c r="R85" s="602">
        <v>0</v>
      </c>
      <c r="S85" s="602">
        <v>0</v>
      </c>
      <c r="T85" s="602">
        <v>0</v>
      </c>
      <c r="U85" s="602">
        <v>0</v>
      </c>
      <c r="V85" s="602">
        <v>0</v>
      </c>
      <c r="W85" s="602">
        <v>0</v>
      </c>
      <c r="X85" s="602">
        <v>0</v>
      </c>
      <c r="Y85" s="602">
        <v>0</v>
      </c>
      <c r="Z85" s="602">
        <v>0</v>
      </c>
      <c r="AA85" s="602">
        <v>0</v>
      </c>
      <c r="AB85" s="602">
        <v>0</v>
      </c>
      <c r="AC85" s="602">
        <v>0</v>
      </c>
      <c r="AD85" s="602">
        <v>0</v>
      </c>
      <c r="AE85" s="602">
        <v>0</v>
      </c>
      <c r="AF85" s="602">
        <v>0</v>
      </c>
      <c r="AG85" s="602">
        <v>0</v>
      </c>
      <c r="AH85" s="602">
        <v>0</v>
      </c>
      <c r="AI85" s="602">
        <v>0</v>
      </c>
      <c r="AJ85" s="498">
        <v>0</v>
      </c>
      <c r="AK85" s="498">
        <v>0</v>
      </c>
      <c r="AL85" s="602">
        <v>0</v>
      </c>
      <c r="AM85" s="602">
        <v>0</v>
      </c>
      <c r="AN85" s="498">
        <v>0</v>
      </c>
      <c r="AO85" s="603">
        <v>0</v>
      </c>
    </row>
    <row r="86" spans="1:41" ht="12" thickBot="1">
      <c r="A86" s="918"/>
      <c r="B86" s="918"/>
      <c r="C86" s="918"/>
      <c r="D86" s="918"/>
      <c r="E86" s="918"/>
      <c r="F86" s="918"/>
      <c r="G86" s="600" t="s">
        <v>297</v>
      </c>
      <c r="H86" s="601">
        <v>170187</v>
      </c>
      <c r="I86" s="602">
        <v>0</v>
      </c>
      <c r="J86" s="602">
        <v>0</v>
      </c>
      <c r="K86" s="776">
        <v>0</v>
      </c>
      <c r="L86" s="776">
        <v>0</v>
      </c>
      <c r="M86" s="498">
        <v>0</v>
      </c>
      <c r="N86" s="602">
        <v>0</v>
      </c>
      <c r="O86" s="602">
        <v>0</v>
      </c>
      <c r="P86" s="498">
        <v>0</v>
      </c>
      <c r="Q86" s="602">
        <v>0</v>
      </c>
      <c r="R86" s="602">
        <v>0</v>
      </c>
      <c r="S86" s="602">
        <v>0</v>
      </c>
      <c r="T86" s="602">
        <v>0</v>
      </c>
      <c r="U86" s="602">
        <v>0</v>
      </c>
      <c r="V86" s="602">
        <v>0</v>
      </c>
      <c r="W86" s="602">
        <v>0</v>
      </c>
      <c r="X86" s="602">
        <v>0</v>
      </c>
      <c r="Y86" s="602">
        <v>0</v>
      </c>
      <c r="Z86" s="602">
        <v>0</v>
      </c>
      <c r="AA86" s="602">
        <v>0</v>
      </c>
      <c r="AB86" s="602">
        <v>0</v>
      </c>
      <c r="AC86" s="602">
        <v>0</v>
      </c>
      <c r="AD86" s="602">
        <v>0</v>
      </c>
      <c r="AE86" s="602">
        <v>0</v>
      </c>
      <c r="AF86" s="602">
        <v>0</v>
      </c>
      <c r="AG86" s="602">
        <v>0</v>
      </c>
      <c r="AH86" s="602">
        <v>0</v>
      </c>
      <c r="AI86" s="602">
        <v>0</v>
      </c>
      <c r="AJ86" s="498">
        <v>0</v>
      </c>
      <c r="AK86" s="498">
        <v>0</v>
      </c>
      <c r="AL86" s="602">
        <v>0</v>
      </c>
      <c r="AM86" s="602">
        <v>0</v>
      </c>
      <c r="AN86" s="498">
        <v>0</v>
      </c>
      <c r="AO86" s="603">
        <v>0</v>
      </c>
    </row>
    <row r="87" spans="1:41" ht="12" thickBot="1">
      <c r="A87" s="918"/>
      <c r="B87" s="918"/>
      <c r="C87" s="918"/>
      <c r="D87" s="918"/>
      <c r="E87" s="918"/>
      <c r="F87" s="918"/>
      <c r="G87" s="600" t="s">
        <v>298</v>
      </c>
      <c r="H87" s="601">
        <v>170188</v>
      </c>
      <c r="I87" s="602">
        <v>45292150.329999998</v>
      </c>
      <c r="J87" s="602">
        <v>1.0995572956383399</v>
      </c>
      <c r="K87" s="776">
        <v>107962661.572099</v>
      </c>
      <c r="L87" s="776">
        <v>457677.63</v>
      </c>
      <c r="M87" s="498">
        <v>0.85487062252116697</v>
      </c>
      <c r="N87" s="602">
        <v>2.7638713305308298</v>
      </c>
      <c r="O87" s="602">
        <v>1.90900070800967</v>
      </c>
      <c r="P87" s="498">
        <v>1479711.7211160001</v>
      </c>
      <c r="Q87" s="602">
        <v>1022034.091116</v>
      </c>
      <c r="R87" s="602">
        <v>-0.168440658040756</v>
      </c>
      <c r="S87" s="602">
        <v>-90179.167627000003</v>
      </c>
      <c r="T87" s="602">
        <v>0</v>
      </c>
      <c r="U87" s="602">
        <v>0</v>
      </c>
      <c r="V87" s="602">
        <v>0</v>
      </c>
      <c r="W87" s="602">
        <v>0</v>
      </c>
      <c r="X87" s="602">
        <v>0</v>
      </c>
      <c r="Y87" s="602">
        <v>0</v>
      </c>
      <c r="Z87" s="602">
        <v>0</v>
      </c>
      <c r="AA87" s="602">
        <v>0</v>
      </c>
      <c r="AB87" s="602">
        <v>0</v>
      </c>
      <c r="AC87" s="602">
        <v>0</v>
      </c>
      <c r="AD87" s="602">
        <v>0</v>
      </c>
      <c r="AE87" s="602">
        <v>0</v>
      </c>
      <c r="AF87" s="602">
        <v>0</v>
      </c>
      <c r="AG87" s="602">
        <v>0</v>
      </c>
      <c r="AH87" s="602">
        <v>0</v>
      </c>
      <c r="AI87" s="602">
        <v>0</v>
      </c>
      <c r="AJ87" s="498">
        <v>0</v>
      </c>
      <c r="AK87" s="498">
        <v>0</v>
      </c>
      <c r="AL87" s="602">
        <v>2.59543067305977</v>
      </c>
      <c r="AM87" s="602">
        <v>1.7405600505386001</v>
      </c>
      <c r="AN87" s="498">
        <v>1389532.5537940001</v>
      </c>
      <c r="AO87" s="603">
        <v>931854.92379399994</v>
      </c>
    </row>
    <row r="88" spans="1:41" ht="12" thickBot="1">
      <c r="A88" s="918"/>
      <c r="B88" s="918"/>
      <c r="C88" s="918"/>
      <c r="D88" s="918"/>
      <c r="E88" s="918"/>
      <c r="F88" s="919"/>
      <c r="G88" s="600" t="s">
        <v>299</v>
      </c>
      <c r="H88" s="601">
        <v>170190</v>
      </c>
      <c r="I88" s="602">
        <v>180544674.18000001</v>
      </c>
      <c r="J88" s="602">
        <v>1.0879719176781999</v>
      </c>
      <c r="K88" s="776">
        <v>129916276.35304099</v>
      </c>
      <c r="L88" s="776">
        <v>569195.79</v>
      </c>
      <c r="M88" s="498">
        <v>0.88351190211569897</v>
      </c>
      <c r="N88" s="602">
        <v>2.9209550235072101</v>
      </c>
      <c r="O88" s="602">
        <v>2.0374431213915001</v>
      </c>
      <c r="P88" s="498">
        <v>1881802.9481869999</v>
      </c>
      <c r="Q88" s="602">
        <v>1312607.1581870001</v>
      </c>
      <c r="R88" s="602">
        <v>-0.19220853282830599</v>
      </c>
      <c r="S88" s="602">
        <v>-123828.878169</v>
      </c>
      <c r="T88" s="602">
        <v>0</v>
      </c>
      <c r="U88" s="602">
        <v>0</v>
      </c>
      <c r="V88" s="602">
        <v>0</v>
      </c>
      <c r="W88" s="602">
        <v>0</v>
      </c>
      <c r="X88" s="602">
        <v>0</v>
      </c>
      <c r="Y88" s="602">
        <v>0</v>
      </c>
      <c r="Z88" s="602">
        <v>0</v>
      </c>
      <c r="AA88" s="602">
        <v>0</v>
      </c>
      <c r="AB88" s="602">
        <v>0</v>
      </c>
      <c r="AC88" s="602">
        <v>0</v>
      </c>
      <c r="AD88" s="602">
        <v>0</v>
      </c>
      <c r="AE88" s="602">
        <v>0</v>
      </c>
      <c r="AF88" s="602">
        <v>0</v>
      </c>
      <c r="AG88" s="602">
        <v>0</v>
      </c>
      <c r="AH88" s="602">
        <v>0</v>
      </c>
      <c r="AI88" s="602">
        <v>0</v>
      </c>
      <c r="AJ88" s="498">
        <v>0</v>
      </c>
      <c r="AK88" s="498">
        <v>0</v>
      </c>
      <c r="AL88" s="602">
        <v>2.72874649100177</v>
      </c>
      <c r="AM88" s="602">
        <v>1.84523458888605</v>
      </c>
      <c r="AN88" s="498">
        <v>1757974.0702259999</v>
      </c>
      <c r="AO88" s="603">
        <v>1188778.2802259999</v>
      </c>
    </row>
    <row r="89" spans="1:41" ht="12" thickBot="1">
      <c r="A89" s="918"/>
      <c r="B89" s="918"/>
      <c r="C89" s="918"/>
      <c r="D89" s="918"/>
      <c r="E89" s="918"/>
      <c r="F89" s="600" t="s">
        <v>300</v>
      </c>
      <c r="G89" s="600" t="s">
        <v>302</v>
      </c>
      <c r="H89" s="601">
        <v>170197</v>
      </c>
      <c r="I89" s="602">
        <v>0</v>
      </c>
      <c r="J89" s="602">
        <v>0</v>
      </c>
      <c r="K89" s="776">
        <v>0</v>
      </c>
      <c r="L89" s="776">
        <v>0</v>
      </c>
      <c r="M89" s="498">
        <v>0</v>
      </c>
      <c r="N89" s="602">
        <v>0</v>
      </c>
      <c r="O89" s="602">
        <v>0</v>
      </c>
      <c r="P89" s="498">
        <v>0</v>
      </c>
      <c r="Q89" s="602">
        <v>0</v>
      </c>
      <c r="R89" s="602">
        <v>0</v>
      </c>
      <c r="S89" s="602">
        <v>0</v>
      </c>
      <c r="T89" s="602">
        <v>0</v>
      </c>
      <c r="U89" s="602">
        <v>0</v>
      </c>
      <c r="V89" s="602">
        <v>0</v>
      </c>
      <c r="W89" s="602">
        <v>0</v>
      </c>
      <c r="X89" s="602">
        <v>0</v>
      </c>
      <c r="Y89" s="602">
        <v>0</v>
      </c>
      <c r="Z89" s="602">
        <v>0</v>
      </c>
      <c r="AA89" s="602">
        <v>0</v>
      </c>
      <c r="AB89" s="602">
        <v>0</v>
      </c>
      <c r="AC89" s="602">
        <v>0</v>
      </c>
      <c r="AD89" s="602">
        <v>0</v>
      </c>
      <c r="AE89" s="602">
        <v>0</v>
      </c>
      <c r="AF89" s="602">
        <v>0</v>
      </c>
      <c r="AG89" s="602">
        <v>0</v>
      </c>
      <c r="AH89" s="602">
        <v>0</v>
      </c>
      <c r="AI89" s="602">
        <v>0</v>
      </c>
      <c r="AJ89" s="498">
        <v>0</v>
      </c>
      <c r="AK89" s="498">
        <v>0</v>
      </c>
      <c r="AL89" s="602">
        <v>0</v>
      </c>
      <c r="AM89" s="602">
        <v>0</v>
      </c>
      <c r="AN89" s="498">
        <v>0</v>
      </c>
      <c r="AO89" s="603">
        <v>0</v>
      </c>
    </row>
    <row r="90" spans="1:41" ht="12" thickBot="1">
      <c r="A90" s="918"/>
      <c r="B90" s="918"/>
      <c r="C90" s="918"/>
      <c r="D90" s="918"/>
      <c r="E90" s="918"/>
      <c r="F90" s="917" t="s">
        <v>303</v>
      </c>
      <c r="G90" s="600" t="s">
        <v>2641</v>
      </c>
      <c r="H90" s="601">
        <v>170200</v>
      </c>
      <c r="I90" s="602">
        <v>0</v>
      </c>
      <c r="J90" s="602">
        <v>0</v>
      </c>
      <c r="K90" s="776">
        <v>13541298.342541</v>
      </c>
      <c r="L90" s="776">
        <v>67628.97</v>
      </c>
      <c r="M90" s="498">
        <v>1.0071328369322701</v>
      </c>
      <c r="N90" s="602">
        <v>2.9998605398957601</v>
      </c>
      <c r="O90" s="602">
        <v>1.99272770296351</v>
      </c>
      <c r="P90" s="498">
        <v>201440.63525399999</v>
      </c>
      <c r="Q90" s="602">
        <v>133811.66525399999</v>
      </c>
      <c r="R90" s="602">
        <v>-0.200053678704393</v>
      </c>
      <c r="S90" s="602">
        <v>-13433.604525000001</v>
      </c>
      <c r="T90" s="602">
        <v>0</v>
      </c>
      <c r="U90" s="602">
        <v>0</v>
      </c>
      <c r="V90" s="602">
        <v>0</v>
      </c>
      <c r="W90" s="602">
        <v>0</v>
      </c>
      <c r="X90" s="602">
        <v>0</v>
      </c>
      <c r="Y90" s="602">
        <v>0</v>
      </c>
      <c r="Z90" s="602">
        <v>0</v>
      </c>
      <c r="AA90" s="602">
        <v>0</v>
      </c>
      <c r="AB90" s="602">
        <v>0</v>
      </c>
      <c r="AC90" s="602">
        <v>0</v>
      </c>
      <c r="AD90" s="602">
        <v>0</v>
      </c>
      <c r="AE90" s="602">
        <v>0</v>
      </c>
      <c r="AF90" s="602">
        <v>0</v>
      </c>
      <c r="AG90" s="602">
        <v>0</v>
      </c>
      <c r="AH90" s="602">
        <v>0</v>
      </c>
      <c r="AI90" s="602">
        <v>0</v>
      </c>
      <c r="AJ90" s="498">
        <v>0</v>
      </c>
      <c r="AK90" s="498">
        <v>0</v>
      </c>
      <c r="AL90" s="602">
        <v>2.7998068641102001</v>
      </c>
      <c r="AM90" s="602">
        <v>1.79267402717796</v>
      </c>
      <c r="AN90" s="498">
        <v>188007.030925</v>
      </c>
      <c r="AO90" s="603">
        <v>120378.060925</v>
      </c>
    </row>
    <row r="91" spans="1:41" ht="12" thickBot="1">
      <c r="A91" s="918"/>
      <c r="B91" s="918"/>
      <c r="C91" s="918"/>
      <c r="D91" s="918"/>
      <c r="E91" s="918"/>
      <c r="F91" s="919"/>
      <c r="G91" s="600" t="s">
        <v>305</v>
      </c>
      <c r="H91" s="601">
        <v>170204</v>
      </c>
      <c r="I91" s="602">
        <v>130220</v>
      </c>
      <c r="J91" s="602">
        <v>0.35</v>
      </c>
      <c r="K91" s="776">
        <v>2411214.4751380002</v>
      </c>
      <c r="L91" s="776">
        <v>727.23000000000104</v>
      </c>
      <c r="M91" s="498">
        <v>6.0820534673824998E-2</v>
      </c>
      <c r="N91" s="602">
        <v>2.5361218974072401</v>
      </c>
      <c r="O91" s="602">
        <v>2.4753013627334202</v>
      </c>
      <c r="P91" s="498">
        <v>30324.362279000001</v>
      </c>
      <c r="Q91" s="602">
        <v>29597.132279000001</v>
      </c>
      <c r="R91" s="602">
        <v>-0.133951985326071</v>
      </c>
      <c r="S91" s="602">
        <v>-1601.6613930000001</v>
      </c>
      <c r="T91" s="602">
        <v>0</v>
      </c>
      <c r="U91" s="602">
        <v>0</v>
      </c>
      <c r="V91" s="602">
        <v>0</v>
      </c>
      <c r="W91" s="602">
        <v>0</v>
      </c>
      <c r="X91" s="602">
        <v>0</v>
      </c>
      <c r="Y91" s="602">
        <v>0</v>
      </c>
      <c r="Z91" s="602">
        <v>0</v>
      </c>
      <c r="AA91" s="602">
        <v>0</v>
      </c>
      <c r="AB91" s="602">
        <v>0</v>
      </c>
      <c r="AC91" s="602">
        <v>0</v>
      </c>
      <c r="AD91" s="602">
        <v>0</v>
      </c>
      <c r="AE91" s="602">
        <v>0</v>
      </c>
      <c r="AF91" s="602">
        <v>0</v>
      </c>
      <c r="AG91" s="602">
        <v>0</v>
      </c>
      <c r="AH91" s="602">
        <v>0</v>
      </c>
      <c r="AI91" s="602">
        <v>0</v>
      </c>
      <c r="AJ91" s="498">
        <v>0</v>
      </c>
      <c r="AK91" s="498">
        <v>0</v>
      </c>
      <c r="AL91" s="602">
        <v>2.4021699108266699</v>
      </c>
      <c r="AM91" s="602">
        <v>2.3413493761528499</v>
      </c>
      <c r="AN91" s="498">
        <v>28722.700871000001</v>
      </c>
      <c r="AO91" s="603">
        <v>27995.470871000001</v>
      </c>
    </row>
    <row r="92" spans="1:41" ht="12" thickBot="1">
      <c r="A92" s="918"/>
      <c r="B92" s="918"/>
      <c r="C92" s="918"/>
      <c r="D92" s="918"/>
      <c r="E92" s="918"/>
      <c r="F92" s="600" t="s">
        <v>318</v>
      </c>
      <c r="G92" s="600" t="s">
        <v>307</v>
      </c>
      <c r="H92" s="601">
        <v>170206</v>
      </c>
      <c r="I92" s="602">
        <v>175000</v>
      </c>
      <c r="J92" s="602">
        <v>1.1000000000000001</v>
      </c>
      <c r="K92" s="776">
        <v>177546.96132599999</v>
      </c>
      <c r="L92" s="776">
        <v>321.07</v>
      </c>
      <c r="M92" s="498">
        <v>0.36467061862079297</v>
      </c>
      <c r="N92" s="602">
        <v>2.90900419895133</v>
      </c>
      <c r="O92" s="602">
        <v>2.5443335803304699</v>
      </c>
      <c r="P92" s="498">
        <v>2561.198875</v>
      </c>
      <c r="Q92" s="602">
        <v>2240.1288749999999</v>
      </c>
      <c r="R92" s="602">
        <v>-0.192208267410381</v>
      </c>
      <c r="S92" s="602">
        <v>-169.227531</v>
      </c>
      <c r="T92" s="602">
        <v>0</v>
      </c>
      <c r="U92" s="602">
        <v>0</v>
      </c>
      <c r="V92" s="602">
        <v>0</v>
      </c>
      <c r="W92" s="602">
        <v>0</v>
      </c>
      <c r="X92" s="602">
        <v>0</v>
      </c>
      <c r="Y92" s="602">
        <v>0</v>
      </c>
      <c r="Z92" s="602">
        <v>0</v>
      </c>
      <c r="AA92" s="602">
        <v>0</v>
      </c>
      <c r="AB92" s="602">
        <v>0</v>
      </c>
      <c r="AC92" s="602">
        <v>0</v>
      </c>
      <c r="AD92" s="602">
        <v>0</v>
      </c>
      <c r="AE92" s="602">
        <v>0</v>
      </c>
      <c r="AF92" s="602">
        <v>0</v>
      </c>
      <c r="AG92" s="602">
        <v>0</v>
      </c>
      <c r="AH92" s="602">
        <v>0</v>
      </c>
      <c r="AI92" s="602">
        <v>0</v>
      </c>
      <c r="AJ92" s="498">
        <v>0</v>
      </c>
      <c r="AK92" s="498">
        <v>0</v>
      </c>
      <c r="AL92" s="602">
        <v>2.7167958883806298</v>
      </c>
      <c r="AM92" s="602">
        <v>2.3521252697597701</v>
      </c>
      <c r="AN92" s="498">
        <v>2391.9713059999999</v>
      </c>
      <c r="AO92" s="603">
        <v>2070.9013060000002</v>
      </c>
    </row>
    <row r="93" spans="1:41" ht="12" thickBot="1">
      <c r="A93" s="918"/>
      <c r="B93" s="918"/>
      <c r="C93" s="918"/>
      <c r="D93" s="918"/>
      <c r="E93" s="918"/>
      <c r="F93" s="600" t="s">
        <v>308</v>
      </c>
      <c r="G93" s="600" t="s">
        <v>308</v>
      </c>
      <c r="H93" s="601">
        <v>170209</v>
      </c>
      <c r="I93" s="602">
        <v>37016039.030000001</v>
      </c>
      <c r="J93" s="602">
        <v>0.55322683834173103</v>
      </c>
      <c r="K93" s="776">
        <v>125086608.50298201</v>
      </c>
      <c r="L93" s="776">
        <v>613028.57999999996</v>
      </c>
      <c r="M93" s="498">
        <v>0.98828952954357296</v>
      </c>
      <c r="N93" s="602">
        <v>2.9353316687166302</v>
      </c>
      <c r="O93" s="602">
        <v>1.9470421391730699</v>
      </c>
      <c r="P93" s="498">
        <v>1820764.210194</v>
      </c>
      <c r="Q93" s="602">
        <v>1207735.630194</v>
      </c>
      <c r="R93" s="602">
        <v>-0.19481393691078699</v>
      </c>
      <c r="S93" s="602">
        <v>-120841.62336899999</v>
      </c>
      <c r="T93" s="602">
        <v>0</v>
      </c>
      <c r="U93" s="602">
        <v>0</v>
      </c>
      <c r="V93" s="602">
        <v>0</v>
      </c>
      <c r="W93" s="602">
        <v>0</v>
      </c>
      <c r="X93" s="602">
        <v>0</v>
      </c>
      <c r="Y93" s="602">
        <v>0</v>
      </c>
      <c r="Z93" s="602">
        <v>0</v>
      </c>
      <c r="AA93" s="602">
        <v>0</v>
      </c>
      <c r="AB93" s="602">
        <v>0</v>
      </c>
      <c r="AC93" s="602">
        <v>0</v>
      </c>
      <c r="AD93" s="602">
        <v>0</v>
      </c>
      <c r="AE93" s="602">
        <v>0</v>
      </c>
      <c r="AF93" s="602">
        <v>0</v>
      </c>
      <c r="AG93" s="602">
        <v>0</v>
      </c>
      <c r="AH93" s="602">
        <v>0</v>
      </c>
      <c r="AI93" s="602">
        <v>0</v>
      </c>
      <c r="AJ93" s="498">
        <v>0</v>
      </c>
      <c r="AK93" s="498">
        <v>0</v>
      </c>
      <c r="AL93" s="602">
        <v>2.7405177285251301</v>
      </c>
      <c r="AM93" s="602">
        <v>1.75222819898157</v>
      </c>
      <c r="AN93" s="498">
        <v>1699922.58479</v>
      </c>
      <c r="AO93" s="603">
        <v>1086894.0047899999</v>
      </c>
    </row>
    <row r="94" spans="1:41" ht="12" thickBot="1">
      <c r="A94" s="918"/>
      <c r="B94" s="918"/>
      <c r="C94" s="918"/>
      <c r="D94" s="918"/>
      <c r="E94" s="919"/>
      <c r="F94" s="600" t="s">
        <v>312</v>
      </c>
      <c r="G94" s="600" t="s">
        <v>312</v>
      </c>
      <c r="H94" s="601">
        <v>170213</v>
      </c>
      <c r="I94" s="602">
        <v>22204.85</v>
      </c>
      <c r="J94" s="602">
        <v>0.370368523092928</v>
      </c>
      <c r="K94" s="776">
        <v>346641.66093999997</v>
      </c>
      <c r="L94" s="776">
        <v>1598.92</v>
      </c>
      <c r="M94" s="498">
        <v>0.93016558590232101</v>
      </c>
      <c r="N94" s="602">
        <v>2.8480575289386598</v>
      </c>
      <c r="O94" s="602">
        <v>1.91789194303427</v>
      </c>
      <c r="P94" s="498">
        <v>4895.7048219999997</v>
      </c>
      <c r="Q94" s="602">
        <v>3296.7848220000001</v>
      </c>
      <c r="R94" s="602">
        <v>-0.17954257574555399</v>
      </c>
      <c r="S94" s="602">
        <v>-308.62700100000001</v>
      </c>
      <c r="T94" s="602">
        <v>0</v>
      </c>
      <c r="U94" s="602">
        <v>0</v>
      </c>
      <c r="V94" s="602">
        <v>0</v>
      </c>
      <c r="W94" s="602">
        <v>0</v>
      </c>
      <c r="X94" s="602">
        <v>0</v>
      </c>
      <c r="Y94" s="602">
        <v>0</v>
      </c>
      <c r="Z94" s="602">
        <v>0</v>
      </c>
      <c r="AA94" s="602">
        <v>0</v>
      </c>
      <c r="AB94" s="602">
        <v>0</v>
      </c>
      <c r="AC94" s="602">
        <v>0</v>
      </c>
      <c r="AD94" s="602">
        <v>0</v>
      </c>
      <c r="AE94" s="602">
        <v>0</v>
      </c>
      <c r="AF94" s="602">
        <v>0</v>
      </c>
      <c r="AG94" s="602">
        <v>0</v>
      </c>
      <c r="AH94" s="602">
        <v>0</v>
      </c>
      <c r="AI94" s="602">
        <v>0</v>
      </c>
      <c r="AJ94" s="498">
        <v>0</v>
      </c>
      <c r="AK94" s="498">
        <v>0</v>
      </c>
      <c r="AL94" s="602">
        <v>2.6685147024605098</v>
      </c>
      <c r="AM94" s="602">
        <v>1.73834911655611</v>
      </c>
      <c r="AN94" s="498">
        <v>4587.0773900000004</v>
      </c>
      <c r="AO94" s="603">
        <v>2988.1573899999999</v>
      </c>
    </row>
    <row r="95" spans="1:41" ht="12" thickBot="1">
      <c r="A95" s="918"/>
      <c r="B95" s="918"/>
      <c r="C95" s="918"/>
      <c r="D95" s="918"/>
      <c r="E95" s="917" t="s">
        <v>319</v>
      </c>
      <c r="F95" s="600" t="s">
        <v>3512</v>
      </c>
      <c r="G95" s="600" t="s">
        <v>3512</v>
      </c>
      <c r="H95" s="601">
        <v>170245</v>
      </c>
      <c r="I95" s="602">
        <v>0</v>
      </c>
      <c r="J95" s="602">
        <v>0</v>
      </c>
      <c r="K95" s="776">
        <v>119337.01657399999</v>
      </c>
      <c r="L95" s="776">
        <v>210</v>
      </c>
      <c r="M95" s="498">
        <v>0.35486111111285301</v>
      </c>
      <c r="N95" s="602">
        <v>2.97341754722222</v>
      </c>
      <c r="O95" s="602">
        <v>2.6185564361111102</v>
      </c>
      <c r="P95" s="498">
        <v>1759.61148</v>
      </c>
      <c r="Q95" s="602">
        <v>1549.61148</v>
      </c>
      <c r="R95" s="602">
        <v>-0.20758523333333301</v>
      </c>
      <c r="S95" s="602">
        <v>-122.84496</v>
      </c>
      <c r="T95" s="602">
        <v>0</v>
      </c>
      <c r="U95" s="602">
        <v>0</v>
      </c>
      <c r="V95" s="602">
        <v>0</v>
      </c>
      <c r="W95" s="602">
        <v>0</v>
      </c>
      <c r="X95" s="602">
        <v>0</v>
      </c>
      <c r="Y95" s="602">
        <v>0</v>
      </c>
      <c r="Z95" s="602">
        <v>0</v>
      </c>
      <c r="AA95" s="602">
        <v>0</v>
      </c>
      <c r="AB95" s="602">
        <v>0</v>
      </c>
      <c r="AC95" s="602">
        <v>0</v>
      </c>
      <c r="AD95" s="602">
        <v>0</v>
      </c>
      <c r="AE95" s="602">
        <v>0</v>
      </c>
      <c r="AF95" s="602">
        <v>0</v>
      </c>
      <c r="AG95" s="602">
        <v>0</v>
      </c>
      <c r="AH95" s="602">
        <v>0</v>
      </c>
      <c r="AI95" s="602">
        <v>0</v>
      </c>
      <c r="AJ95" s="498">
        <v>0</v>
      </c>
      <c r="AK95" s="498">
        <v>0</v>
      </c>
      <c r="AL95" s="602">
        <v>2.7658323561342599</v>
      </c>
      <c r="AM95" s="602">
        <v>2.4109712450231502</v>
      </c>
      <c r="AN95" s="498">
        <v>1636.766545</v>
      </c>
      <c r="AO95" s="603">
        <v>1426.766545</v>
      </c>
    </row>
    <row r="96" spans="1:41" ht="12" thickBot="1">
      <c r="A96" s="918"/>
      <c r="B96" s="918"/>
      <c r="C96" s="918"/>
      <c r="D96" s="918"/>
      <c r="E96" s="918"/>
      <c r="F96" s="917" t="s">
        <v>294</v>
      </c>
      <c r="G96" s="600" t="s">
        <v>295</v>
      </c>
      <c r="H96" s="601">
        <v>170216</v>
      </c>
      <c r="I96" s="602">
        <v>80524452.079999998</v>
      </c>
      <c r="J96" s="602">
        <v>1.29934576968686</v>
      </c>
      <c r="K96" s="776">
        <v>76409920.546633005</v>
      </c>
      <c r="L96" s="776">
        <v>494834.07</v>
      </c>
      <c r="M96" s="498">
        <v>1.3059427395419301</v>
      </c>
      <c r="N96" s="602">
        <v>3.12733613747272</v>
      </c>
      <c r="O96" s="602">
        <v>1.82139339793074</v>
      </c>
      <c r="P96" s="498">
        <v>1184977.2752720001</v>
      </c>
      <c r="Q96" s="602">
        <v>690143.20527200005</v>
      </c>
      <c r="R96" s="602">
        <v>-0.222893660665717</v>
      </c>
      <c r="S96" s="602">
        <v>-84456.518609000006</v>
      </c>
      <c r="T96" s="602">
        <v>0</v>
      </c>
      <c r="U96" s="602">
        <v>0</v>
      </c>
      <c r="V96" s="602">
        <v>0</v>
      </c>
      <c r="W96" s="602">
        <v>0</v>
      </c>
      <c r="X96" s="602">
        <v>0</v>
      </c>
      <c r="Y96" s="602">
        <v>0</v>
      </c>
      <c r="Z96" s="602">
        <v>0</v>
      </c>
      <c r="AA96" s="602">
        <v>0</v>
      </c>
      <c r="AB96" s="602">
        <v>0</v>
      </c>
      <c r="AC96" s="602">
        <v>0</v>
      </c>
      <c r="AD96" s="602">
        <v>0</v>
      </c>
      <c r="AE96" s="602">
        <v>0</v>
      </c>
      <c r="AF96" s="602">
        <v>0</v>
      </c>
      <c r="AG96" s="602">
        <v>0</v>
      </c>
      <c r="AH96" s="602">
        <v>0</v>
      </c>
      <c r="AI96" s="602">
        <v>0</v>
      </c>
      <c r="AJ96" s="498">
        <v>0</v>
      </c>
      <c r="AK96" s="498">
        <v>0</v>
      </c>
      <c r="AL96" s="602">
        <v>2.9044424778573901</v>
      </c>
      <c r="AM96" s="602">
        <v>1.59849973831541</v>
      </c>
      <c r="AN96" s="498">
        <v>1100520.757061</v>
      </c>
      <c r="AO96" s="603">
        <v>605686.68706100003</v>
      </c>
    </row>
    <row r="97" spans="1:41" ht="12" thickBot="1">
      <c r="A97" s="918"/>
      <c r="B97" s="918"/>
      <c r="C97" s="918"/>
      <c r="D97" s="918"/>
      <c r="E97" s="918"/>
      <c r="F97" s="918"/>
      <c r="G97" s="600" t="s">
        <v>296</v>
      </c>
      <c r="H97" s="601">
        <v>170217</v>
      </c>
      <c r="I97" s="602">
        <v>800000</v>
      </c>
      <c r="J97" s="602">
        <v>1.3</v>
      </c>
      <c r="K97" s="776">
        <v>1294475.13812</v>
      </c>
      <c r="L97" s="776">
        <v>8275.73</v>
      </c>
      <c r="M97" s="498">
        <v>1.2892195689302699</v>
      </c>
      <c r="N97" s="602">
        <v>3.1293324813230901</v>
      </c>
      <c r="O97" s="602">
        <v>1.84011291239437</v>
      </c>
      <c r="P97" s="498">
        <v>20087.742475999999</v>
      </c>
      <c r="Q97" s="602">
        <v>11812.012476</v>
      </c>
      <c r="R97" s="602">
        <v>-0.221147700815194</v>
      </c>
      <c r="S97" s="602">
        <v>-1419.586474</v>
      </c>
      <c r="T97" s="602">
        <v>0</v>
      </c>
      <c r="U97" s="602">
        <v>0</v>
      </c>
      <c r="V97" s="602">
        <v>0</v>
      </c>
      <c r="W97" s="602">
        <v>0</v>
      </c>
      <c r="X97" s="602">
        <v>0</v>
      </c>
      <c r="Y97" s="602">
        <v>0</v>
      </c>
      <c r="Z97" s="602">
        <v>0</v>
      </c>
      <c r="AA97" s="602">
        <v>0</v>
      </c>
      <c r="AB97" s="602">
        <v>0</v>
      </c>
      <c r="AC97" s="602">
        <v>0</v>
      </c>
      <c r="AD97" s="602">
        <v>0</v>
      </c>
      <c r="AE97" s="602">
        <v>0</v>
      </c>
      <c r="AF97" s="602">
        <v>0</v>
      </c>
      <c r="AG97" s="602">
        <v>0</v>
      </c>
      <c r="AH97" s="602">
        <v>0</v>
      </c>
      <c r="AI97" s="602">
        <v>0</v>
      </c>
      <c r="AJ97" s="498">
        <v>0</v>
      </c>
      <c r="AK97" s="498">
        <v>0</v>
      </c>
      <c r="AL97" s="602">
        <v>2.9081847892317501</v>
      </c>
      <c r="AM97" s="602">
        <v>1.61896522030303</v>
      </c>
      <c r="AN97" s="498">
        <v>18668.156058</v>
      </c>
      <c r="AO97" s="603">
        <v>10392.426057999999</v>
      </c>
    </row>
    <row r="98" spans="1:41" ht="12" thickBot="1">
      <c r="A98" s="918"/>
      <c r="B98" s="918"/>
      <c r="C98" s="918"/>
      <c r="D98" s="918"/>
      <c r="E98" s="918"/>
      <c r="F98" s="918"/>
      <c r="G98" s="600" t="s">
        <v>297</v>
      </c>
      <c r="H98" s="601">
        <v>170218</v>
      </c>
      <c r="I98" s="602">
        <v>0</v>
      </c>
      <c r="J98" s="602">
        <v>0</v>
      </c>
      <c r="K98" s="776">
        <v>0</v>
      </c>
      <c r="L98" s="776">
        <v>0</v>
      </c>
      <c r="M98" s="498">
        <v>0</v>
      </c>
      <c r="N98" s="602">
        <v>0</v>
      </c>
      <c r="O98" s="602">
        <v>0</v>
      </c>
      <c r="P98" s="498">
        <v>0</v>
      </c>
      <c r="Q98" s="602">
        <v>0</v>
      </c>
      <c r="R98" s="602">
        <v>0</v>
      </c>
      <c r="S98" s="602">
        <v>0</v>
      </c>
      <c r="T98" s="602">
        <v>0</v>
      </c>
      <c r="U98" s="602">
        <v>0</v>
      </c>
      <c r="V98" s="602">
        <v>0</v>
      </c>
      <c r="W98" s="602">
        <v>0</v>
      </c>
      <c r="X98" s="602">
        <v>0</v>
      </c>
      <c r="Y98" s="602">
        <v>0</v>
      </c>
      <c r="Z98" s="602">
        <v>0</v>
      </c>
      <c r="AA98" s="602">
        <v>0</v>
      </c>
      <c r="AB98" s="602">
        <v>0</v>
      </c>
      <c r="AC98" s="602">
        <v>0</v>
      </c>
      <c r="AD98" s="602">
        <v>0</v>
      </c>
      <c r="AE98" s="602">
        <v>0</v>
      </c>
      <c r="AF98" s="602">
        <v>0</v>
      </c>
      <c r="AG98" s="602">
        <v>0</v>
      </c>
      <c r="AH98" s="602">
        <v>0</v>
      </c>
      <c r="AI98" s="602">
        <v>0</v>
      </c>
      <c r="AJ98" s="498">
        <v>0</v>
      </c>
      <c r="AK98" s="498">
        <v>0</v>
      </c>
      <c r="AL98" s="602">
        <v>0</v>
      </c>
      <c r="AM98" s="602">
        <v>0</v>
      </c>
      <c r="AN98" s="498">
        <v>0</v>
      </c>
      <c r="AO98" s="603">
        <v>0</v>
      </c>
    </row>
    <row r="99" spans="1:41" ht="12" thickBot="1">
      <c r="A99" s="918"/>
      <c r="B99" s="918"/>
      <c r="C99" s="918"/>
      <c r="D99" s="918"/>
      <c r="E99" s="918"/>
      <c r="F99" s="918"/>
      <c r="G99" s="600" t="s">
        <v>298</v>
      </c>
      <c r="H99" s="601">
        <v>170219</v>
      </c>
      <c r="I99" s="602">
        <v>115393104.55</v>
      </c>
      <c r="J99" s="602">
        <v>1.2934138178969701</v>
      </c>
      <c r="K99" s="776">
        <v>170526098.19674399</v>
      </c>
      <c r="L99" s="776">
        <v>1033937.59</v>
      </c>
      <c r="M99" s="498">
        <v>1.2226939390365299</v>
      </c>
      <c r="N99" s="602">
        <v>3.1127808450204801</v>
      </c>
      <c r="O99" s="602">
        <v>1.89008690598393</v>
      </c>
      <c r="P99" s="498">
        <v>2632237.7353360001</v>
      </c>
      <c r="Q99" s="602">
        <v>1598300.145336</v>
      </c>
      <c r="R99" s="602">
        <v>-0.22064783129518101</v>
      </c>
      <c r="S99" s="602">
        <v>-186584.78597500001</v>
      </c>
      <c r="T99" s="602">
        <v>0</v>
      </c>
      <c r="U99" s="602">
        <v>0</v>
      </c>
      <c r="V99" s="602">
        <v>0</v>
      </c>
      <c r="W99" s="602">
        <v>0</v>
      </c>
      <c r="X99" s="602">
        <v>0</v>
      </c>
      <c r="Y99" s="602">
        <v>0</v>
      </c>
      <c r="Z99" s="602">
        <v>0</v>
      </c>
      <c r="AA99" s="602">
        <v>0</v>
      </c>
      <c r="AB99" s="602">
        <v>0</v>
      </c>
      <c r="AC99" s="602">
        <v>0</v>
      </c>
      <c r="AD99" s="602">
        <v>0</v>
      </c>
      <c r="AE99" s="602">
        <v>0</v>
      </c>
      <c r="AF99" s="602">
        <v>0</v>
      </c>
      <c r="AG99" s="602">
        <v>0</v>
      </c>
      <c r="AH99" s="602">
        <v>0</v>
      </c>
      <c r="AI99" s="602">
        <v>0</v>
      </c>
      <c r="AJ99" s="498">
        <v>0</v>
      </c>
      <c r="AK99" s="498">
        <v>0</v>
      </c>
      <c r="AL99" s="602">
        <v>2.8921330142125199</v>
      </c>
      <c r="AM99" s="602">
        <v>1.66943907517596</v>
      </c>
      <c r="AN99" s="498">
        <v>2445652.9497730001</v>
      </c>
      <c r="AO99" s="603">
        <v>1411715.359773</v>
      </c>
    </row>
    <row r="100" spans="1:41" ht="12" thickBot="1">
      <c r="A100" s="918"/>
      <c r="B100" s="918"/>
      <c r="C100" s="918"/>
      <c r="D100" s="918"/>
      <c r="E100" s="918"/>
      <c r="F100" s="919"/>
      <c r="G100" s="600" t="s">
        <v>299</v>
      </c>
      <c r="H100" s="601">
        <v>170221</v>
      </c>
      <c r="I100" s="602">
        <v>648407605.22000003</v>
      </c>
      <c r="J100" s="602">
        <v>1.27112451436925</v>
      </c>
      <c r="K100" s="776">
        <v>746296119.10513699</v>
      </c>
      <c r="L100" s="776">
        <v>4724653.6399999997</v>
      </c>
      <c r="M100" s="498">
        <v>1.27665362480752</v>
      </c>
      <c r="N100" s="602">
        <v>3.0999409398467201</v>
      </c>
      <c r="O100" s="602">
        <v>1.8232873150391999</v>
      </c>
      <c r="P100" s="498">
        <v>11472295.194744</v>
      </c>
      <c r="Q100" s="602">
        <v>6747641.5547439903</v>
      </c>
      <c r="R100" s="602">
        <v>-0.21876930410034601</v>
      </c>
      <c r="S100" s="602">
        <v>-809623.82345000096</v>
      </c>
      <c r="T100" s="602">
        <v>0</v>
      </c>
      <c r="U100" s="602">
        <v>0</v>
      </c>
      <c r="V100" s="602">
        <v>0</v>
      </c>
      <c r="W100" s="602">
        <v>0</v>
      </c>
      <c r="X100" s="602">
        <v>0</v>
      </c>
      <c r="Y100" s="602">
        <v>0</v>
      </c>
      <c r="Z100" s="602">
        <v>0</v>
      </c>
      <c r="AA100" s="602">
        <v>0</v>
      </c>
      <c r="AB100" s="602">
        <v>0</v>
      </c>
      <c r="AC100" s="602">
        <v>0</v>
      </c>
      <c r="AD100" s="602">
        <v>0</v>
      </c>
      <c r="AE100" s="602">
        <v>0</v>
      </c>
      <c r="AF100" s="602">
        <v>0</v>
      </c>
      <c r="AG100" s="602">
        <v>0</v>
      </c>
      <c r="AH100" s="602">
        <v>0</v>
      </c>
      <c r="AI100" s="602">
        <v>0</v>
      </c>
      <c r="AJ100" s="498">
        <v>0</v>
      </c>
      <c r="AK100" s="498">
        <v>0</v>
      </c>
      <c r="AL100" s="602">
        <v>2.8811716357958201</v>
      </c>
      <c r="AM100" s="602">
        <v>1.6045180109882999</v>
      </c>
      <c r="AN100" s="498">
        <v>10662671.371477</v>
      </c>
      <c r="AO100" s="603">
        <v>5938017.7314769998</v>
      </c>
    </row>
    <row r="101" spans="1:41" ht="12" thickBot="1">
      <c r="A101" s="918"/>
      <c r="B101" s="918"/>
      <c r="C101" s="918"/>
      <c r="D101" s="918"/>
      <c r="E101" s="918"/>
      <c r="F101" s="600" t="s">
        <v>300</v>
      </c>
      <c r="G101" s="600" t="s">
        <v>302</v>
      </c>
      <c r="H101" s="601">
        <v>170228</v>
      </c>
      <c r="I101" s="602">
        <v>0</v>
      </c>
      <c r="J101" s="602">
        <v>0</v>
      </c>
      <c r="K101" s="776">
        <v>0</v>
      </c>
      <c r="L101" s="776">
        <v>0</v>
      </c>
      <c r="M101" s="498">
        <v>0</v>
      </c>
      <c r="N101" s="602">
        <v>0</v>
      </c>
      <c r="O101" s="602">
        <v>0</v>
      </c>
      <c r="P101" s="498">
        <v>0</v>
      </c>
      <c r="Q101" s="602">
        <v>0</v>
      </c>
      <c r="R101" s="602">
        <v>0</v>
      </c>
      <c r="S101" s="602">
        <v>0</v>
      </c>
      <c r="T101" s="602">
        <v>0</v>
      </c>
      <c r="U101" s="602">
        <v>0</v>
      </c>
      <c r="V101" s="602">
        <v>0</v>
      </c>
      <c r="W101" s="602">
        <v>0</v>
      </c>
      <c r="X101" s="602">
        <v>0</v>
      </c>
      <c r="Y101" s="602">
        <v>0</v>
      </c>
      <c r="Z101" s="602">
        <v>0</v>
      </c>
      <c r="AA101" s="602">
        <v>0</v>
      </c>
      <c r="AB101" s="602">
        <v>0</v>
      </c>
      <c r="AC101" s="602">
        <v>0</v>
      </c>
      <c r="AD101" s="602">
        <v>0</v>
      </c>
      <c r="AE101" s="602">
        <v>0</v>
      </c>
      <c r="AF101" s="602">
        <v>0</v>
      </c>
      <c r="AG101" s="602">
        <v>0</v>
      </c>
      <c r="AH101" s="602">
        <v>0</v>
      </c>
      <c r="AI101" s="602">
        <v>0</v>
      </c>
      <c r="AJ101" s="498">
        <v>0</v>
      </c>
      <c r="AK101" s="498">
        <v>0</v>
      </c>
      <c r="AL101" s="602">
        <v>0</v>
      </c>
      <c r="AM101" s="602">
        <v>0</v>
      </c>
      <c r="AN101" s="498">
        <v>0</v>
      </c>
      <c r="AO101" s="603">
        <v>0</v>
      </c>
    </row>
    <row r="102" spans="1:41" ht="12" thickBot="1">
      <c r="A102" s="918"/>
      <c r="B102" s="918"/>
      <c r="C102" s="918"/>
      <c r="D102" s="918"/>
      <c r="E102" s="918"/>
      <c r="F102" s="917" t="s">
        <v>303</v>
      </c>
      <c r="G102" s="600" t="s">
        <v>2642</v>
      </c>
      <c r="H102" s="601">
        <v>170230</v>
      </c>
      <c r="I102" s="602">
        <v>170000</v>
      </c>
      <c r="J102" s="602">
        <v>0.35</v>
      </c>
      <c r="K102" s="776">
        <v>170000</v>
      </c>
      <c r="L102" s="776">
        <v>256.42</v>
      </c>
      <c r="M102" s="498">
        <v>0.30417062073448198</v>
      </c>
      <c r="N102" s="602">
        <v>2.2152348200682499</v>
      </c>
      <c r="O102" s="602">
        <v>1.91106419933377</v>
      </c>
      <c r="P102" s="498">
        <v>1867.473299</v>
      </c>
      <c r="Q102" s="602">
        <v>1611.0532989999999</v>
      </c>
      <c r="R102" s="602">
        <v>-8.8112457864802998E-2</v>
      </c>
      <c r="S102" s="602">
        <v>-74.280009000000007</v>
      </c>
      <c r="T102" s="602">
        <v>0</v>
      </c>
      <c r="U102" s="602">
        <v>0</v>
      </c>
      <c r="V102" s="602">
        <v>0</v>
      </c>
      <c r="W102" s="602">
        <v>0</v>
      </c>
      <c r="X102" s="602">
        <v>0</v>
      </c>
      <c r="Y102" s="602">
        <v>0</v>
      </c>
      <c r="Z102" s="602">
        <v>0</v>
      </c>
      <c r="AA102" s="602">
        <v>0</v>
      </c>
      <c r="AB102" s="602">
        <v>0</v>
      </c>
      <c r="AC102" s="602">
        <v>0</v>
      </c>
      <c r="AD102" s="602">
        <v>0</v>
      </c>
      <c r="AE102" s="602">
        <v>0</v>
      </c>
      <c r="AF102" s="602">
        <v>0</v>
      </c>
      <c r="AG102" s="602">
        <v>0</v>
      </c>
      <c r="AH102" s="602">
        <v>0</v>
      </c>
      <c r="AI102" s="602">
        <v>0</v>
      </c>
      <c r="AJ102" s="498">
        <v>0</v>
      </c>
      <c r="AK102" s="498">
        <v>0</v>
      </c>
      <c r="AL102" s="602">
        <v>2.1271223610172201</v>
      </c>
      <c r="AM102" s="602">
        <v>1.82295174028274</v>
      </c>
      <c r="AN102" s="498">
        <v>1793.193289</v>
      </c>
      <c r="AO102" s="603">
        <v>1536.773289</v>
      </c>
    </row>
    <row r="103" spans="1:41" ht="12" thickBot="1">
      <c r="A103" s="918"/>
      <c r="B103" s="918"/>
      <c r="C103" s="918"/>
      <c r="D103" s="918"/>
      <c r="E103" s="918"/>
      <c r="F103" s="918"/>
      <c r="G103" s="600" t="s">
        <v>2641</v>
      </c>
      <c r="H103" s="601">
        <v>170231</v>
      </c>
      <c r="I103" s="602">
        <v>0</v>
      </c>
      <c r="J103" s="602">
        <v>0</v>
      </c>
      <c r="K103" s="776">
        <v>11494143.646408999</v>
      </c>
      <c r="L103" s="776">
        <v>72494.850000000006</v>
      </c>
      <c r="M103" s="498">
        <v>1.2718761536021099</v>
      </c>
      <c r="N103" s="602">
        <v>3.1331624125257198</v>
      </c>
      <c r="O103" s="602">
        <v>1.8612862589235899</v>
      </c>
      <c r="P103" s="498">
        <v>178585.10711000001</v>
      </c>
      <c r="Q103" s="602">
        <v>106090.25711000001</v>
      </c>
      <c r="R103" s="602">
        <v>-0.22178540129371699</v>
      </c>
      <c r="S103" s="602">
        <v>-12641.403295</v>
      </c>
      <c r="T103" s="602">
        <v>0</v>
      </c>
      <c r="U103" s="602">
        <v>0</v>
      </c>
      <c r="V103" s="602">
        <v>0</v>
      </c>
      <c r="W103" s="602">
        <v>0</v>
      </c>
      <c r="X103" s="602">
        <v>0</v>
      </c>
      <c r="Y103" s="602">
        <v>0</v>
      </c>
      <c r="Z103" s="602">
        <v>0</v>
      </c>
      <c r="AA103" s="602">
        <v>0</v>
      </c>
      <c r="AB103" s="602">
        <v>0</v>
      </c>
      <c r="AC103" s="602">
        <v>0</v>
      </c>
      <c r="AD103" s="602">
        <v>0</v>
      </c>
      <c r="AE103" s="602">
        <v>0</v>
      </c>
      <c r="AF103" s="602">
        <v>0</v>
      </c>
      <c r="AG103" s="602">
        <v>0</v>
      </c>
      <c r="AH103" s="602">
        <v>0</v>
      </c>
      <c r="AI103" s="602">
        <v>0</v>
      </c>
      <c r="AJ103" s="498">
        <v>0</v>
      </c>
      <c r="AK103" s="498">
        <v>0</v>
      </c>
      <c r="AL103" s="602">
        <v>2.91137701267064</v>
      </c>
      <c r="AM103" s="602">
        <v>1.6395008590685101</v>
      </c>
      <c r="AN103" s="498">
        <v>165943.703897</v>
      </c>
      <c r="AO103" s="603">
        <v>93448.853896999994</v>
      </c>
    </row>
    <row r="104" spans="1:41" ht="12" thickBot="1">
      <c r="A104" s="918"/>
      <c r="B104" s="918"/>
      <c r="C104" s="918"/>
      <c r="D104" s="918"/>
      <c r="E104" s="918"/>
      <c r="F104" s="919"/>
      <c r="G104" s="600" t="s">
        <v>305</v>
      </c>
      <c r="H104" s="601">
        <v>170235</v>
      </c>
      <c r="I104" s="602">
        <v>7266306.2199999997</v>
      </c>
      <c r="J104" s="602">
        <v>1.20313084974831</v>
      </c>
      <c r="K104" s="776">
        <v>23830883.693147998</v>
      </c>
      <c r="L104" s="776">
        <v>135213.20000000001</v>
      </c>
      <c r="M104" s="498">
        <v>1.14417705307684</v>
      </c>
      <c r="N104" s="602">
        <v>3.0950329076522198</v>
      </c>
      <c r="O104" s="602">
        <v>1.95085585457543</v>
      </c>
      <c r="P104" s="498">
        <v>365755.72148000001</v>
      </c>
      <c r="Q104" s="602">
        <v>230542.52148</v>
      </c>
      <c r="R104" s="602">
        <v>-0.21583079501445901</v>
      </c>
      <c r="S104" s="602">
        <v>-25505.818679</v>
      </c>
      <c r="T104" s="602">
        <v>0</v>
      </c>
      <c r="U104" s="602">
        <v>0</v>
      </c>
      <c r="V104" s="602">
        <v>0</v>
      </c>
      <c r="W104" s="602">
        <v>0</v>
      </c>
      <c r="X104" s="602">
        <v>0</v>
      </c>
      <c r="Y104" s="602">
        <v>0</v>
      </c>
      <c r="Z104" s="602">
        <v>0</v>
      </c>
      <c r="AA104" s="602">
        <v>0</v>
      </c>
      <c r="AB104" s="602">
        <v>0</v>
      </c>
      <c r="AC104" s="602">
        <v>0</v>
      </c>
      <c r="AD104" s="602">
        <v>0</v>
      </c>
      <c r="AE104" s="602">
        <v>0</v>
      </c>
      <c r="AF104" s="602">
        <v>0</v>
      </c>
      <c r="AG104" s="602">
        <v>0</v>
      </c>
      <c r="AH104" s="602">
        <v>0</v>
      </c>
      <c r="AI104" s="602">
        <v>0</v>
      </c>
      <c r="AJ104" s="498">
        <v>0</v>
      </c>
      <c r="AK104" s="498">
        <v>0</v>
      </c>
      <c r="AL104" s="602">
        <v>2.8792021129000802</v>
      </c>
      <c r="AM104" s="602">
        <v>1.7350250598232899</v>
      </c>
      <c r="AN104" s="498">
        <v>340249.90283199999</v>
      </c>
      <c r="AO104" s="603">
        <v>205036.70283200001</v>
      </c>
    </row>
    <row r="105" spans="1:41" ht="12" thickBot="1">
      <c r="A105" s="918"/>
      <c r="B105" s="918"/>
      <c r="C105" s="918"/>
      <c r="D105" s="918"/>
      <c r="E105" s="918"/>
      <c r="F105" s="600" t="s">
        <v>318</v>
      </c>
      <c r="G105" s="600" t="s">
        <v>307</v>
      </c>
      <c r="H105" s="601">
        <v>170237</v>
      </c>
      <c r="I105" s="602">
        <v>12874245</v>
      </c>
      <c r="J105" s="602">
        <v>1.0357211393755501</v>
      </c>
      <c r="K105" s="776">
        <v>13075272.403315</v>
      </c>
      <c r="L105" s="776">
        <v>69411.77</v>
      </c>
      <c r="M105" s="498">
        <v>1.0705246285383601</v>
      </c>
      <c r="N105" s="602">
        <v>2.93862808310063</v>
      </c>
      <c r="O105" s="602">
        <v>1.8681034545622599</v>
      </c>
      <c r="P105" s="498">
        <v>190537.771091</v>
      </c>
      <c r="Q105" s="602">
        <v>121126.001091</v>
      </c>
      <c r="R105" s="602">
        <v>-0.19408319669543</v>
      </c>
      <c r="S105" s="602">
        <v>-12584.164671</v>
      </c>
      <c r="T105" s="602">
        <v>0</v>
      </c>
      <c r="U105" s="602">
        <v>0</v>
      </c>
      <c r="V105" s="602">
        <v>0</v>
      </c>
      <c r="W105" s="602">
        <v>0</v>
      </c>
      <c r="X105" s="602">
        <v>0</v>
      </c>
      <c r="Y105" s="602">
        <v>0</v>
      </c>
      <c r="Z105" s="602">
        <v>0</v>
      </c>
      <c r="AA105" s="602">
        <v>0</v>
      </c>
      <c r="AB105" s="602">
        <v>0</v>
      </c>
      <c r="AC105" s="602">
        <v>0</v>
      </c>
      <c r="AD105" s="602">
        <v>0</v>
      </c>
      <c r="AE105" s="602">
        <v>0</v>
      </c>
      <c r="AF105" s="602">
        <v>0</v>
      </c>
      <c r="AG105" s="602">
        <v>0</v>
      </c>
      <c r="AH105" s="602">
        <v>0</v>
      </c>
      <c r="AI105" s="602">
        <v>0</v>
      </c>
      <c r="AJ105" s="498">
        <v>0</v>
      </c>
      <c r="AK105" s="498">
        <v>0</v>
      </c>
      <c r="AL105" s="602">
        <v>2.74454488780867</v>
      </c>
      <c r="AM105" s="602">
        <v>1.6740202592703</v>
      </c>
      <c r="AN105" s="498">
        <v>177953.60651099999</v>
      </c>
      <c r="AO105" s="603">
        <v>108541.836511</v>
      </c>
    </row>
    <row r="106" spans="1:41" ht="12" thickBot="1">
      <c r="A106" s="918"/>
      <c r="B106" s="918"/>
      <c r="C106" s="918"/>
      <c r="D106" s="918"/>
      <c r="E106" s="918"/>
      <c r="F106" s="600" t="s">
        <v>308</v>
      </c>
      <c r="G106" s="600" t="s">
        <v>308</v>
      </c>
      <c r="H106" s="601">
        <v>170240</v>
      </c>
      <c r="I106" s="602">
        <v>1291695860.3800001</v>
      </c>
      <c r="J106" s="602">
        <v>1.74002790381963</v>
      </c>
      <c r="K106" s="776">
        <v>519075095.64872801</v>
      </c>
      <c r="L106" s="776">
        <v>3687734.95</v>
      </c>
      <c r="M106" s="498">
        <v>1.43266217953208</v>
      </c>
      <c r="N106" s="602">
        <v>2.8439160133524299</v>
      </c>
      <c r="O106" s="602">
        <v>1.41125383382035</v>
      </c>
      <c r="P106" s="498">
        <v>7320363.884199</v>
      </c>
      <c r="Q106" s="602">
        <v>3632628.9341989998</v>
      </c>
      <c r="R106" s="602">
        <v>-0.19064657795782999</v>
      </c>
      <c r="S106" s="602">
        <v>-490732.60862000001</v>
      </c>
      <c r="T106" s="602">
        <v>0</v>
      </c>
      <c r="U106" s="602">
        <v>0</v>
      </c>
      <c r="V106" s="602">
        <v>0</v>
      </c>
      <c r="W106" s="602">
        <v>0</v>
      </c>
      <c r="X106" s="602">
        <v>0</v>
      </c>
      <c r="Y106" s="602">
        <v>0</v>
      </c>
      <c r="Z106" s="602">
        <v>0</v>
      </c>
      <c r="AA106" s="602">
        <v>0</v>
      </c>
      <c r="AB106" s="602">
        <v>0</v>
      </c>
      <c r="AC106" s="602">
        <v>0</v>
      </c>
      <c r="AD106" s="602">
        <v>0</v>
      </c>
      <c r="AE106" s="602">
        <v>0</v>
      </c>
      <c r="AF106" s="602">
        <v>0</v>
      </c>
      <c r="AG106" s="602">
        <v>0</v>
      </c>
      <c r="AH106" s="602">
        <v>0</v>
      </c>
      <c r="AI106" s="602">
        <v>0</v>
      </c>
      <c r="AJ106" s="498">
        <v>0</v>
      </c>
      <c r="AK106" s="498">
        <v>0</v>
      </c>
      <c r="AL106" s="602">
        <v>2.6532694353736201</v>
      </c>
      <c r="AM106" s="602">
        <v>1.2206072558415499</v>
      </c>
      <c r="AN106" s="498">
        <v>6829631.2755249999</v>
      </c>
      <c r="AO106" s="603">
        <v>3141896.3255250002</v>
      </c>
    </row>
    <row r="107" spans="1:41" ht="12" thickBot="1">
      <c r="A107" s="918"/>
      <c r="B107" s="918"/>
      <c r="C107" s="918"/>
      <c r="D107" s="918"/>
      <c r="E107" s="918"/>
      <c r="F107" s="600" t="s">
        <v>312</v>
      </c>
      <c r="G107" s="600" t="s">
        <v>312</v>
      </c>
      <c r="H107" s="601">
        <v>170244</v>
      </c>
      <c r="I107" s="602">
        <v>15714663.74</v>
      </c>
      <c r="J107" s="602">
        <v>1.6617048090269899</v>
      </c>
      <c r="K107" s="776">
        <v>10292914.100225</v>
      </c>
      <c r="L107" s="776">
        <v>80240.960000000006</v>
      </c>
      <c r="M107" s="498">
        <v>1.57207064090282</v>
      </c>
      <c r="N107" s="602">
        <v>3.0658530395094101</v>
      </c>
      <c r="O107" s="602">
        <v>1.4937823986059799</v>
      </c>
      <c r="P107" s="498">
        <v>156485.96488499999</v>
      </c>
      <c r="Q107" s="602">
        <v>76245.004885000002</v>
      </c>
      <c r="R107" s="602">
        <v>-0.21511518062278701</v>
      </c>
      <c r="S107" s="602">
        <v>-10979.817417</v>
      </c>
      <c r="T107" s="602">
        <v>0</v>
      </c>
      <c r="U107" s="602">
        <v>0</v>
      </c>
      <c r="V107" s="602">
        <v>0</v>
      </c>
      <c r="W107" s="602">
        <v>0</v>
      </c>
      <c r="X107" s="602">
        <v>0</v>
      </c>
      <c r="Y107" s="602">
        <v>0</v>
      </c>
      <c r="Z107" s="602">
        <v>0</v>
      </c>
      <c r="AA107" s="602">
        <v>0</v>
      </c>
      <c r="AB107" s="602">
        <v>0</v>
      </c>
      <c r="AC107" s="602">
        <v>0</v>
      </c>
      <c r="AD107" s="602">
        <v>0</v>
      </c>
      <c r="AE107" s="602">
        <v>0</v>
      </c>
      <c r="AF107" s="602">
        <v>0</v>
      </c>
      <c r="AG107" s="602">
        <v>0</v>
      </c>
      <c r="AH107" s="602">
        <v>0</v>
      </c>
      <c r="AI107" s="602">
        <v>0</v>
      </c>
      <c r="AJ107" s="498">
        <v>0</v>
      </c>
      <c r="AK107" s="498">
        <v>0</v>
      </c>
      <c r="AL107" s="602">
        <v>2.8507378615511199</v>
      </c>
      <c r="AM107" s="602">
        <v>1.2786672206476899</v>
      </c>
      <c r="AN107" s="498">
        <v>145506.147604</v>
      </c>
      <c r="AO107" s="603">
        <v>65265.187603999999</v>
      </c>
    </row>
    <row r="108" spans="1:41" ht="12" thickBot="1">
      <c r="A108" s="918"/>
      <c r="B108" s="918"/>
      <c r="C108" s="918"/>
      <c r="D108" s="918"/>
      <c r="E108" s="919"/>
      <c r="F108" s="600" t="s">
        <v>313</v>
      </c>
      <c r="G108" s="600" t="s">
        <v>314</v>
      </c>
      <c r="H108" s="601">
        <v>170294</v>
      </c>
      <c r="I108" s="602">
        <v>0</v>
      </c>
      <c r="J108" s="602">
        <v>0</v>
      </c>
      <c r="K108" s="776">
        <v>9519.2762430000002</v>
      </c>
      <c r="L108" s="776">
        <v>62.33</v>
      </c>
      <c r="M108" s="498">
        <v>1.32040599215807</v>
      </c>
      <c r="N108" s="602">
        <v>3.2073796170492099</v>
      </c>
      <c r="O108" s="602">
        <v>1.88697362490416</v>
      </c>
      <c r="P108" s="498">
        <v>151.40492599999999</v>
      </c>
      <c r="Q108" s="602">
        <v>89.074926000000005</v>
      </c>
      <c r="R108" s="602">
        <v>-0.23190447414348</v>
      </c>
      <c r="S108" s="602">
        <v>-10.947092</v>
      </c>
      <c r="T108" s="602">
        <v>0</v>
      </c>
      <c r="U108" s="602">
        <v>0</v>
      </c>
      <c r="V108" s="602">
        <v>0</v>
      </c>
      <c r="W108" s="602">
        <v>0</v>
      </c>
      <c r="X108" s="602">
        <v>0</v>
      </c>
      <c r="Y108" s="602">
        <v>0</v>
      </c>
      <c r="Z108" s="602">
        <v>0</v>
      </c>
      <c r="AA108" s="602">
        <v>0</v>
      </c>
      <c r="AB108" s="602">
        <v>0</v>
      </c>
      <c r="AC108" s="602">
        <v>0</v>
      </c>
      <c r="AD108" s="602">
        <v>0</v>
      </c>
      <c r="AE108" s="602">
        <v>0</v>
      </c>
      <c r="AF108" s="602">
        <v>0</v>
      </c>
      <c r="AG108" s="602">
        <v>0</v>
      </c>
      <c r="AH108" s="602">
        <v>0</v>
      </c>
      <c r="AI108" s="602">
        <v>0</v>
      </c>
      <c r="AJ108" s="498">
        <v>0</v>
      </c>
      <c r="AK108" s="498">
        <v>0</v>
      </c>
      <c r="AL108" s="602">
        <v>2.9754753335627799</v>
      </c>
      <c r="AM108" s="602">
        <v>1.65506934141773</v>
      </c>
      <c r="AN108" s="498">
        <v>140.457843</v>
      </c>
      <c r="AO108" s="603">
        <v>78.127842999999999</v>
      </c>
    </row>
    <row r="109" spans="1:41" ht="12" thickBot="1">
      <c r="A109" s="918"/>
      <c r="B109" s="918"/>
      <c r="C109" s="918"/>
      <c r="D109" s="918"/>
      <c r="E109" s="917" t="s">
        <v>321</v>
      </c>
      <c r="F109" s="917" t="s">
        <v>294</v>
      </c>
      <c r="G109" s="600" t="s">
        <v>295</v>
      </c>
      <c r="H109" s="601">
        <v>170247</v>
      </c>
      <c r="I109" s="602">
        <v>92205000</v>
      </c>
      <c r="J109" s="602">
        <v>1.6952171791117601</v>
      </c>
      <c r="K109" s="776">
        <v>57045204.551932998</v>
      </c>
      <c r="L109" s="776">
        <v>443759.51</v>
      </c>
      <c r="M109" s="498">
        <v>1.56871056389205</v>
      </c>
      <c r="N109" s="602">
        <v>3.4754576643776902</v>
      </c>
      <c r="O109" s="602">
        <v>1.90674710048566</v>
      </c>
      <c r="P109" s="498">
        <v>983143.36989199999</v>
      </c>
      <c r="Q109" s="602">
        <v>539383.85989199998</v>
      </c>
      <c r="R109" s="602">
        <v>-0.27527303771095502</v>
      </c>
      <c r="S109" s="602">
        <v>-77869.704675000001</v>
      </c>
      <c r="T109" s="602">
        <v>0</v>
      </c>
      <c r="U109" s="602">
        <v>0</v>
      </c>
      <c r="V109" s="602">
        <v>0</v>
      </c>
      <c r="W109" s="602">
        <v>0</v>
      </c>
      <c r="X109" s="602">
        <v>0</v>
      </c>
      <c r="Y109" s="602">
        <v>0</v>
      </c>
      <c r="Z109" s="602">
        <v>0</v>
      </c>
      <c r="AA109" s="602">
        <v>0</v>
      </c>
      <c r="AB109" s="602">
        <v>0</v>
      </c>
      <c r="AC109" s="602">
        <v>0</v>
      </c>
      <c r="AD109" s="602">
        <v>0</v>
      </c>
      <c r="AE109" s="602">
        <v>0</v>
      </c>
      <c r="AF109" s="602">
        <v>0</v>
      </c>
      <c r="AG109" s="602">
        <v>0</v>
      </c>
      <c r="AH109" s="602">
        <v>0</v>
      </c>
      <c r="AI109" s="602">
        <v>0</v>
      </c>
      <c r="AJ109" s="498">
        <v>0</v>
      </c>
      <c r="AK109" s="498">
        <v>0</v>
      </c>
      <c r="AL109" s="602">
        <v>3.2001846261647602</v>
      </c>
      <c r="AM109" s="602">
        <v>1.63147406227273</v>
      </c>
      <c r="AN109" s="498">
        <v>905273.66507500003</v>
      </c>
      <c r="AO109" s="603">
        <v>461514.15507500002</v>
      </c>
    </row>
    <row r="110" spans="1:41" ht="12" thickBot="1">
      <c r="A110" s="918"/>
      <c r="B110" s="918"/>
      <c r="C110" s="918"/>
      <c r="D110" s="918"/>
      <c r="E110" s="918"/>
      <c r="F110" s="918"/>
      <c r="G110" s="600" t="s">
        <v>296</v>
      </c>
      <c r="H110" s="601">
        <v>170248</v>
      </c>
      <c r="I110" s="602">
        <v>5148.54</v>
      </c>
      <c r="J110" s="602">
        <v>0.35</v>
      </c>
      <c r="K110" s="776">
        <v>73504.740441999995</v>
      </c>
      <c r="L110" s="776">
        <v>539.4</v>
      </c>
      <c r="M110" s="498">
        <v>1.4798233759494901</v>
      </c>
      <c r="N110" s="602">
        <v>3.4220782346324699</v>
      </c>
      <c r="O110" s="602">
        <v>1.9422548586827599</v>
      </c>
      <c r="P110" s="498">
        <v>1247.3576439999999</v>
      </c>
      <c r="Q110" s="602">
        <v>707.95764399999996</v>
      </c>
      <c r="R110" s="602">
        <v>-0.26490655424349402</v>
      </c>
      <c r="S110" s="602">
        <v>-96.559223000000003</v>
      </c>
      <c r="T110" s="602">
        <v>0</v>
      </c>
      <c r="U110" s="602">
        <v>0</v>
      </c>
      <c r="V110" s="602">
        <v>0</v>
      </c>
      <c r="W110" s="602">
        <v>0</v>
      </c>
      <c r="X110" s="602">
        <v>0</v>
      </c>
      <c r="Y110" s="602">
        <v>0</v>
      </c>
      <c r="Z110" s="602">
        <v>0</v>
      </c>
      <c r="AA110" s="602">
        <v>0</v>
      </c>
      <c r="AB110" s="602">
        <v>0</v>
      </c>
      <c r="AC110" s="602">
        <v>0</v>
      </c>
      <c r="AD110" s="602">
        <v>0</v>
      </c>
      <c r="AE110" s="602">
        <v>0</v>
      </c>
      <c r="AF110" s="602">
        <v>0</v>
      </c>
      <c r="AG110" s="602">
        <v>0</v>
      </c>
      <c r="AH110" s="602">
        <v>0</v>
      </c>
      <c r="AI110" s="602">
        <v>0</v>
      </c>
      <c r="AJ110" s="498">
        <v>0</v>
      </c>
      <c r="AK110" s="498">
        <v>0</v>
      </c>
      <c r="AL110" s="602">
        <v>3.1571716145458901</v>
      </c>
      <c r="AM110" s="602">
        <v>1.67734823859618</v>
      </c>
      <c r="AN110" s="498">
        <v>1150.798397</v>
      </c>
      <c r="AO110" s="603">
        <v>611.39839700000005</v>
      </c>
    </row>
    <row r="111" spans="1:41" ht="12" thickBot="1">
      <c r="A111" s="918"/>
      <c r="B111" s="918"/>
      <c r="C111" s="918"/>
      <c r="D111" s="918"/>
      <c r="E111" s="918"/>
      <c r="F111" s="918"/>
      <c r="G111" s="600" t="s">
        <v>298</v>
      </c>
      <c r="H111" s="601">
        <v>170250</v>
      </c>
      <c r="I111" s="602">
        <v>89500000</v>
      </c>
      <c r="J111" s="602">
        <v>1.5</v>
      </c>
      <c r="K111" s="776">
        <v>94988397.790055007</v>
      </c>
      <c r="L111" s="776">
        <v>715454.98</v>
      </c>
      <c r="M111" s="498">
        <v>1.5188890047635999</v>
      </c>
      <c r="N111" s="602">
        <v>3.4378973270806599</v>
      </c>
      <c r="O111" s="602">
        <v>1.91900832231706</v>
      </c>
      <c r="P111" s="498">
        <v>1619381.5056100001</v>
      </c>
      <c r="Q111" s="602">
        <v>903926.52561000001</v>
      </c>
      <c r="R111" s="602">
        <v>-0.26911875186818401</v>
      </c>
      <c r="S111" s="602">
        <v>-126765.254493</v>
      </c>
      <c r="T111" s="602">
        <v>0</v>
      </c>
      <c r="U111" s="602">
        <v>0</v>
      </c>
      <c r="V111" s="602">
        <v>0</v>
      </c>
      <c r="W111" s="602">
        <v>0</v>
      </c>
      <c r="X111" s="602">
        <v>0</v>
      </c>
      <c r="Y111" s="602">
        <v>0</v>
      </c>
      <c r="Z111" s="602">
        <v>0</v>
      </c>
      <c r="AA111" s="602">
        <v>0</v>
      </c>
      <c r="AB111" s="602">
        <v>0</v>
      </c>
      <c r="AC111" s="602">
        <v>0</v>
      </c>
      <c r="AD111" s="602">
        <v>0</v>
      </c>
      <c r="AE111" s="602">
        <v>0</v>
      </c>
      <c r="AF111" s="602">
        <v>0</v>
      </c>
      <c r="AG111" s="602">
        <v>0</v>
      </c>
      <c r="AH111" s="602">
        <v>0</v>
      </c>
      <c r="AI111" s="602">
        <v>0</v>
      </c>
      <c r="AJ111" s="498">
        <v>0</v>
      </c>
      <c r="AK111" s="498">
        <v>0</v>
      </c>
      <c r="AL111" s="602">
        <v>3.1687785745862</v>
      </c>
      <c r="AM111" s="602">
        <v>1.6498895698225999</v>
      </c>
      <c r="AN111" s="498">
        <v>1492616.250822</v>
      </c>
      <c r="AO111" s="603">
        <v>777161.27082199999</v>
      </c>
    </row>
    <row r="112" spans="1:41" ht="12" thickBot="1">
      <c r="A112" s="918"/>
      <c r="B112" s="918"/>
      <c r="C112" s="918"/>
      <c r="D112" s="918"/>
      <c r="E112" s="918"/>
      <c r="F112" s="919"/>
      <c r="G112" s="600" t="s">
        <v>299</v>
      </c>
      <c r="H112" s="601">
        <v>170252</v>
      </c>
      <c r="I112" s="602">
        <v>477701564.88</v>
      </c>
      <c r="J112" s="602">
        <v>1.5771510103117601</v>
      </c>
      <c r="K112" s="776">
        <v>649159984.852373</v>
      </c>
      <c r="L112" s="776">
        <v>4958802.41</v>
      </c>
      <c r="M112" s="498">
        <v>1.54042072039721</v>
      </c>
      <c r="N112" s="602">
        <v>3.4559049310573302</v>
      </c>
      <c r="O112" s="602">
        <v>1.91548421066012</v>
      </c>
      <c r="P112" s="498">
        <v>11124979.996658999</v>
      </c>
      <c r="Q112" s="602">
        <v>6166177.5866590003</v>
      </c>
      <c r="R112" s="602">
        <v>-0.27132492375027201</v>
      </c>
      <c r="S112" s="602">
        <v>-873428.06284699996</v>
      </c>
      <c r="T112" s="602">
        <v>0</v>
      </c>
      <c r="U112" s="602">
        <v>0</v>
      </c>
      <c r="V112" s="602">
        <v>0</v>
      </c>
      <c r="W112" s="602">
        <v>0</v>
      </c>
      <c r="X112" s="602">
        <v>0</v>
      </c>
      <c r="Y112" s="602">
        <v>0</v>
      </c>
      <c r="Z112" s="602">
        <v>0</v>
      </c>
      <c r="AA112" s="602">
        <v>0</v>
      </c>
      <c r="AB112" s="602">
        <v>0</v>
      </c>
      <c r="AC112" s="602">
        <v>0</v>
      </c>
      <c r="AD112" s="602">
        <v>0</v>
      </c>
      <c r="AE112" s="602">
        <v>0</v>
      </c>
      <c r="AF112" s="602">
        <v>0</v>
      </c>
      <c r="AG112" s="602">
        <v>0</v>
      </c>
      <c r="AH112" s="602">
        <v>0</v>
      </c>
      <c r="AI112" s="602">
        <v>0</v>
      </c>
      <c r="AJ112" s="498">
        <v>0</v>
      </c>
      <c r="AK112" s="498">
        <v>0</v>
      </c>
      <c r="AL112" s="602">
        <v>3.1845800073396799</v>
      </c>
      <c r="AM112" s="602">
        <v>1.6441592869424699</v>
      </c>
      <c r="AN112" s="498">
        <v>10251551.933917001</v>
      </c>
      <c r="AO112" s="603">
        <v>5292749.5239169998</v>
      </c>
    </row>
    <row r="113" spans="1:41" ht="12" thickBot="1">
      <c r="A113" s="918"/>
      <c r="B113" s="918"/>
      <c r="C113" s="918"/>
      <c r="D113" s="918"/>
      <c r="E113" s="918"/>
      <c r="F113" s="917" t="s">
        <v>303</v>
      </c>
      <c r="G113" s="600" t="s">
        <v>305</v>
      </c>
      <c r="H113" s="601">
        <v>170266</v>
      </c>
      <c r="I113" s="602">
        <v>17126387.5</v>
      </c>
      <c r="J113" s="602">
        <v>1.4477274177055699</v>
      </c>
      <c r="K113" s="776">
        <v>15838527.49337</v>
      </c>
      <c r="L113" s="776">
        <v>72064.77</v>
      </c>
      <c r="M113" s="498">
        <v>0.91753468725227105</v>
      </c>
      <c r="N113" s="602">
        <v>2.8932606635823399</v>
      </c>
      <c r="O113" s="602">
        <v>1.9757259763300801</v>
      </c>
      <c r="P113" s="498">
        <v>227241.72412</v>
      </c>
      <c r="Q113" s="602">
        <v>155176.95412000001</v>
      </c>
      <c r="R113" s="602">
        <v>-0.18818686267646501</v>
      </c>
      <c r="S113" s="602">
        <v>-14780.523466000001</v>
      </c>
      <c r="T113" s="602">
        <v>0</v>
      </c>
      <c r="U113" s="602">
        <v>0</v>
      </c>
      <c r="V113" s="602">
        <v>0</v>
      </c>
      <c r="W113" s="602">
        <v>0</v>
      </c>
      <c r="X113" s="602">
        <v>0</v>
      </c>
      <c r="Y113" s="602">
        <v>0</v>
      </c>
      <c r="Z113" s="602">
        <v>0</v>
      </c>
      <c r="AA113" s="602">
        <v>0</v>
      </c>
      <c r="AB113" s="602">
        <v>0</v>
      </c>
      <c r="AC113" s="602">
        <v>0</v>
      </c>
      <c r="AD113" s="602">
        <v>0</v>
      </c>
      <c r="AE113" s="602">
        <v>0</v>
      </c>
      <c r="AF113" s="602">
        <v>0</v>
      </c>
      <c r="AG113" s="602">
        <v>0</v>
      </c>
      <c r="AH113" s="602">
        <v>0</v>
      </c>
      <c r="AI113" s="602">
        <v>0</v>
      </c>
      <c r="AJ113" s="498">
        <v>0</v>
      </c>
      <c r="AK113" s="498">
        <v>0</v>
      </c>
      <c r="AL113" s="602">
        <v>2.70507380252285</v>
      </c>
      <c r="AM113" s="602">
        <v>1.78753911527059</v>
      </c>
      <c r="AN113" s="498">
        <v>212461.20078099999</v>
      </c>
      <c r="AO113" s="603">
        <v>140396.430781</v>
      </c>
    </row>
    <row r="114" spans="1:41" ht="12" thickBot="1">
      <c r="A114" s="918"/>
      <c r="B114" s="918"/>
      <c r="C114" s="918"/>
      <c r="D114" s="918"/>
      <c r="E114" s="918"/>
      <c r="F114" s="919"/>
      <c r="G114" s="600" t="s">
        <v>3513</v>
      </c>
      <c r="H114" s="601">
        <v>170267</v>
      </c>
      <c r="I114" s="602">
        <v>920000000</v>
      </c>
      <c r="J114" s="602">
        <v>2.10326086956522</v>
      </c>
      <c r="K114" s="776">
        <v>776491712.70718205</v>
      </c>
      <c r="L114" s="776">
        <v>8476071.9100000001</v>
      </c>
      <c r="M114" s="498">
        <v>2.2012638280621899</v>
      </c>
      <c r="N114" s="602">
        <v>3.4473236742708999</v>
      </c>
      <c r="O114" s="602">
        <v>1.24605984620871</v>
      </c>
      <c r="P114" s="498">
        <v>13274085.090422001</v>
      </c>
      <c r="Q114" s="602">
        <v>4798013.1804219997</v>
      </c>
      <c r="R114" s="602">
        <v>-0.27075165430419401</v>
      </c>
      <c r="S114" s="602">
        <v>-1042542.2261420001</v>
      </c>
      <c r="T114" s="602">
        <v>0</v>
      </c>
      <c r="U114" s="602">
        <v>0</v>
      </c>
      <c r="V114" s="602">
        <v>0</v>
      </c>
      <c r="W114" s="602">
        <v>0</v>
      </c>
      <c r="X114" s="602">
        <v>0</v>
      </c>
      <c r="Y114" s="602">
        <v>0</v>
      </c>
      <c r="Z114" s="602">
        <v>0</v>
      </c>
      <c r="AA114" s="602">
        <v>0</v>
      </c>
      <c r="AB114" s="602">
        <v>0</v>
      </c>
      <c r="AC114" s="602">
        <v>0</v>
      </c>
      <c r="AD114" s="602">
        <v>0</v>
      </c>
      <c r="AE114" s="602">
        <v>0</v>
      </c>
      <c r="AF114" s="602">
        <v>0</v>
      </c>
      <c r="AG114" s="602">
        <v>0</v>
      </c>
      <c r="AH114" s="602">
        <v>0</v>
      </c>
      <c r="AI114" s="602">
        <v>0</v>
      </c>
      <c r="AJ114" s="498">
        <v>0</v>
      </c>
      <c r="AK114" s="498">
        <v>0</v>
      </c>
      <c r="AL114" s="602">
        <v>3.1765720199204699</v>
      </c>
      <c r="AM114" s="602">
        <v>0.97530819185828699</v>
      </c>
      <c r="AN114" s="498">
        <v>12231542.864102</v>
      </c>
      <c r="AO114" s="603">
        <v>3755470.9541020002</v>
      </c>
    </row>
    <row r="115" spans="1:41" ht="12" thickBot="1">
      <c r="A115" s="918"/>
      <c r="B115" s="918"/>
      <c r="C115" s="918"/>
      <c r="D115" s="918"/>
      <c r="E115" s="918"/>
      <c r="F115" s="917" t="s">
        <v>318</v>
      </c>
      <c r="G115" s="600" t="s">
        <v>323</v>
      </c>
      <c r="H115" s="601">
        <v>170270</v>
      </c>
      <c r="I115" s="602">
        <v>1560000</v>
      </c>
      <c r="J115" s="602">
        <v>1.95</v>
      </c>
      <c r="K115" s="776">
        <v>2525745.856354</v>
      </c>
      <c r="L115" s="776">
        <v>16644.86</v>
      </c>
      <c r="M115" s="498">
        <v>1.32893820544208</v>
      </c>
      <c r="N115" s="602">
        <v>2.9030724687089902</v>
      </c>
      <c r="O115" s="602">
        <v>1.5741342632666899</v>
      </c>
      <c r="P115" s="498">
        <v>36360.78383</v>
      </c>
      <c r="Q115" s="602">
        <v>19715.92383</v>
      </c>
      <c r="R115" s="602">
        <v>-0.18814945508574701</v>
      </c>
      <c r="S115" s="602">
        <v>-2356.5590379999999</v>
      </c>
      <c r="T115" s="602">
        <v>0</v>
      </c>
      <c r="U115" s="602">
        <v>0</v>
      </c>
      <c r="V115" s="602">
        <v>0</v>
      </c>
      <c r="W115" s="602">
        <v>0</v>
      </c>
      <c r="X115" s="602">
        <v>0</v>
      </c>
      <c r="Y115" s="602">
        <v>0</v>
      </c>
      <c r="Z115" s="602">
        <v>0</v>
      </c>
      <c r="AA115" s="602">
        <v>0</v>
      </c>
      <c r="AB115" s="602">
        <v>0</v>
      </c>
      <c r="AC115" s="602">
        <v>0</v>
      </c>
      <c r="AD115" s="602">
        <v>0</v>
      </c>
      <c r="AE115" s="602">
        <v>0</v>
      </c>
      <c r="AF115" s="602">
        <v>0</v>
      </c>
      <c r="AG115" s="602">
        <v>0</v>
      </c>
      <c r="AH115" s="602">
        <v>0</v>
      </c>
      <c r="AI115" s="602">
        <v>0</v>
      </c>
      <c r="AJ115" s="498">
        <v>0</v>
      </c>
      <c r="AK115" s="498">
        <v>0</v>
      </c>
      <c r="AL115" s="602">
        <v>2.7149230136232401</v>
      </c>
      <c r="AM115" s="602">
        <v>1.3859848081809401</v>
      </c>
      <c r="AN115" s="498">
        <v>34004.224792000001</v>
      </c>
      <c r="AO115" s="603">
        <v>17359.364792</v>
      </c>
    </row>
    <row r="116" spans="1:41" ht="12" thickBot="1">
      <c r="A116" s="918"/>
      <c r="B116" s="918"/>
      <c r="C116" s="918"/>
      <c r="D116" s="918"/>
      <c r="E116" s="918"/>
      <c r="F116" s="919"/>
      <c r="G116" s="600" t="s">
        <v>318</v>
      </c>
      <c r="H116" s="601">
        <v>170279</v>
      </c>
      <c r="I116" s="602">
        <v>68666673.280000001</v>
      </c>
      <c r="J116" s="602">
        <v>0.9</v>
      </c>
      <c r="K116" s="776">
        <v>1138121.6565739999</v>
      </c>
      <c r="L116" s="776">
        <v>5150.0343670000002</v>
      </c>
      <c r="M116" s="498">
        <v>0.91250600141493998</v>
      </c>
      <c r="N116" s="602">
        <v>2.3669844460899401</v>
      </c>
      <c r="O116" s="602">
        <v>1.4544784446754699</v>
      </c>
      <c r="P116" s="498">
        <v>13358.872407000001</v>
      </c>
      <c r="Q116" s="602">
        <v>8208.8380400000005</v>
      </c>
      <c r="R116" s="602">
        <v>-0.11834922064782299</v>
      </c>
      <c r="S116" s="602">
        <v>-667.94361100000003</v>
      </c>
      <c r="T116" s="602">
        <v>0</v>
      </c>
      <c r="U116" s="602">
        <v>0</v>
      </c>
      <c r="V116" s="602">
        <v>0</v>
      </c>
      <c r="W116" s="602">
        <v>0</v>
      </c>
      <c r="X116" s="602">
        <v>0</v>
      </c>
      <c r="Y116" s="602">
        <v>0</v>
      </c>
      <c r="Z116" s="602">
        <v>0</v>
      </c>
      <c r="AA116" s="602">
        <v>0</v>
      </c>
      <c r="AB116" s="602">
        <v>0</v>
      </c>
      <c r="AC116" s="602">
        <v>0</v>
      </c>
      <c r="AD116" s="602">
        <v>0</v>
      </c>
      <c r="AE116" s="602">
        <v>0</v>
      </c>
      <c r="AF116" s="602">
        <v>0</v>
      </c>
      <c r="AG116" s="602">
        <v>0</v>
      </c>
      <c r="AH116" s="602">
        <v>0</v>
      </c>
      <c r="AI116" s="602">
        <v>0</v>
      </c>
      <c r="AJ116" s="498">
        <v>0</v>
      </c>
      <c r="AK116" s="498">
        <v>0</v>
      </c>
      <c r="AL116" s="602">
        <v>2.2486352215440601</v>
      </c>
      <c r="AM116" s="602">
        <v>1.33612922012959</v>
      </c>
      <c r="AN116" s="498">
        <v>12690.928774</v>
      </c>
      <c r="AO116" s="603">
        <v>7540.8944069999998</v>
      </c>
    </row>
    <row r="117" spans="1:41" ht="12" thickBot="1">
      <c r="A117" s="918"/>
      <c r="B117" s="918"/>
      <c r="C117" s="918"/>
      <c r="D117" s="918"/>
      <c r="E117" s="918"/>
      <c r="F117" s="600" t="s">
        <v>308</v>
      </c>
      <c r="G117" s="600" t="s">
        <v>308</v>
      </c>
      <c r="H117" s="601">
        <v>170271</v>
      </c>
      <c r="I117" s="602">
        <v>2472399266.5</v>
      </c>
      <c r="J117" s="602">
        <v>1.61497557290106</v>
      </c>
      <c r="K117" s="776">
        <v>3088582412.82723</v>
      </c>
      <c r="L117" s="776">
        <v>22189271.763393</v>
      </c>
      <c r="M117" s="498">
        <v>1.44876566433772</v>
      </c>
      <c r="N117" s="602">
        <v>3.1656087983144299</v>
      </c>
      <c r="O117" s="602">
        <v>1.7168431339767101</v>
      </c>
      <c r="P117" s="498">
        <v>48484413.767838001</v>
      </c>
      <c r="Q117" s="602">
        <v>26295142.004445001</v>
      </c>
      <c r="R117" s="602">
        <v>-0.23853145960340599</v>
      </c>
      <c r="S117" s="602">
        <v>-3653344.0234989999</v>
      </c>
      <c r="T117" s="602">
        <v>0</v>
      </c>
      <c r="U117" s="602">
        <v>0</v>
      </c>
      <c r="V117" s="602">
        <v>0</v>
      </c>
      <c r="W117" s="602">
        <v>0</v>
      </c>
      <c r="X117" s="602">
        <v>0</v>
      </c>
      <c r="Y117" s="602">
        <v>0</v>
      </c>
      <c r="Z117" s="602">
        <v>0</v>
      </c>
      <c r="AA117" s="602">
        <v>0</v>
      </c>
      <c r="AB117" s="602">
        <v>0</v>
      </c>
      <c r="AC117" s="602">
        <v>0</v>
      </c>
      <c r="AD117" s="602">
        <v>0</v>
      </c>
      <c r="AE117" s="602">
        <v>0</v>
      </c>
      <c r="AF117" s="602">
        <v>0</v>
      </c>
      <c r="AG117" s="602">
        <v>0</v>
      </c>
      <c r="AH117" s="602">
        <v>0</v>
      </c>
      <c r="AI117" s="602">
        <v>0</v>
      </c>
      <c r="AJ117" s="498">
        <v>0</v>
      </c>
      <c r="AK117" s="498">
        <v>0</v>
      </c>
      <c r="AL117" s="602">
        <v>2.9270773386350299</v>
      </c>
      <c r="AM117" s="602">
        <v>1.4783116742972999</v>
      </c>
      <c r="AN117" s="498">
        <v>44831069.743175</v>
      </c>
      <c r="AO117" s="603">
        <v>22641797.979782</v>
      </c>
    </row>
    <row r="118" spans="1:41" ht="12" thickBot="1">
      <c r="A118" s="918"/>
      <c r="B118" s="918"/>
      <c r="C118" s="918"/>
      <c r="D118" s="918"/>
      <c r="E118" s="918"/>
      <c r="F118" s="600" t="s">
        <v>312</v>
      </c>
      <c r="G118" s="600" t="s">
        <v>312</v>
      </c>
      <c r="H118" s="601">
        <v>170275</v>
      </c>
      <c r="I118" s="602">
        <v>250279175.97999999</v>
      </c>
      <c r="J118" s="602">
        <v>1.6369687652529199</v>
      </c>
      <c r="K118" s="776">
        <v>257908320.26778999</v>
      </c>
      <c r="L118" s="776">
        <v>2026996.9</v>
      </c>
      <c r="M118" s="498">
        <v>1.5849005683327499</v>
      </c>
      <c r="N118" s="602">
        <v>3.4554131567805899</v>
      </c>
      <c r="O118" s="602">
        <v>1.87051258844784</v>
      </c>
      <c r="P118" s="498">
        <v>4419275.1879580002</v>
      </c>
      <c r="Q118" s="602">
        <v>2392278.2879579999</v>
      </c>
      <c r="R118" s="602">
        <v>-0.27224177487294998</v>
      </c>
      <c r="S118" s="602">
        <v>-348181.61135399999</v>
      </c>
      <c r="T118" s="602">
        <v>0</v>
      </c>
      <c r="U118" s="602">
        <v>0</v>
      </c>
      <c r="V118" s="602">
        <v>0</v>
      </c>
      <c r="W118" s="602">
        <v>0</v>
      </c>
      <c r="X118" s="602">
        <v>0</v>
      </c>
      <c r="Y118" s="602">
        <v>0</v>
      </c>
      <c r="Z118" s="602">
        <v>0</v>
      </c>
      <c r="AA118" s="602">
        <v>0</v>
      </c>
      <c r="AB118" s="602">
        <v>0</v>
      </c>
      <c r="AC118" s="602">
        <v>0</v>
      </c>
      <c r="AD118" s="602">
        <v>0</v>
      </c>
      <c r="AE118" s="602">
        <v>0</v>
      </c>
      <c r="AF118" s="602">
        <v>0</v>
      </c>
      <c r="AG118" s="602">
        <v>0</v>
      </c>
      <c r="AH118" s="602">
        <v>0</v>
      </c>
      <c r="AI118" s="602">
        <v>0</v>
      </c>
      <c r="AJ118" s="498">
        <v>0</v>
      </c>
      <c r="AK118" s="498">
        <v>0</v>
      </c>
      <c r="AL118" s="602">
        <v>3.18317138182397</v>
      </c>
      <c r="AM118" s="602">
        <v>1.59827081349122</v>
      </c>
      <c r="AN118" s="498">
        <v>4071093.5764970002</v>
      </c>
      <c r="AO118" s="603">
        <v>2044096.676497</v>
      </c>
    </row>
    <row r="119" spans="1:41" ht="12" thickBot="1">
      <c r="A119" s="918"/>
      <c r="B119" s="918"/>
      <c r="C119" s="918"/>
      <c r="D119" s="918"/>
      <c r="E119" s="918"/>
      <c r="F119" s="600" t="s">
        <v>3512</v>
      </c>
      <c r="G119" s="600" t="s">
        <v>3512</v>
      </c>
      <c r="H119" s="601">
        <v>170276</v>
      </c>
      <c r="I119" s="602">
        <v>9000000</v>
      </c>
      <c r="J119" s="602">
        <v>1.5</v>
      </c>
      <c r="K119" s="776">
        <v>497237.56906100002</v>
      </c>
      <c r="L119" s="776">
        <v>3750</v>
      </c>
      <c r="M119" s="498">
        <v>1.52083333333264</v>
      </c>
      <c r="N119" s="602">
        <v>4.262397</v>
      </c>
      <c r="O119" s="602">
        <v>2.7415636666666701</v>
      </c>
      <c r="P119" s="498">
        <v>10510.02</v>
      </c>
      <c r="Q119" s="602">
        <v>6760.02</v>
      </c>
      <c r="R119" s="602">
        <v>-0.39298454999999999</v>
      </c>
      <c r="S119" s="602">
        <v>-969.00300000000004</v>
      </c>
      <c r="T119" s="602">
        <v>0</v>
      </c>
      <c r="U119" s="602">
        <v>0</v>
      </c>
      <c r="V119" s="602">
        <v>0</v>
      </c>
      <c r="W119" s="602">
        <v>0</v>
      </c>
      <c r="X119" s="602">
        <v>0</v>
      </c>
      <c r="Y119" s="602">
        <v>0</v>
      </c>
      <c r="Z119" s="602">
        <v>0</v>
      </c>
      <c r="AA119" s="602">
        <v>0</v>
      </c>
      <c r="AB119" s="602">
        <v>0</v>
      </c>
      <c r="AC119" s="602">
        <v>0</v>
      </c>
      <c r="AD119" s="602">
        <v>0</v>
      </c>
      <c r="AE119" s="602">
        <v>0</v>
      </c>
      <c r="AF119" s="602">
        <v>0</v>
      </c>
      <c r="AG119" s="602">
        <v>0</v>
      </c>
      <c r="AH119" s="602">
        <v>0</v>
      </c>
      <c r="AI119" s="602">
        <v>0</v>
      </c>
      <c r="AJ119" s="498">
        <v>0</v>
      </c>
      <c r="AK119" s="498">
        <v>0</v>
      </c>
      <c r="AL119" s="602">
        <v>3.86941245</v>
      </c>
      <c r="AM119" s="602">
        <v>2.3485791166666701</v>
      </c>
      <c r="AN119" s="498">
        <v>9541.0169999999998</v>
      </c>
      <c r="AO119" s="603">
        <v>5791.0169999999998</v>
      </c>
    </row>
    <row r="120" spans="1:41" ht="12" thickBot="1">
      <c r="A120" s="918"/>
      <c r="B120" s="918"/>
      <c r="C120" s="918"/>
      <c r="D120" s="918"/>
      <c r="E120" s="919"/>
      <c r="F120" s="600" t="s">
        <v>313</v>
      </c>
      <c r="G120" s="600" t="s">
        <v>315</v>
      </c>
      <c r="H120" s="601">
        <v>170376</v>
      </c>
      <c r="I120" s="602">
        <v>0</v>
      </c>
      <c r="J120" s="602">
        <v>0</v>
      </c>
      <c r="K120" s="776">
        <v>763718.23204399995</v>
      </c>
      <c r="L120" s="776">
        <v>5119.8900000000003</v>
      </c>
      <c r="M120" s="498">
        <v>1.35189126330217</v>
      </c>
      <c r="N120" s="602">
        <v>3.2341917304080798</v>
      </c>
      <c r="O120" s="602">
        <v>1.88230046710626</v>
      </c>
      <c r="P120" s="498">
        <v>12248.548643</v>
      </c>
      <c r="Q120" s="602">
        <v>7128.6586429999998</v>
      </c>
      <c r="R120" s="602">
        <v>-0.23847796162638399</v>
      </c>
      <c r="S120" s="602">
        <v>-903.16504299999997</v>
      </c>
      <c r="T120" s="602">
        <v>0</v>
      </c>
      <c r="U120" s="602">
        <v>0</v>
      </c>
      <c r="V120" s="602">
        <v>0</v>
      </c>
      <c r="W120" s="602">
        <v>0</v>
      </c>
      <c r="X120" s="602">
        <v>0</v>
      </c>
      <c r="Y120" s="602">
        <v>0</v>
      </c>
      <c r="Z120" s="602">
        <v>0</v>
      </c>
      <c r="AA120" s="602">
        <v>0</v>
      </c>
      <c r="AB120" s="602">
        <v>0</v>
      </c>
      <c r="AC120" s="602">
        <v>0</v>
      </c>
      <c r="AD120" s="602">
        <v>0</v>
      </c>
      <c r="AE120" s="602">
        <v>0</v>
      </c>
      <c r="AF120" s="602">
        <v>0</v>
      </c>
      <c r="AG120" s="602">
        <v>0</v>
      </c>
      <c r="AH120" s="602">
        <v>0</v>
      </c>
      <c r="AI120" s="602">
        <v>0</v>
      </c>
      <c r="AJ120" s="498">
        <v>0</v>
      </c>
      <c r="AK120" s="498">
        <v>0</v>
      </c>
      <c r="AL120" s="602">
        <v>2.9957137687816902</v>
      </c>
      <c r="AM120" s="602">
        <v>1.6438225054798801</v>
      </c>
      <c r="AN120" s="498">
        <v>11345.383599999999</v>
      </c>
      <c r="AO120" s="603">
        <v>6225.4935999999998</v>
      </c>
    </row>
    <row r="121" spans="1:41" ht="12" thickBot="1">
      <c r="A121" s="918"/>
      <c r="B121" s="918"/>
      <c r="C121" s="918"/>
      <c r="D121" s="918"/>
      <c r="E121" s="917" t="s">
        <v>2712</v>
      </c>
      <c r="F121" s="600" t="s">
        <v>308</v>
      </c>
      <c r="G121" s="600" t="s">
        <v>308</v>
      </c>
      <c r="H121" s="601">
        <v>170476</v>
      </c>
      <c r="I121" s="602">
        <v>38632649.689999998</v>
      </c>
      <c r="J121" s="602">
        <v>2.1302962134280699</v>
      </c>
      <c r="K121" s="776">
        <v>28629079.524254002</v>
      </c>
      <c r="L121" s="776">
        <v>299443.94</v>
      </c>
      <c r="M121" s="498">
        <v>2.10922268288419</v>
      </c>
      <c r="N121" s="602">
        <v>3.6741013034297199</v>
      </c>
      <c r="O121" s="602">
        <v>1.5648786205455401</v>
      </c>
      <c r="P121" s="498">
        <v>521607.973964</v>
      </c>
      <c r="Q121" s="602">
        <v>222164.033964</v>
      </c>
      <c r="R121" s="602">
        <v>-0.30517715841682203</v>
      </c>
      <c r="S121" s="602">
        <v>-43325.653311000002</v>
      </c>
      <c r="T121" s="602">
        <v>0</v>
      </c>
      <c r="U121" s="602">
        <v>0</v>
      </c>
      <c r="V121" s="602">
        <v>0</v>
      </c>
      <c r="W121" s="602">
        <v>0</v>
      </c>
      <c r="X121" s="602">
        <v>0</v>
      </c>
      <c r="Y121" s="602">
        <v>0</v>
      </c>
      <c r="Z121" s="602">
        <v>0</v>
      </c>
      <c r="AA121" s="602">
        <v>0</v>
      </c>
      <c r="AB121" s="602">
        <v>0</v>
      </c>
      <c r="AC121" s="602">
        <v>0</v>
      </c>
      <c r="AD121" s="602">
        <v>0</v>
      </c>
      <c r="AE121" s="602">
        <v>0</v>
      </c>
      <c r="AF121" s="602">
        <v>0</v>
      </c>
      <c r="AG121" s="602">
        <v>0</v>
      </c>
      <c r="AH121" s="602">
        <v>0</v>
      </c>
      <c r="AI121" s="602">
        <v>0</v>
      </c>
      <c r="AJ121" s="498">
        <v>0</v>
      </c>
      <c r="AK121" s="498">
        <v>0</v>
      </c>
      <c r="AL121" s="602">
        <v>3.36892414562571</v>
      </c>
      <c r="AM121" s="602">
        <v>1.2597014627415299</v>
      </c>
      <c r="AN121" s="498">
        <v>478282.32074</v>
      </c>
      <c r="AO121" s="603">
        <v>178838.38073999999</v>
      </c>
    </row>
    <row r="122" spans="1:41" ht="12" thickBot="1">
      <c r="A122" s="918"/>
      <c r="B122" s="918"/>
      <c r="C122" s="918"/>
      <c r="D122" s="918"/>
      <c r="E122" s="918"/>
      <c r="F122" s="600" t="s">
        <v>303</v>
      </c>
      <c r="G122" s="600" t="s">
        <v>305</v>
      </c>
      <c r="H122" s="601">
        <v>170482</v>
      </c>
      <c r="I122" s="602">
        <v>146530</v>
      </c>
      <c r="J122" s="602">
        <v>2.1</v>
      </c>
      <c r="K122" s="776">
        <v>146530</v>
      </c>
      <c r="L122" s="776">
        <v>1533.76</v>
      </c>
      <c r="M122" s="498">
        <v>2.1107905797202502</v>
      </c>
      <c r="N122" s="602">
        <v>3.5380681305055899</v>
      </c>
      <c r="O122" s="602">
        <v>1.4272775507853299</v>
      </c>
      <c r="P122" s="498">
        <v>2570.8601450000001</v>
      </c>
      <c r="Q122" s="602">
        <v>1037.1001450000001</v>
      </c>
      <c r="R122" s="602">
        <v>-0.284117129711148</v>
      </c>
      <c r="S122" s="602">
        <v>-206.44752399999999</v>
      </c>
      <c r="T122" s="602">
        <v>0</v>
      </c>
      <c r="U122" s="602">
        <v>0</v>
      </c>
      <c r="V122" s="602">
        <v>0</v>
      </c>
      <c r="W122" s="602">
        <v>0</v>
      </c>
      <c r="X122" s="602">
        <v>0</v>
      </c>
      <c r="Y122" s="602">
        <v>0</v>
      </c>
      <c r="Z122" s="602">
        <v>0</v>
      </c>
      <c r="AA122" s="602">
        <v>0</v>
      </c>
      <c r="AB122" s="602">
        <v>0</v>
      </c>
      <c r="AC122" s="602">
        <v>0</v>
      </c>
      <c r="AD122" s="602">
        <v>0</v>
      </c>
      <c r="AE122" s="602">
        <v>0</v>
      </c>
      <c r="AF122" s="602">
        <v>0</v>
      </c>
      <c r="AG122" s="602">
        <v>0</v>
      </c>
      <c r="AH122" s="602">
        <v>0</v>
      </c>
      <c r="AI122" s="602">
        <v>0</v>
      </c>
      <c r="AJ122" s="498">
        <v>0</v>
      </c>
      <c r="AK122" s="498">
        <v>0</v>
      </c>
      <c r="AL122" s="602">
        <v>3.25395108612005</v>
      </c>
      <c r="AM122" s="602">
        <v>1.1431605063998</v>
      </c>
      <c r="AN122" s="498">
        <v>2364.412683</v>
      </c>
      <c r="AO122" s="603">
        <v>830.65268300000002</v>
      </c>
    </row>
    <row r="123" spans="1:41" ht="12" thickBot="1">
      <c r="A123" s="918"/>
      <c r="B123" s="918"/>
      <c r="C123" s="918"/>
      <c r="D123" s="918"/>
      <c r="E123" s="919"/>
      <c r="F123" s="600" t="s">
        <v>312</v>
      </c>
      <c r="G123" s="600" t="s">
        <v>312</v>
      </c>
      <c r="H123" s="601">
        <v>170489</v>
      </c>
      <c r="I123" s="602">
        <v>1300000</v>
      </c>
      <c r="J123" s="602">
        <v>2.1</v>
      </c>
      <c r="K123" s="776">
        <v>1300000</v>
      </c>
      <c r="L123" s="776">
        <v>13621.59</v>
      </c>
      <c r="M123" s="498">
        <v>2.1129963238418998</v>
      </c>
      <c r="N123" s="602">
        <v>3.5383849683319202</v>
      </c>
      <c r="O123" s="602">
        <v>1.4253886444900099</v>
      </c>
      <c r="P123" s="498">
        <v>22810.465289</v>
      </c>
      <c r="Q123" s="602">
        <v>9188.8752889999996</v>
      </c>
      <c r="R123" s="602">
        <v>-0.28416408289417799</v>
      </c>
      <c r="S123" s="602">
        <v>-1831.88517</v>
      </c>
      <c r="T123" s="602">
        <v>0</v>
      </c>
      <c r="U123" s="602">
        <v>0</v>
      </c>
      <c r="V123" s="602">
        <v>0</v>
      </c>
      <c r="W123" s="602">
        <v>0</v>
      </c>
      <c r="X123" s="602">
        <v>0</v>
      </c>
      <c r="Y123" s="602">
        <v>0</v>
      </c>
      <c r="Z123" s="602">
        <v>0</v>
      </c>
      <c r="AA123" s="602">
        <v>0</v>
      </c>
      <c r="AB123" s="602">
        <v>0</v>
      </c>
      <c r="AC123" s="602">
        <v>0</v>
      </c>
      <c r="AD123" s="602">
        <v>0</v>
      </c>
      <c r="AE123" s="602">
        <v>0</v>
      </c>
      <c r="AF123" s="602">
        <v>0</v>
      </c>
      <c r="AG123" s="602">
        <v>0</v>
      </c>
      <c r="AH123" s="602">
        <v>0</v>
      </c>
      <c r="AI123" s="602">
        <v>0</v>
      </c>
      <c r="AJ123" s="498">
        <v>0</v>
      </c>
      <c r="AK123" s="498">
        <v>0</v>
      </c>
      <c r="AL123" s="602">
        <v>3.2542208998639999</v>
      </c>
      <c r="AM123" s="602">
        <v>1.1412245760221</v>
      </c>
      <c r="AN123" s="498">
        <v>20978.580212000001</v>
      </c>
      <c r="AO123" s="603">
        <v>7356.9902119999997</v>
      </c>
    </row>
    <row r="124" spans="1:41" ht="12" thickBot="1">
      <c r="A124" s="918"/>
      <c r="B124" s="918"/>
      <c r="C124" s="918"/>
      <c r="D124" s="918"/>
      <c r="E124" s="917" t="s">
        <v>2713</v>
      </c>
      <c r="F124" s="600" t="s">
        <v>294</v>
      </c>
      <c r="G124" s="600" t="s">
        <v>299</v>
      </c>
      <c r="H124" s="601">
        <v>170495</v>
      </c>
      <c r="I124" s="602">
        <v>78</v>
      </c>
      <c r="J124" s="602">
        <v>3.3</v>
      </c>
      <c r="K124" s="776">
        <v>71270741.071823001</v>
      </c>
      <c r="L124" s="776">
        <v>-330580.61</v>
      </c>
      <c r="M124" s="498">
        <v>-0.93536344172151697</v>
      </c>
      <c r="N124" s="602">
        <v>3.84220246725857</v>
      </c>
      <c r="O124" s="602">
        <v>4.7775659089800797</v>
      </c>
      <c r="P124" s="498">
        <v>1357929.5263370001</v>
      </c>
      <c r="Q124" s="602">
        <v>1688510.1363369999</v>
      </c>
      <c r="R124" s="602">
        <v>-0.32762439745718902</v>
      </c>
      <c r="S124" s="602">
        <v>-115790.577578</v>
      </c>
      <c r="T124" s="602">
        <v>0</v>
      </c>
      <c r="U124" s="602">
        <v>0</v>
      </c>
      <c r="V124" s="602">
        <v>0</v>
      </c>
      <c r="W124" s="602">
        <v>0</v>
      </c>
      <c r="X124" s="602">
        <v>0</v>
      </c>
      <c r="Y124" s="602">
        <v>0</v>
      </c>
      <c r="Z124" s="602">
        <v>0</v>
      </c>
      <c r="AA124" s="602">
        <v>0</v>
      </c>
      <c r="AB124" s="602">
        <v>0</v>
      </c>
      <c r="AC124" s="602">
        <v>0</v>
      </c>
      <c r="AD124" s="602">
        <v>0</v>
      </c>
      <c r="AE124" s="602">
        <v>0</v>
      </c>
      <c r="AF124" s="602">
        <v>0</v>
      </c>
      <c r="AG124" s="602">
        <v>0</v>
      </c>
      <c r="AH124" s="602">
        <v>0</v>
      </c>
      <c r="AI124" s="602">
        <v>0</v>
      </c>
      <c r="AJ124" s="498">
        <v>0</v>
      </c>
      <c r="AK124" s="498">
        <v>0</v>
      </c>
      <c r="AL124" s="602">
        <v>3.5145780696655602</v>
      </c>
      <c r="AM124" s="602">
        <v>4.4499415113870802</v>
      </c>
      <c r="AN124" s="498">
        <v>1242138.9487109999</v>
      </c>
      <c r="AO124" s="603">
        <v>1572719.558711</v>
      </c>
    </row>
    <row r="125" spans="1:41" ht="12" thickBot="1">
      <c r="A125" s="918"/>
      <c r="B125" s="918"/>
      <c r="C125" s="918"/>
      <c r="D125" s="918"/>
      <c r="E125" s="918"/>
      <c r="F125" s="600" t="s">
        <v>308</v>
      </c>
      <c r="G125" s="600" t="s">
        <v>308</v>
      </c>
      <c r="H125" s="601">
        <v>170496</v>
      </c>
      <c r="I125" s="602">
        <v>286188778.06999999</v>
      </c>
      <c r="J125" s="602">
        <v>3.1503819741334298</v>
      </c>
      <c r="K125" s="776">
        <v>283767682.73232001</v>
      </c>
      <c r="L125" s="776">
        <v>4458109.83</v>
      </c>
      <c r="M125" s="498">
        <v>3.1681236202043501</v>
      </c>
      <c r="N125" s="602">
        <v>4.7858048054541502</v>
      </c>
      <c r="O125" s="602">
        <v>1.6176811852498101</v>
      </c>
      <c r="P125" s="498">
        <v>6734473.1473200005</v>
      </c>
      <c r="Q125" s="602">
        <v>2276363.3173199999</v>
      </c>
      <c r="R125" s="602">
        <v>-0.46932032674520702</v>
      </c>
      <c r="S125" s="602">
        <v>-660416.64180600003</v>
      </c>
      <c r="T125" s="602">
        <v>0</v>
      </c>
      <c r="U125" s="602">
        <v>0</v>
      </c>
      <c r="V125" s="602">
        <v>0</v>
      </c>
      <c r="W125" s="602">
        <v>0</v>
      </c>
      <c r="X125" s="602">
        <v>0</v>
      </c>
      <c r="Y125" s="602">
        <v>0</v>
      </c>
      <c r="Z125" s="602">
        <v>0</v>
      </c>
      <c r="AA125" s="602">
        <v>0</v>
      </c>
      <c r="AB125" s="602">
        <v>0</v>
      </c>
      <c r="AC125" s="602">
        <v>0</v>
      </c>
      <c r="AD125" s="602">
        <v>0</v>
      </c>
      <c r="AE125" s="602">
        <v>0</v>
      </c>
      <c r="AF125" s="602">
        <v>0</v>
      </c>
      <c r="AG125" s="602">
        <v>0</v>
      </c>
      <c r="AH125" s="602">
        <v>0</v>
      </c>
      <c r="AI125" s="602">
        <v>0</v>
      </c>
      <c r="AJ125" s="498">
        <v>0</v>
      </c>
      <c r="AK125" s="498">
        <v>0</v>
      </c>
      <c r="AL125" s="602">
        <v>4.3164844786371699</v>
      </c>
      <c r="AM125" s="602">
        <v>1.14836085843282</v>
      </c>
      <c r="AN125" s="498">
        <v>6074056.5054129995</v>
      </c>
      <c r="AO125" s="603">
        <v>1615946.6754129999</v>
      </c>
    </row>
    <row r="126" spans="1:41" ht="12" thickBot="1">
      <c r="A126" s="918"/>
      <c r="B126" s="918"/>
      <c r="C126" s="918"/>
      <c r="D126" s="918"/>
      <c r="E126" s="918"/>
      <c r="F126" s="917" t="s">
        <v>303</v>
      </c>
      <c r="G126" s="600" t="s">
        <v>305</v>
      </c>
      <c r="H126" s="601">
        <v>170502</v>
      </c>
      <c r="I126" s="602">
        <v>1417710.99</v>
      </c>
      <c r="J126" s="602">
        <v>2.75</v>
      </c>
      <c r="K126" s="776">
        <v>1417710.99</v>
      </c>
      <c r="L126" s="776">
        <v>19437.54</v>
      </c>
      <c r="M126" s="498">
        <v>2.7648265018578102</v>
      </c>
      <c r="N126" s="602">
        <v>4.3902579712811898</v>
      </c>
      <c r="O126" s="602">
        <v>1.62543146942338</v>
      </c>
      <c r="P126" s="498">
        <v>30864.799244999998</v>
      </c>
      <c r="Q126" s="602">
        <v>11427.259244999999</v>
      </c>
      <c r="R126" s="602">
        <v>-0.41059326641619098</v>
      </c>
      <c r="S126" s="602">
        <v>-2886.5909069999998</v>
      </c>
      <c r="T126" s="602">
        <v>0</v>
      </c>
      <c r="U126" s="602">
        <v>0</v>
      </c>
      <c r="V126" s="602">
        <v>0</v>
      </c>
      <c r="W126" s="602">
        <v>0</v>
      </c>
      <c r="X126" s="602">
        <v>0</v>
      </c>
      <c r="Y126" s="602">
        <v>0</v>
      </c>
      <c r="Z126" s="602">
        <v>0</v>
      </c>
      <c r="AA126" s="602">
        <v>0</v>
      </c>
      <c r="AB126" s="602">
        <v>0</v>
      </c>
      <c r="AC126" s="602">
        <v>0</v>
      </c>
      <c r="AD126" s="602">
        <v>0</v>
      </c>
      <c r="AE126" s="602">
        <v>0</v>
      </c>
      <c r="AF126" s="602">
        <v>0</v>
      </c>
      <c r="AG126" s="602">
        <v>0</v>
      </c>
      <c r="AH126" s="602">
        <v>0</v>
      </c>
      <c r="AI126" s="602">
        <v>0</v>
      </c>
      <c r="AJ126" s="498">
        <v>0</v>
      </c>
      <c r="AK126" s="498">
        <v>0</v>
      </c>
      <c r="AL126" s="602">
        <v>3.9796647364426301</v>
      </c>
      <c r="AM126" s="602">
        <v>1.2148382345848201</v>
      </c>
      <c r="AN126" s="498">
        <v>27978.208559999999</v>
      </c>
      <c r="AO126" s="603">
        <v>8540.6685600000001</v>
      </c>
    </row>
    <row r="127" spans="1:41" ht="12" thickBot="1">
      <c r="A127" s="918"/>
      <c r="B127" s="918"/>
      <c r="C127" s="918"/>
      <c r="D127" s="918"/>
      <c r="E127" s="918"/>
      <c r="F127" s="919"/>
      <c r="G127" s="600" t="s">
        <v>3513</v>
      </c>
      <c r="H127" s="601">
        <v>170543</v>
      </c>
      <c r="I127" s="602">
        <v>356000000</v>
      </c>
      <c r="J127" s="602">
        <v>3.6741573033707899</v>
      </c>
      <c r="K127" s="776">
        <v>356000000</v>
      </c>
      <c r="L127" s="776">
        <v>6516407.9299999997</v>
      </c>
      <c r="M127" s="498">
        <v>3.6912423093457098</v>
      </c>
      <c r="N127" s="602">
        <v>3.8387537818863402</v>
      </c>
      <c r="O127" s="602">
        <v>0.14751147254062899</v>
      </c>
      <c r="P127" s="498">
        <v>6776820.2380720004</v>
      </c>
      <c r="Q127" s="602">
        <v>260412.30807200001</v>
      </c>
      <c r="R127" s="602">
        <v>-0.32874276918111001</v>
      </c>
      <c r="S127" s="602">
        <v>-580352.57739600004</v>
      </c>
      <c r="T127" s="602">
        <v>0</v>
      </c>
      <c r="U127" s="602">
        <v>0</v>
      </c>
      <c r="V127" s="602">
        <v>0</v>
      </c>
      <c r="W127" s="602">
        <v>0</v>
      </c>
      <c r="X127" s="602">
        <v>0</v>
      </c>
      <c r="Y127" s="602">
        <v>0</v>
      </c>
      <c r="Z127" s="602">
        <v>0</v>
      </c>
      <c r="AA127" s="602">
        <v>0</v>
      </c>
      <c r="AB127" s="602">
        <v>0</v>
      </c>
      <c r="AC127" s="602">
        <v>0</v>
      </c>
      <c r="AD127" s="602">
        <v>0</v>
      </c>
      <c r="AE127" s="602">
        <v>0</v>
      </c>
      <c r="AF127" s="602">
        <v>0</v>
      </c>
      <c r="AG127" s="602">
        <v>0</v>
      </c>
      <c r="AH127" s="602">
        <v>0</v>
      </c>
      <c r="AI127" s="602">
        <v>0</v>
      </c>
      <c r="AJ127" s="498">
        <v>0</v>
      </c>
      <c r="AK127" s="498">
        <v>0</v>
      </c>
      <c r="AL127" s="602">
        <v>3.5100110127261899</v>
      </c>
      <c r="AM127" s="602">
        <v>-0.181231296619522</v>
      </c>
      <c r="AN127" s="498">
        <v>6196467.6607130002</v>
      </c>
      <c r="AO127" s="603">
        <v>-319940.269287</v>
      </c>
    </row>
    <row r="128" spans="1:41" ht="12" thickBot="1">
      <c r="A128" s="918"/>
      <c r="B128" s="918"/>
      <c r="C128" s="918"/>
      <c r="D128" s="918"/>
      <c r="E128" s="919"/>
      <c r="F128" s="600" t="s">
        <v>312</v>
      </c>
      <c r="G128" s="600" t="s">
        <v>312</v>
      </c>
      <c r="H128" s="601">
        <v>170509</v>
      </c>
      <c r="I128" s="602">
        <v>32000000</v>
      </c>
      <c r="J128" s="602">
        <v>2.75</v>
      </c>
      <c r="K128" s="776">
        <v>32000000</v>
      </c>
      <c r="L128" s="776">
        <v>439191.75</v>
      </c>
      <c r="M128" s="498">
        <v>2.7676966289709899</v>
      </c>
      <c r="N128" s="602">
        <v>4.8091284708596298</v>
      </c>
      <c r="O128" s="602">
        <v>2.0414318418886399</v>
      </c>
      <c r="P128" s="498">
        <v>763136.222006</v>
      </c>
      <c r="Q128" s="602">
        <v>323944.472006</v>
      </c>
      <c r="R128" s="602">
        <v>-0.47275915690685399</v>
      </c>
      <c r="S128" s="602">
        <v>-75019.754432999995</v>
      </c>
      <c r="T128" s="602">
        <v>0</v>
      </c>
      <c r="U128" s="602">
        <v>0</v>
      </c>
      <c r="V128" s="602">
        <v>0</v>
      </c>
      <c r="W128" s="602">
        <v>0</v>
      </c>
      <c r="X128" s="602">
        <v>0</v>
      </c>
      <c r="Y128" s="602">
        <v>0</v>
      </c>
      <c r="Z128" s="602">
        <v>0</v>
      </c>
      <c r="AA128" s="602">
        <v>0</v>
      </c>
      <c r="AB128" s="602">
        <v>0</v>
      </c>
      <c r="AC128" s="602">
        <v>0</v>
      </c>
      <c r="AD128" s="602">
        <v>0</v>
      </c>
      <c r="AE128" s="602">
        <v>0</v>
      </c>
      <c r="AF128" s="602">
        <v>0</v>
      </c>
      <c r="AG128" s="602">
        <v>0</v>
      </c>
      <c r="AH128" s="602">
        <v>0</v>
      </c>
      <c r="AI128" s="602">
        <v>0</v>
      </c>
      <c r="AJ128" s="498">
        <v>0</v>
      </c>
      <c r="AK128" s="498">
        <v>0</v>
      </c>
      <c r="AL128" s="602">
        <v>4.3363693147089997</v>
      </c>
      <c r="AM128" s="602">
        <v>1.568672685738</v>
      </c>
      <c r="AN128" s="498">
        <v>688116.46769299998</v>
      </c>
      <c r="AO128" s="603">
        <v>248924.71769300001</v>
      </c>
    </row>
    <row r="129" spans="1:41" ht="12" thickBot="1">
      <c r="A129" s="918"/>
      <c r="B129" s="918"/>
      <c r="C129" s="918"/>
      <c r="D129" s="918"/>
      <c r="E129" s="917" t="s">
        <v>3702</v>
      </c>
      <c r="F129" s="600" t="s">
        <v>308</v>
      </c>
      <c r="G129" s="600" t="s">
        <v>308</v>
      </c>
      <c r="H129" s="601">
        <v>170516</v>
      </c>
      <c r="I129" s="602">
        <v>1650000</v>
      </c>
      <c r="J129" s="602">
        <v>2.8</v>
      </c>
      <c r="K129" s="776">
        <v>27348.066298000002</v>
      </c>
      <c r="L129" s="776">
        <v>385</v>
      </c>
      <c r="M129" s="498">
        <v>2.8388888889244499</v>
      </c>
      <c r="N129" s="602">
        <v>4.76934145181818</v>
      </c>
      <c r="O129" s="602">
        <v>1.9304525629292899</v>
      </c>
      <c r="P129" s="498">
        <v>646.80110100000002</v>
      </c>
      <c r="Q129" s="602">
        <v>261.80110100000002</v>
      </c>
      <c r="R129" s="602">
        <v>-0.469026216666667</v>
      </c>
      <c r="S129" s="602">
        <v>-63.607664999999997</v>
      </c>
      <c r="T129" s="602">
        <v>0</v>
      </c>
      <c r="U129" s="602">
        <v>0</v>
      </c>
      <c r="V129" s="602">
        <v>0</v>
      </c>
      <c r="W129" s="602">
        <v>0</v>
      </c>
      <c r="X129" s="602">
        <v>0</v>
      </c>
      <c r="Y129" s="602">
        <v>0</v>
      </c>
      <c r="Z129" s="602">
        <v>0</v>
      </c>
      <c r="AA129" s="602">
        <v>0</v>
      </c>
      <c r="AB129" s="602">
        <v>0</v>
      </c>
      <c r="AC129" s="602">
        <v>0</v>
      </c>
      <c r="AD129" s="602">
        <v>0</v>
      </c>
      <c r="AE129" s="602">
        <v>0</v>
      </c>
      <c r="AF129" s="602">
        <v>0</v>
      </c>
      <c r="AG129" s="602">
        <v>0</v>
      </c>
      <c r="AH129" s="602">
        <v>0</v>
      </c>
      <c r="AI129" s="602">
        <v>0</v>
      </c>
      <c r="AJ129" s="498">
        <v>0</v>
      </c>
      <c r="AK129" s="498">
        <v>0</v>
      </c>
      <c r="AL129" s="602">
        <v>4.3003152351515199</v>
      </c>
      <c r="AM129" s="602">
        <v>1.46142634626263</v>
      </c>
      <c r="AN129" s="498">
        <v>583.19343600000002</v>
      </c>
      <c r="AO129" s="603">
        <v>198.19343599999999</v>
      </c>
    </row>
    <row r="130" spans="1:41" ht="12" thickBot="1">
      <c r="A130" s="918"/>
      <c r="B130" s="919"/>
      <c r="C130" s="919"/>
      <c r="D130" s="919"/>
      <c r="E130" s="919"/>
      <c r="F130" s="600" t="s">
        <v>303</v>
      </c>
      <c r="G130" s="600" t="s">
        <v>305</v>
      </c>
      <c r="H130" s="601">
        <v>170522</v>
      </c>
      <c r="I130" s="602">
        <v>100780</v>
      </c>
      <c r="J130" s="602">
        <v>2.8</v>
      </c>
      <c r="K130" s="776">
        <v>100780</v>
      </c>
      <c r="L130" s="776">
        <v>1406.12</v>
      </c>
      <c r="M130" s="498">
        <v>2.8135997780845301</v>
      </c>
      <c r="N130" s="602">
        <v>3.9389823295971</v>
      </c>
      <c r="O130" s="602">
        <v>1.1253825515125699</v>
      </c>
      <c r="P130" s="498">
        <v>1968.5393340000001</v>
      </c>
      <c r="Q130" s="602">
        <v>562.41933400000005</v>
      </c>
      <c r="R130" s="602">
        <v>-0.34361807237799302</v>
      </c>
      <c r="S130" s="602">
        <v>-171.72600299999999</v>
      </c>
      <c r="T130" s="602">
        <v>0</v>
      </c>
      <c r="U130" s="602">
        <v>0</v>
      </c>
      <c r="V130" s="602">
        <v>0</v>
      </c>
      <c r="W130" s="602">
        <v>0</v>
      </c>
      <c r="X130" s="602">
        <v>0</v>
      </c>
      <c r="Y130" s="602">
        <v>0</v>
      </c>
      <c r="Z130" s="602">
        <v>0</v>
      </c>
      <c r="AA130" s="602">
        <v>0</v>
      </c>
      <c r="AB130" s="602">
        <v>0</v>
      </c>
      <c r="AC130" s="602">
        <v>0</v>
      </c>
      <c r="AD130" s="602">
        <v>0</v>
      </c>
      <c r="AE130" s="602">
        <v>0</v>
      </c>
      <c r="AF130" s="602">
        <v>0</v>
      </c>
      <c r="AG130" s="602">
        <v>0</v>
      </c>
      <c r="AH130" s="602">
        <v>0</v>
      </c>
      <c r="AI130" s="602">
        <v>0</v>
      </c>
      <c r="AJ130" s="498">
        <v>0</v>
      </c>
      <c r="AK130" s="498">
        <v>0</v>
      </c>
      <c r="AL130" s="602">
        <v>3.59536425721911</v>
      </c>
      <c r="AM130" s="602">
        <v>0.78176447913457403</v>
      </c>
      <c r="AN130" s="498">
        <v>1796.8133310000001</v>
      </c>
      <c r="AO130" s="603">
        <v>390.693331</v>
      </c>
    </row>
    <row r="131" spans="1:41" ht="12" thickBot="1">
      <c r="A131" s="918"/>
      <c r="B131" s="917" t="s">
        <v>218</v>
      </c>
      <c r="C131" s="917" t="s">
        <v>325</v>
      </c>
      <c r="D131" s="917" t="s">
        <v>326</v>
      </c>
      <c r="E131" s="600" t="s">
        <v>327</v>
      </c>
      <c r="F131" s="600" t="s">
        <v>327</v>
      </c>
      <c r="G131" s="600" t="s">
        <v>327</v>
      </c>
      <c r="H131" s="601">
        <v>170301</v>
      </c>
      <c r="I131" s="602">
        <v>10675511595.9489</v>
      </c>
      <c r="J131" s="602">
        <v>0.34473537991304398</v>
      </c>
      <c r="K131" s="776">
        <v>10593498968.7717</v>
      </c>
      <c r="L131" s="776">
        <v>18361954.744833</v>
      </c>
      <c r="M131" s="498">
        <v>0.34953749832960301</v>
      </c>
      <c r="N131" s="602">
        <v>3.28256037026881</v>
      </c>
      <c r="O131" s="602">
        <v>2.9330228719392002</v>
      </c>
      <c r="P131" s="498">
        <v>172439939.21711299</v>
      </c>
      <c r="Q131" s="602">
        <v>154077984.47227901</v>
      </c>
      <c r="R131" s="602">
        <v>-0.24492874510540599</v>
      </c>
      <c r="S131" s="602">
        <v>-12866632.492441</v>
      </c>
      <c r="T131" s="602">
        <v>0</v>
      </c>
      <c r="U131" s="602">
        <v>0</v>
      </c>
      <c r="V131" s="602">
        <v>0</v>
      </c>
      <c r="W131" s="602">
        <v>0</v>
      </c>
      <c r="X131" s="602">
        <v>6.7789176819961994E-2</v>
      </c>
      <c r="Y131" s="602">
        <v>3561110.9048560001</v>
      </c>
      <c r="Z131" s="602">
        <v>0</v>
      </c>
      <c r="AA131" s="602">
        <v>0</v>
      </c>
      <c r="AB131" s="602">
        <v>0</v>
      </c>
      <c r="AC131" s="602">
        <v>0</v>
      </c>
      <c r="AD131" s="602">
        <v>0</v>
      </c>
      <c r="AE131" s="602">
        <v>0</v>
      </c>
      <c r="AF131" s="602">
        <v>0</v>
      </c>
      <c r="AG131" s="602">
        <v>0</v>
      </c>
      <c r="AH131" s="602">
        <v>0</v>
      </c>
      <c r="AI131" s="602">
        <v>0</v>
      </c>
      <c r="AJ131" s="498">
        <v>0</v>
      </c>
      <c r="AK131" s="498">
        <v>0</v>
      </c>
      <c r="AL131" s="602">
        <v>3.10542076443563</v>
      </c>
      <c r="AM131" s="602">
        <v>2.75588326610603</v>
      </c>
      <c r="AN131" s="498">
        <v>163134415.657065</v>
      </c>
      <c r="AO131" s="603">
        <v>144772460.91223201</v>
      </c>
    </row>
    <row r="132" spans="1:41" ht="12" thickBot="1">
      <c r="A132" s="918"/>
      <c r="B132" s="918"/>
      <c r="C132" s="918"/>
      <c r="D132" s="918"/>
      <c r="E132" s="600" t="s">
        <v>328</v>
      </c>
      <c r="F132" s="600" t="s">
        <v>328</v>
      </c>
      <c r="G132" s="600" t="s">
        <v>328</v>
      </c>
      <c r="H132" s="601">
        <v>170302</v>
      </c>
      <c r="I132" s="602">
        <v>71361831474.299896</v>
      </c>
      <c r="J132" s="602">
        <v>0.30017161625853001</v>
      </c>
      <c r="K132" s="776">
        <v>69873818446.725693</v>
      </c>
      <c r="L132" s="776">
        <v>105456414.43000001</v>
      </c>
      <c r="M132" s="498">
        <v>0.30434965479081</v>
      </c>
      <c r="N132" s="602">
        <v>3.3001583780584398</v>
      </c>
      <c r="O132" s="602">
        <v>2.9958087232676398</v>
      </c>
      <c r="P132" s="498">
        <v>1143496843.5905499</v>
      </c>
      <c r="Q132" s="602">
        <v>1038040429.16056</v>
      </c>
      <c r="R132" s="602">
        <v>-0.24638004411936301</v>
      </c>
      <c r="S132" s="602">
        <v>-85370085.462366298</v>
      </c>
      <c r="T132" s="602">
        <v>0</v>
      </c>
      <c r="U132" s="602">
        <v>0</v>
      </c>
      <c r="V132" s="602">
        <v>0</v>
      </c>
      <c r="W132" s="602">
        <v>0</v>
      </c>
      <c r="X132" s="602">
        <v>7.0505697318297006E-2</v>
      </c>
      <c r="Y132" s="602">
        <v>24430052.4710139</v>
      </c>
      <c r="Z132" s="602">
        <v>0</v>
      </c>
      <c r="AA132" s="602">
        <v>0</v>
      </c>
      <c r="AB132" s="602">
        <v>0</v>
      </c>
      <c r="AC132" s="602">
        <v>0</v>
      </c>
      <c r="AD132" s="602">
        <v>0</v>
      </c>
      <c r="AE132" s="602">
        <v>0</v>
      </c>
      <c r="AF132" s="602">
        <v>0</v>
      </c>
      <c r="AG132" s="602">
        <v>0</v>
      </c>
      <c r="AH132" s="602">
        <v>0</v>
      </c>
      <c r="AI132" s="602">
        <v>0</v>
      </c>
      <c r="AJ132" s="498">
        <v>0</v>
      </c>
      <c r="AK132" s="498">
        <v>0</v>
      </c>
      <c r="AL132" s="602">
        <v>3.1242839841065502</v>
      </c>
      <c r="AM132" s="602">
        <v>2.8199343293157302</v>
      </c>
      <c r="AN132" s="498">
        <v>1082556794.2615499</v>
      </c>
      <c r="AO132" s="603">
        <v>977100379.83155203</v>
      </c>
    </row>
    <row r="133" spans="1:41" ht="12" thickBot="1">
      <c r="A133" s="918"/>
      <c r="B133" s="918"/>
      <c r="C133" s="918"/>
      <c r="D133" s="918"/>
      <c r="E133" s="600" t="s">
        <v>329</v>
      </c>
      <c r="F133" s="600" t="s">
        <v>329</v>
      </c>
      <c r="G133" s="600" t="s">
        <v>329</v>
      </c>
      <c r="H133" s="601">
        <v>170303</v>
      </c>
      <c r="I133" s="602">
        <v>162944443.40000001</v>
      </c>
      <c r="J133" s="602">
        <v>0.300015385679608</v>
      </c>
      <c r="K133" s="776">
        <v>152310693.79021701</v>
      </c>
      <c r="L133" s="776">
        <v>229745.36</v>
      </c>
      <c r="M133" s="498">
        <v>0.30417999065893803</v>
      </c>
      <c r="N133" s="602">
        <v>3.30627199037251</v>
      </c>
      <c r="O133" s="602">
        <v>3.00209199971358</v>
      </c>
      <c r="P133" s="498">
        <v>2497207.8112059999</v>
      </c>
      <c r="Q133" s="602">
        <v>2267462.4512060001</v>
      </c>
      <c r="R133" s="602">
        <v>-0.247396695099798</v>
      </c>
      <c r="S133" s="602">
        <v>-186857.270445</v>
      </c>
      <c r="T133" s="602">
        <v>0</v>
      </c>
      <c r="U133" s="602">
        <v>0</v>
      </c>
      <c r="V133" s="602">
        <v>0</v>
      </c>
      <c r="W133" s="602">
        <v>0</v>
      </c>
      <c r="X133" s="602">
        <v>7.2732114811615997E-2</v>
      </c>
      <c r="Y133" s="602">
        <v>54934.139043000003</v>
      </c>
      <c r="Z133" s="602">
        <v>0</v>
      </c>
      <c r="AA133" s="602">
        <v>0</v>
      </c>
      <c r="AB133" s="602">
        <v>0</v>
      </c>
      <c r="AC133" s="602">
        <v>0</v>
      </c>
      <c r="AD133" s="602">
        <v>0</v>
      </c>
      <c r="AE133" s="602">
        <v>0</v>
      </c>
      <c r="AF133" s="602">
        <v>0</v>
      </c>
      <c r="AG133" s="602">
        <v>0</v>
      </c>
      <c r="AH133" s="602">
        <v>0</v>
      </c>
      <c r="AI133" s="602">
        <v>0</v>
      </c>
      <c r="AJ133" s="498">
        <v>0</v>
      </c>
      <c r="AK133" s="498">
        <v>0</v>
      </c>
      <c r="AL133" s="602">
        <v>3.13160740418332</v>
      </c>
      <c r="AM133" s="602">
        <v>2.82742741352439</v>
      </c>
      <c r="AN133" s="498">
        <v>2365284.6753469999</v>
      </c>
      <c r="AO133" s="603">
        <v>2135539.315347</v>
      </c>
    </row>
    <row r="134" spans="1:41" ht="12" thickBot="1">
      <c r="A134" s="918"/>
      <c r="B134" s="918"/>
      <c r="C134" s="918"/>
      <c r="D134" s="918"/>
      <c r="E134" s="600" t="s">
        <v>330</v>
      </c>
      <c r="F134" s="600" t="s">
        <v>330</v>
      </c>
      <c r="G134" s="600" t="s">
        <v>330</v>
      </c>
      <c r="H134" s="601">
        <v>170304</v>
      </c>
      <c r="I134" s="602">
        <v>58253732.930000097</v>
      </c>
      <c r="J134" s="602">
        <v>0.3</v>
      </c>
      <c r="K134" s="776">
        <v>54645339.243148997</v>
      </c>
      <c r="L134" s="776">
        <v>82422.690000000104</v>
      </c>
      <c r="M134" s="498">
        <v>0.30416409566812302</v>
      </c>
      <c r="N134" s="602">
        <v>3.3058732782872799</v>
      </c>
      <c r="O134" s="602">
        <v>2.95480231244508</v>
      </c>
      <c r="P134" s="498">
        <v>895828.83803900098</v>
      </c>
      <c r="Q134" s="602">
        <v>800695.27757700102</v>
      </c>
      <c r="R134" s="602">
        <v>-0.247408275917604</v>
      </c>
      <c r="S134" s="602">
        <v>-67042.941359000004</v>
      </c>
      <c r="T134" s="602">
        <v>0</v>
      </c>
      <c r="U134" s="602">
        <v>0</v>
      </c>
      <c r="V134" s="602">
        <v>0</v>
      </c>
      <c r="W134" s="602">
        <v>0</v>
      </c>
      <c r="X134" s="602">
        <v>6.9657586842245003E-2</v>
      </c>
      <c r="Y134" s="602">
        <v>18875.882355000002</v>
      </c>
      <c r="Z134" s="602">
        <v>0</v>
      </c>
      <c r="AA134" s="602">
        <v>0</v>
      </c>
      <c r="AB134" s="602">
        <v>0</v>
      </c>
      <c r="AC134" s="602">
        <v>0</v>
      </c>
      <c r="AD134" s="602">
        <v>0</v>
      </c>
      <c r="AE134" s="602">
        <v>0</v>
      </c>
      <c r="AF134" s="602">
        <v>0</v>
      </c>
      <c r="AG134" s="602">
        <v>0</v>
      </c>
      <c r="AH134" s="602">
        <v>0</v>
      </c>
      <c r="AI134" s="602">
        <v>0</v>
      </c>
      <c r="AJ134" s="498">
        <v>0</v>
      </c>
      <c r="AK134" s="498">
        <v>0</v>
      </c>
      <c r="AL134" s="602">
        <v>3.1281225790414702</v>
      </c>
      <c r="AM134" s="602">
        <v>2.78036664149574</v>
      </c>
      <c r="AN134" s="498">
        <v>847661.77627900103</v>
      </c>
      <c r="AO134" s="603">
        <v>753426.52549100004</v>
      </c>
    </row>
    <row r="135" spans="1:41" ht="12" thickBot="1">
      <c r="A135" s="918"/>
      <c r="B135" s="918"/>
      <c r="C135" s="918"/>
      <c r="D135" s="918"/>
      <c r="E135" s="917" t="s">
        <v>331</v>
      </c>
      <c r="F135" s="917" t="s">
        <v>331</v>
      </c>
      <c r="G135" s="600" t="s">
        <v>331</v>
      </c>
      <c r="H135" s="601">
        <v>170305</v>
      </c>
      <c r="I135" s="602">
        <v>45667324.189999998</v>
      </c>
      <c r="J135" s="602">
        <v>0.42371956032486802</v>
      </c>
      <c r="K135" s="776">
        <v>42947310.589068003</v>
      </c>
      <c r="L135" s="776">
        <v>109650.94</v>
      </c>
      <c r="M135" s="498">
        <v>0.51486180592484398</v>
      </c>
      <c r="N135" s="602">
        <v>3.3840923115995301</v>
      </c>
      <c r="O135" s="602">
        <v>2.8692305056745999</v>
      </c>
      <c r="P135" s="498">
        <v>720715.53714699997</v>
      </c>
      <c r="Q135" s="602">
        <v>611064.59714700002</v>
      </c>
      <c r="R135" s="602">
        <v>-0.260051996198224</v>
      </c>
      <c r="S135" s="602">
        <v>-55383.688407000001</v>
      </c>
      <c r="T135" s="602">
        <v>0</v>
      </c>
      <c r="U135" s="602">
        <v>0</v>
      </c>
      <c r="V135" s="602">
        <v>0</v>
      </c>
      <c r="W135" s="602">
        <v>0</v>
      </c>
      <c r="X135" s="602">
        <v>8.2383719110457998E-2</v>
      </c>
      <c r="Y135" s="602">
        <v>17545.392059000002</v>
      </c>
      <c r="Z135" s="602">
        <v>0</v>
      </c>
      <c r="AA135" s="602">
        <v>0</v>
      </c>
      <c r="AB135" s="602">
        <v>0</v>
      </c>
      <c r="AC135" s="602">
        <v>0</v>
      </c>
      <c r="AD135" s="602">
        <v>0</v>
      </c>
      <c r="AE135" s="602">
        <v>0</v>
      </c>
      <c r="AF135" s="602">
        <v>0</v>
      </c>
      <c r="AG135" s="602">
        <v>0</v>
      </c>
      <c r="AH135" s="602">
        <v>0</v>
      </c>
      <c r="AI135" s="602">
        <v>0</v>
      </c>
      <c r="AJ135" s="498">
        <v>0</v>
      </c>
      <c r="AK135" s="498">
        <v>0</v>
      </c>
      <c r="AL135" s="602">
        <v>3.2064216815782598</v>
      </c>
      <c r="AM135" s="602">
        <v>2.6915598756533399</v>
      </c>
      <c r="AN135" s="498">
        <v>682876.73969099903</v>
      </c>
      <c r="AO135" s="603">
        <v>573225.79969100095</v>
      </c>
    </row>
    <row r="136" spans="1:41" ht="12" thickBot="1">
      <c r="A136" s="918"/>
      <c r="B136" s="918"/>
      <c r="C136" s="918"/>
      <c r="D136" s="918"/>
      <c r="E136" s="919"/>
      <c r="F136" s="919"/>
      <c r="G136" s="600" t="s">
        <v>4182</v>
      </c>
      <c r="H136" s="601">
        <v>175306</v>
      </c>
      <c r="I136" s="602">
        <v>770782.61</v>
      </c>
      <c r="J136" s="602">
        <v>0.3</v>
      </c>
      <c r="K136" s="776">
        <v>1555800.7459740001</v>
      </c>
      <c r="L136" s="776">
        <v>2346.33</v>
      </c>
      <c r="M136" s="498">
        <v>0.30412309929518999</v>
      </c>
      <c r="N136" s="602">
        <v>3.44230858894251</v>
      </c>
      <c r="O136" s="602">
        <v>3.13818548964593</v>
      </c>
      <c r="P136" s="498">
        <v>26557.64041</v>
      </c>
      <c r="Q136" s="602">
        <v>24211.310409999998</v>
      </c>
      <c r="R136" s="602">
        <v>-0.268695946405762</v>
      </c>
      <c r="S136" s="602">
        <v>-2073.0071520000001</v>
      </c>
      <c r="T136" s="602">
        <v>0</v>
      </c>
      <c r="U136" s="602">
        <v>0</v>
      </c>
      <c r="V136" s="602">
        <v>0</v>
      </c>
      <c r="W136" s="602">
        <v>0</v>
      </c>
      <c r="X136" s="602">
        <v>0.118887422252502</v>
      </c>
      <c r="Y136" s="602">
        <v>917.22439399999996</v>
      </c>
      <c r="Z136" s="602">
        <v>0</v>
      </c>
      <c r="AA136" s="602">
        <v>0</v>
      </c>
      <c r="AB136" s="602">
        <v>0</v>
      </c>
      <c r="AC136" s="602">
        <v>0</v>
      </c>
      <c r="AD136" s="602">
        <v>0</v>
      </c>
      <c r="AE136" s="602">
        <v>0</v>
      </c>
      <c r="AF136" s="602">
        <v>0</v>
      </c>
      <c r="AG136" s="602">
        <v>0</v>
      </c>
      <c r="AH136" s="602">
        <v>0</v>
      </c>
      <c r="AI136" s="602">
        <v>0</v>
      </c>
      <c r="AJ136" s="498">
        <v>0</v>
      </c>
      <c r="AK136" s="498">
        <v>0</v>
      </c>
      <c r="AL136" s="602">
        <v>3.2924993166427798</v>
      </c>
      <c r="AM136" s="602">
        <v>2.9883762173461901</v>
      </c>
      <c r="AN136" s="498">
        <v>25401.851879999998</v>
      </c>
      <c r="AO136" s="603">
        <v>23055.52188</v>
      </c>
    </row>
    <row r="137" spans="1:41" ht="12" thickBot="1">
      <c r="A137" s="918"/>
      <c r="B137" s="918"/>
      <c r="C137" s="918"/>
      <c r="D137" s="918"/>
      <c r="E137" s="600" t="s">
        <v>332</v>
      </c>
      <c r="F137" s="600" t="s">
        <v>332</v>
      </c>
      <c r="G137" s="600" t="s">
        <v>332</v>
      </c>
      <c r="H137" s="601">
        <v>170307</v>
      </c>
      <c r="I137" s="602">
        <v>0</v>
      </c>
      <c r="J137" s="602">
        <v>0</v>
      </c>
      <c r="K137" s="776">
        <v>0</v>
      </c>
      <c r="L137" s="776">
        <v>0</v>
      </c>
      <c r="M137" s="498">
        <v>0</v>
      </c>
      <c r="N137" s="602">
        <v>0</v>
      </c>
      <c r="O137" s="602">
        <v>0</v>
      </c>
      <c r="P137" s="498">
        <v>0</v>
      </c>
      <c r="Q137" s="602">
        <v>0</v>
      </c>
      <c r="R137" s="602">
        <v>0</v>
      </c>
      <c r="S137" s="602">
        <v>0</v>
      </c>
      <c r="T137" s="602">
        <v>0</v>
      </c>
      <c r="U137" s="602">
        <v>0</v>
      </c>
      <c r="V137" s="602">
        <v>0</v>
      </c>
      <c r="W137" s="602">
        <v>0</v>
      </c>
      <c r="X137" s="602">
        <v>0</v>
      </c>
      <c r="Y137" s="602">
        <v>0</v>
      </c>
      <c r="Z137" s="602">
        <v>0</v>
      </c>
      <c r="AA137" s="602">
        <v>0</v>
      </c>
      <c r="AB137" s="602">
        <v>0</v>
      </c>
      <c r="AC137" s="602">
        <v>0</v>
      </c>
      <c r="AD137" s="602">
        <v>0</v>
      </c>
      <c r="AE137" s="602">
        <v>0</v>
      </c>
      <c r="AF137" s="602">
        <v>0</v>
      </c>
      <c r="AG137" s="602">
        <v>0</v>
      </c>
      <c r="AH137" s="602">
        <v>0</v>
      </c>
      <c r="AI137" s="602">
        <v>0</v>
      </c>
      <c r="AJ137" s="498">
        <v>0</v>
      </c>
      <c r="AK137" s="498">
        <v>0</v>
      </c>
      <c r="AL137" s="602">
        <v>0</v>
      </c>
      <c r="AM137" s="602">
        <v>0</v>
      </c>
      <c r="AN137" s="498">
        <v>0</v>
      </c>
      <c r="AO137" s="603">
        <v>0</v>
      </c>
    </row>
    <row r="138" spans="1:41" ht="12" thickBot="1">
      <c r="A138" s="918"/>
      <c r="B138" s="918"/>
      <c r="C138" s="919"/>
      <c r="D138" s="919"/>
      <c r="E138" s="600" t="s">
        <v>333</v>
      </c>
      <c r="F138" s="600" t="s">
        <v>333</v>
      </c>
      <c r="G138" s="600" t="s">
        <v>333</v>
      </c>
      <c r="H138" s="601">
        <v>170308</v>
      </c>
      <c r="I138" s="602">
        <v>1084072.82</v>
      </c>
      <c r="J138" s="602">
        <v>0.301710182624079</v>
      </c>
      <c r="K138" s="776">
        <v>1481077.4491729999</v>
      </c>
      <c r="L138" s="776">
        <v>2242.12</v>
      </c>
      <c r="M138" s="498">
        <v>0.30527790511356501</v>
      </c>
      <c r="N138" s="602">
        <v>3.2335881443507901</v>
      </c>
      <c r="O138" s="602">
        <v>2.9283102392368598</v>
      </c>
      <c r="P138" s="498">
        <v>23749.156190999998</v>
      </c>
      <c r="Q138" s="602">
        <v>21507.036190999999</v>
      </c>
      <c r="R138" s="602">
        <v>-0.23470472035215401</v>
      </c>
      <c r="S138" s="602">
        <v>-1723.7937589999999</v>
      </c>
      <c r="T138" s="602">
        <v>0</v>
      </c>
      <c r="U138" s="602">
        <v>0</v>
      </c>
      <c r="V138" s="602">
        <v>0</v>
      </c>
      <c r="W138" s="602">
        <v>0</v>
      </c>
      <c r="X138" s="602">
        <v>4.8544387388372003E-2</v>
      </c>
      <c r="Y138" s="602">
        <v>356.53527500000001</v>
      </c>
      <c r="Z138" s="602">
        <v>0</v>
      </c>
      <c r="AA138" s="602">
        <v>0</v>
      </c>
      <c r="AB138" s="602">
        <v>0</v>
      </c>
      <c r="AC138" s="602">
        <v>0</v>
      </c>
      <c r="AD138" s="602">
        <v>0</v>
      </c>
      <c r="AE138" s="602">
        <v>0</v>
      </c>
      <c r="AF138" s="602">
        <v>0</v>
      </c>
      <c r="AG138" s="602">
        <v>0</v>
      </c>
      <c r="AH138" s="602">
        <v>0</v>
      </c>
      <c r="AI138" s="602">
        <v>0</v>
      </c>
      <c r="AJ138" s="498">
        <v>0</v>
      </c>
      <c r="AK138" s="498">
        <v>0</v>
      </c>
      <c r="AL138" s="602">
        <v>3.0474277385435902</v>
      </c>
      <c r="AM138" s="602">
        <v>2.7421498334296701</v>
      </c>
      <c r="AN138" s="498">
        <v>22381.897172000001</v>
      </c>
      <c r="AO138" s="603">
        <v>20139.777171999998</v>
      </c>
    </row>
    <row r="139" spans="1:41" ht="12" thickBot="1">
      <c r="A139" s="918"/>
      <c r="B139" s="918"/>
      <c r="C139" s="917" t="s">
        <v>334</v>
      </c>
      <c r="D139" s="917" t="s">
        <v>335</v>
      </c>
      <c r="E139" s="600" t="s">
        <v>336</v>
      </c>
      <c r="F139" s="600" t="s">
        <v>336</v>
      </c>
      <c r="G139" s="600" t="s">
        <v>336</v>
      </c>
      <c r="H139" s="601">
        <v>170311</v>
      </c>
      <c r="I139" s="602">
        <v>4051281699.8966799</v>
      </c>
      <c r="J139" s="602">
        <v>1.4256725777802199</v>
      </c>
      <c r="K139" s="776">
        <v>4030462658.50353</v>
      </c>
      <c r="L139" s="776">
        <v>26293617.852543</v>
      </c>
      <c r="M139" s="498">
        <v>1.3155571957471801</v>
      </c>
      <c r="N139" s="602">
        <v>3.0345860755723599</v>
      </c>
      <c r="O139" s="602">
        <v>1.71902887982518</v>
      </c>
      <c r="P139" s="498">
        <v>60651294.272636898</v>
      </c>
      <c r="Q139" s="602">
        <v>34357676.420093998</v>
      </c>
      <c r="R139" s="602">
        <v>-0.20963326325690501</v>
      </c>
      <c r="S139" s="602">
        <v>-4189872.4974310002</v>
      </c>
      <c r="T139" s="602">
        <v>0</v>
      </c>
      <c r="U139" s="602">
        <v>0</v>
      </c>
      <c r="V139" s="602">
        <v>0</v>
      </c>
      <c r="W139" s="602">
        <v>0</v>
      </c>
      <c r="X139" s="602">
        <v>0.153861069546773</v>
      </c>
      <c r="Y139" s="602">
        <v>3075171.6292719999</v>
      </c>
      <c r="Z139" s="602">
        <v>0</v>
      </c>
      <c r="AA139" s="602">
        <v>0</v>
      </c>
      <c r="AB139" s="602">
        <v>0</v>
      </c>
      <c r="AC139" s="602">
        <v>0</v>
      </c>
      <c r="AD139" s="602">
        <v>0</v>
      </c>
      <c r="AE139" s="602">
        <v>0</v>
      </c>
      <c r="AF139" s="602">
        <v>0</v>
      </c>
      <c r="AG139" s="602">
        <v>0</v>
      </c>
      <c r="AH139" s="602">
        <v>0</v>
      </c>
      <c r="AI139" s="602">
        <v>0</v>
      </c>
      <c r="AJ139" s="498">
        <v>0</v>
      </c>
      <c r="AK139" s="498">
        <v>0</v>
      </c>
      <c r="AL139" s="602">
        <v>2.9788138781809801</v>
      </c>
      <c r="AM139" s="602">
        <v>1.66325668243379</v>
      </c>
      <c r="AN139" s="498">
        <v>59536593.330902003</v>
      </c>
      <c r="AO139" s="603">
        <v>33242975.478358999</v>
      </c>
    </row>
    <row r="140" spans="1:41" ht="12" thickBot="1">
      <c r="A140" s="918"/>
      <c r="B140" s="918"/>
      <c r="C140" s="918"/>
      <c r="D140" s="918"/>
      <c r="E140" s="600" t="s">
        <v>337</v>
      </c>
      <c r="F140" s="600" t="s">
        <v>337</v>
      </c>
      <c r="G140" s="600" t="s">
        <v>337</v>
      </c>
      <c r="H140" s="601">
        <v>170312</v>
      </c>
      <c r="I140" s="602">
        <v>5661512455.9807901</v>
      </c>
      <c r="J140" s="602">
        <v>1.6829626634916499</v>
      </c>
      <c r="K140" s="776">
        <v>5477173319.7148504</v>
      </c>
      <c r="L140" s="776">
        <v>41670709.306828998</v>
      </c>
      <c r="M140" s="498">
        <v>1.5342237400281</v>
      </c>
      <c r="N140" s="602">
        <v>3.1169834004830501</v>
      </c>
      <c r="O140" s="602">
        <v>1.5827596604549501</v>
      </c>
      <c r="P140" s="498">
        <v>84659691.938649207</v>
      </c>
      <c r="Q140" s="602">
        <v>42988982.631820001</v>
      </c>
      <c r="R140" s="602">
        <v>-0.221904842224562</v>
      </c>
      <c r="S140" s="602">
        <v>-6027107.9979170002</v>
      </c>
      <c r="T140" s="602">
        <v>0</v>
      </c>
      <c r="U140" s="602">
        <v>0</v>
      </c>
      <c r="V140" s="602">
        <v>0</v>
      </c>
      <c r="W140" s="602">
        <v>0</v>
      </c>
      <c r="X140" s="602">
        <v>0.16573831727161101</v>
      </c>
      <c r="Y140" s="602">
        <v>4501581.5228500003</v>
      </c>
      <c r="Z140" s="602">
        <v>0</v>
      </c>
      <c r="AA140" s="602">
        <v>0</v>
      </c>
      <c r="AB140" s="602">
        <v>0</v>
      </c>
      <c r="AC140" s="602">
        <v>0</v>
      </c>
      <c r="AD140" s="602">
        <v>0</v>
      </c>
      <c r="AE140" s="602">
        <v>0</v>
      </c>
      <c r="AF140" s="602">
        <v>0</v>
      </c>
      <c r="AG140" s="602">
        <v>0</v>
      </c>
      <c r="AH140" s="602">
        <v>0</v>
      </c>
      <c r="AI140" s="602">
        <v>0</v>
      </c>
      <c r="AJ140" s="498">
        <v>0</v>
      </c>
      <c r="AK140" s="498">
        <v>0</v>
      </c>
      <c r="AL140" s="602">
        <v>3.06081688129624</v>
      </c>
      <c r="AM140" s="602">
        <v>1.5265931412681499</v>
      </c>
      <c r="AN140" s="498">
        <v>83134165.620194897</v>
      </c>
      <c r="AO140" s="603">
        <v>41463456.313366003</v>
      </c>
    </row>
    <row r="141" spans="1:41" ht="12" thickBot="1">
      <c r="A141" s="918"/>
      <c r="B141" s="918"/>
      <c r="C141" s="918"/>
      <c r="D141" s="918"/>
      <c r="E141" s="600" t="s">
        <v>338</v>
      </c>
      <c r="F141" s="600" t="s">
        <v>338</v>
      </c>
      <c r="G141" s="600" t="s">
        <v>338</v>
      </c>
      <c r="H141" s="601">
        <v>170313</v>
      </c>
      <c r="I141" s="602">
        <v>5171.87</v>
      </c>
      <c r="J141" s="602">
        <v>0.35</v>
      </c>
      <c r="K141" s="776">
        <v>5171.87</v>
      </c>
      <c r="L141" s="776">
        <v>7.8</v>
      </c>
      <c r="M141" s="498">
        <v>0.30413142186396402</v>
      </c>
      <c r="N141" s="602">
        <v>2.2152362717111198</v>
      </c>
      <c r="O141" s="602">
        <v>1.9111048498471499</v>
      </c>
      <c r="P141" s="498">
        <v>56.813738000000001</v>
      </c>
      <c r="Q141" s="602">
        <v>49.013737999999996</v>
      </c>
      <c r="R141" s="602">
        <v>-8.8111083964447001E-2</v>
      </c>
      <c r="S141" s="602">
        <v>-2.2597680000000002</v>
      </c>
      <c r="T141" s="602">
        <v>0</v>
      </c>
      <c r="U141" s="602">
        <v>0</v>
      </c>
      <c r="V141" s="602">
        <v>0</v>
      </c>
      <c r="W141" s="602">
        <v>0</v>
      </c>
      <c r="X141" s="602">
        <v>0</v>
      </c>
      <c r="Y141" s="602">
        <v>0</v>
      </c>
      <c r="Z141" s="602">
        <v>0</v>
      </c>
      <c r="AA141" s="602">
        <v>0</v>
      </c>
      <c r="AB141" s="602">
        <v>0</v>
      </c>
      <c r="AC141" s="602">
        <v>0</v>
      </c>
      <c r="AD141" s="602">
        <v>0</v>
      </c>
      <c r="AE141" s="602">
        <v>0</v>
      </c>
      <c r="AF141" s="602">
        <v>0</v>
      </c>
      <c r="AG141" s="602">
        <v>0</v>
      </c>
      <c r="AH141" s="602">
        <v>0</v>
      </c>
      <c r="AI141" s="602">
        <v>0</v>
      </c>
      <c r="AJ141" s="498">
        <v>0</v>
      </c>
      <c r="AK141" s="498">
        <v>0</v>
      </c>
      <c r="AL141" s="602">
        <v>2.1271205867841401</v>
      </c>
      <c r="AM141" s="602">
        <v>1.8229891649201699</v>
      </c>
      <c r="AN141" s="498">
        <v>54.553851999999999</v>
      </c>
      <c r="AO141" s="603">
        <v>46.753852000000002</v>
      </c>
    </row>
    <row r="142" spans="1:41" ht="12" thickBot="1">
      <c r="A142" s="918"/>
      <c r="B142" s="918"/>
      <c r="C142" s="918"/>
      <c r="D142" s="918"/>
      <c r="E142" s="600" t="s">
        <v>339</v>
      </c>
      <c r="F142" s="600" t="s">
        <v>339</v>
      </c>
      <c r="G142" s="600" t="s">
        <v>339</v>
      </c>
      <c r="H142" s="601">
        <v>170314</v>
      </c>
      <c r="I142" s="602">
        <v>53353460906.3601</v>
      </c>
      <c r="J142" s="602">
        <v>1.96886673695956</v>
      </c>
      <c r="K142" s="776">
        <v>52760967198.172501</v>
      </c>
      <c r="L142" s="776">
        <v>486548094.29101902</v>
      </c>
      <c r="M142" s="498">
        <v>1.8596333117838899</v>
      </c>
      <c r="N142" s="602">
        <v>3.4725129852096299</v>
      </c>
      <c r="O142" s="602">
        <v>1.61287967342574</v>
      </c>
      <c r="P142" s="498">
        <v>908536411.26370299</v>
      </c>
      <c r="Q142" s="602">
        <v>421988316.97268301</v>
      </c>
      <c r="R142" s="602">
        <v>-0.27509064068143502</v>
      </c>
      <c r="S142" s="602">
        <v>-71973773.610484004</v>
      </c>
      <c r="T142" s="602">
        <v>0</v>
      </c>
      <c r="U142" s="602">
        <v>0</v>
      </c>
      <c r="V142" s="602">
        <v>0</v>
      </c>
      <c r="W142" s="602">
        <v>0</v>
      </c>
      <c r="X142" s="602">
        <v>0.112465671984341</v>
      </c>
      <c r="Y142" s="602">
        <v>29425133.455288</v>
      </c>
      <c r="Z142" s="602">
        <v>0</v>
      </c>
      <c r="AA142" s="602">
        <v>0</v>
      </c>
      <c r="AB142" s="602">
        <v>0</v>
      </c>
      <c r="AC142" s="602">
        <v>0</v>
      </c>
      <c r="AD142" s="602">
        <v>0</v>
      </c>
      <c r="AE142" s="602">
        <v>0</v>
      </c>
      <c r="AF142" s="602">
        <v>0</v>
      </c>
      <c r="AG142" s="602">
        <v>0</v>
      </c>
      <c r="AH142" s="602">
        <v>0</v>
      </c>
      <c r="AI142" s="602">
        <v>0</v>
      </c>
      <c r="AJ142" s="498">
        <v>0</v>
      </c>
      <c r="AK142" s="498">
        <v>0</v>
      </c>
      <c r="AL142" s="602">
        <v>3.3098880030875599</v>
      </c>
      <c r="AM142" s="602">
        <v>1.45025469130368</v>
      </c>
      <c r="AN142" s="498">
        <v>865987767.59604299</v>
      </c>
      <c r="AO142" s="603">
        <v>379439673.30502403</v>
      </c>
    </row>
    <row r="143" spans="1:41" ht="12" thickBot="1">
      <c r="A143" s="918"/>
      <c r="B143" s="918"/>
      <c r="C143" s="918"/>
      <c r="D143" s="918"/>
      <c r="E143" s="600" t="s">
        <v>340</v>
      </c>
      <c r="F143" s="600" t="s">
        <v>340</v>
      </c>
      <c r="G143" s="600" t="s">
        <v>340</v>
      </c>
      <c r="H143" s="601">
        <v>170315</v>
      </c>
      <c r="I143" s="602">
        <v>15809883558.7647</v>
      </c>
      <c r="J143" s="602">
        <v>2.5527855801055601</v>
      </c>
      <c r="K143" s="776">
        <v>15908821397.3806</v>
      </c>
      <c r="L143" s="776">
        <v>198916106.92659801</v>
      </c>
      <c r="M143" s="498">
        <v>2.5214260433381201</v>
      </c>
      <c r="N143" s="602">
        <v>4.0565174718555399</v>
      </c>
      <c r="O143" s="602">
        <v>1.53509142851743</v>
      </c>
      <c r="P143" s="498">
        <v>320019960.65407699</v>
      </c>
      <c r="Q143" s="602">
        <v>121103853.727479</v>
      </c>
      <c r="R143" s="602">
        <v>-0.36081468469146699</v>
      </c>
      <c r="S143" s="602">
        <v>-28464785.866078999</v>
      </c>
      <c r="T143" s="602">
        <v>0</v>
      </c>
      <c r="U143" s="602">
        <v>0</v>
      </c>
      <c r="V143" s="602">
        <v>0</v>
      </c>
      <c r="W143" s="602">
        <v>0</v>
      </c>
      <c r="X143" s="602">
        <v>0.15009293450611799</v>
      </c>
      <c r="Y143" s="602">
        <v>11840879.603837</v>
      </c>
      <c r="Z143" s="602">
        <v>0</v>
      </c>
      <c r="AA143" s="602">
        <v>0</v>
      </c>
      <c r="AB143" s="602">
        <v>0</v>
      </c>
      <c r="AC143" s="602">
        <v>0</v>
      </c>
      <c r="AD143" s="602">
        <v>0</v>
      </c>
      <c r="AE143" s="602">
        <v>0</v>
      </c>
      <c r="AF143" s="602">
        <v>0</v>
      </c>
      <c r="AG143" s="602">
        <v>0</v>
      </c>
      <c r="AH143" s="602">
        <v>0</v>
      </c>
      <c r="AI143" s="602">
        <v>0</v>
      </c>
      <c r="AJ143" s="498">
        <v>0</v>
      </c>
      <c r="AK143" s="498">
        <v>0</v>
      </c>
      <c r="AL143" s="602">
        <v>3.84579572862524</v>
      </c>
      <c r="AM143" s="602">
        <v>1.3243696852871101</v>
      </c>
      <c r="AN143" s="498">
        <v>303396054.94051999</v>
      </c>
      <c r="AO143" s="603">
        <v>104479948.01392201</v>
      </c>
    </row>
    <row r="144" spans="1:41" ht="12" thickBot="1">
      <c r="A144" s="918"/>
      <c r="B144" s="918"/>
      <c r="C144" s="918"/>
      <c r="D144" s="918"/>
      <c r="E144" s="600" t="s">
        <v>341</v>
      </c>
      <c r="F144" s="600" t="s">
        <v>341</v>
      </c>
      <c r="G144" s="600" t="s">
        <v>341</v>
      </c>
      <c r="H144" s="601">
        <v>170316</v>
      </c>
      <c r="I144" s="602">
        <v>16267456261.35</v>
      </c>
      <c r="J144" s="602">
        <v>3.8585089186474701</v>
      </c>
      <c r="K144" s="776">
        <v>16295842333.5112</v>
      </c>
      <c r="L144" s="776">
        <v>303116548.41000098</v>
      </c>
      <c r="M144" s="498">
        <v>3.7510005036813201</v>
      </c>
      <c r="N144" s="602">
        <v>4.8720124569244501</v>
      </c>
      <c r="O144" s="602">
        <v>1.12101195324313</v>
      </c>
      <c r="P144" s="498">
        <v>393704985.72423798</v>
      </c>
      <c r="Q144" s="602">
        <v>90588437.314238101</v>
      </c>
      <c r="R144" s="602">
        <v>-0.48184968784631099</v>
      </c>
      <c r="S144" s="602">
        <v>-38938041.754211001</v>
      </c>
      <c r="T144" s="602">
        <v>0</v>
      </c>
      <c r="U144" s="602">
        <v>0</v>
      </c>
      <c r="V144" s="602">
        <v>0</v>
      </c>
      <c r="W144" s="602">
        <v>0</v>
      </c>
      <c r="X144" s="602">
        <v>8.5355180990015003E-2</v>
      </c>
      <c r="Y144" s="602">
        <v>6897511.164078</v>
      </c>
      <c r="Z144" s="602">
        <v>0</v>
      </c>
      <c r="AA144" s="602">
        <v>0</v>
      </c>
      <c r="AB144" s="602">
        <v>0</v>
      </c>
      <c r="AC144" s="602">
        <v>0</v>
      </c>
      <c r="AD144" s="602">
        <v>0</v>
      </c>
      <c r="AE144" s="602">
        <v>0</v>
      </c>
      <c r="AF144" s="602">
        <v>0</v>
      </c>
      <c r="AG144" s="602">
        <v>0</v>
      </c>
      <c r="AH144" s="602">
        <v>0</v>
      </c>
      <c r="AI144" s="602">
        <v>0</v>
      </c>
      <c r="AJ144" s="498">
        <v>0</v>
      </c>
      <c r="AK144" s="498">
        <v>0</v>
      </c>
      <c r="AL144" s="602">
        <v>4.4755179551475699</v>
      </c>
      <c r="AM144" s="602">
        <v>0.72451745146626101</v>
      </c>
      <c r="AN144" s="498">
        <v>361664455.54457098</v>
      </c>
      <c r="AO144" s="603">
        <v>58547907.134571001</v>
      </c>
    </row>
    <row r="145" spans="1:41" ht="12" thickBot="1">
      <c r="A145" s="918"/>
      <c r="B145" s="918"/>
      <c r="C145" s="918"/>
      <c r="D145" s="918"/>
      <c r="E145" s="600" t="s">
        <v>342</v>
      </c>
      <c r="F145" s="600" t="s">
        <v>342</v>
      </c>
      <c r="G145" s="600" t="s">
        <v>342</v>
      </c>
      <c r="H145" s="601">
        <v>170317</v>
      </c>
      <c r="I145" s="602">
        <v>6425735265.3400002</v>
      </c>
      <c r="J145" s="602">
        <v>4.7447847235309597</v>
      </c>
      <c r="K145" s="776">
        <v>6469251534.5657997</v>
      </c>
      <c r="L145" s="776">
        <v>146308923.53999999</v>
      </c>
      <c r="M145" s="498">
        <v>4.5606953955336298</v>
      </c>
      <c r="N145" s="602">
        <v>5.4122662758182001</v>
      </c>
      <c r="O145" s="602">
        <v>0.85157088028457295</v>
      </c>
      <c r="P145" s="498">
        <v>173627656.32238701</v>
      </c>
      <c r="Q145" s="602">
        <v>27318732.782387</v>
      </c>
      <c r="R145" s="602">
        <v>-0.56217454613561002</v>
      </c>
      <c r="S145" s="602">
        <v>-18034783.197149999</v>
      </c>
      <c r="T145" s="602">
        <v>0</v>
      </c>
      <c r="U145" s="602">
        <v>0</v>
      </c>
      <c r="V145" s="602">
        <v>0</v>
      </c>
      <c r="W145" s="602">
        <v>0</v>
      </c>
      <c r="X145" s="602">
        <v>5.7809656795404001E-2</v>
      </c>
      <c r="Y145" s="602">
        <v>1854556.799438</v>
      </c>
      <c r="Z145" s="602">
        <v>0</v>
      </c>
      <c r="AA145" s="602">
        <v>0</v>
      </c>
      <c r="AB145" s="602">
        <v>0</v>
      </c>
      <c r="AC145" s="602">
        <v>0</v>
      </c>
      <c r="AD145" s="602">
        <v>0</v>
      </c>
      <c r="AE145" s="602">
        <v>0</v>
      </c>
      <c r="AF145" s="602">
        <v>0</v>
      </c>
      <c r="AG145" s="602">
        <v>0</v>
      </c>
      <c r="AH145" s="602">
        <v>0</v>
      </c>
      <c r="AI145" s="602">
        <v>0</v>
      </c>
      <c r="AJ145" s="498">
        <v>0</v>
      </c>
      <c r="AK145" s="498">
        <v>0</v>
      </c>
      <c r="AL145" s="602">
        <v>4.9079013927232298</v>
      </c>
      <c r="AM145" s="602">
        <v>0.34720599718961198</v>
      </c>
      <c r="AN145" s="498">
        <v>157447430.125025</v>
      </c>
      <c r="AO145" s="603">
        <v>11138506.585024999</v>
      </c>
    </row>
    <row r="146" spans="1:41" ht="12" thickBot="1">
      <c r="A146" s="918"/>
      <c r="B146" s="918"/>
      <c r="C146" s="918"/>
      <c r="D146" s="918"/>
      <c r="E146" s="600" t="s">
        <v>343</v>
      </c>
      <c r="F146" s="600" t="s">
        <v>343</v>
      </c>
      <c r="G146" s="600" t="s">
        <v>343</v>
      </c>
      <c r="H146" s="601">
        <v>170318</v>
      </c>
      <c r="I146" s="602">
        <v>130961.23</v>
      </c>
      <c r="J146" s="602">
        <v>0.35</v>
      </c>
      <c r="K146" s="776">
        <v>131938.02557999999</v>
      </c>
      <c r="L146" s="776">
        <v>199.09</v>
      </c>
      <c r="M146" s="498">
        <v>0.30429425670820598</v>
      </c>
      <c r="N146" s="602">
        <v>2.2148831576212</v>
      </c>
      <c r="O146" s="602">
        <v>1.91058890091325</v>
      </c>
      <c r="P146" s="498">
        <v>1449.1272120000001</v>
      </c>
      <c r="Q146" s="602">
        <v>1250.037212</v>
      </c>
      <c r="R146" s="602">
        <v>-8.8058067153053005E-2</v>
      </c>
      <c r="S146" s="602">
        <v>-57.613576999999999</v>
      </c>
      <c r="T146" s="602">
        <v>0</v>
      </c>
      <c r="U146" s="602">
        <v>0</v>
      </c>
      <c r="V146" s="602">
        <v>0</v>
      </c>
      <c r="W146" s="602">
        <v>0</v>
      </c>
      <c r="X146" s="602">
        <v>0</v>
      </c>
      <c r="Y146" s="602">
        <v>0</v>
      </c>
      <c r="Z146" s="602">
        <v>0</v>
      </c>
      <c r="AA146" s="602">
        <v>0</v>
      </c>
      <c r="AB146" s="602">
        <v>0</v>
      </c>
      <c r="AC146" s="602">
        <v>0</v>
      </c>
      <c r="AD146" s="602">
        <v>0</v>
      </c>
      <c r="AE146" s="602">
        <v>0</v>
      </c>
      <c r="AF146" s="602">
        <v>0</v>
      </c>
      <c r="AG146" s="602">
        <v>0</v>
      </c>
      <c r="AH146" s="602">
        <v>0</v>
      </c>
      <c r="AI146" s="602">
        <v>0</v>
      </c>
      <c r="AJ146" s="498">
        <v>0</v>
      </c>
      <c r="AK146" s="498">
        <v>0</v>
      </c>
      <c r="AL146" s="602">
        <v>2.12682300263875</v>
      </c>
      <c r="AM146" s="602">
        <v>1.8225287459307999</v>
      </c>
      <c r="AN146" s="498">
        <v>1391.5122690000001</v>
      </c>
      <c r="AO146" s="603">
        <v>1192.4222689999999</v>
      </c>
    </row>
    <row r="147" spans="1:41" ht="12" thickBot="1">
      <c r="A147" s="918"/>
      <c r="B147" s="918"/>
      <c r="C147" s="918"/>
      <c r="D147" s="918"/>
      <c r="E147" s="600" t="s">
        <v>344</v>
      </c>
      <c r="F147" s="600" t="s">
        <v>344</v>
      </c>
      <c r="G147" s="600" t="s">
        <v>344</v>
      </c>
      <c r="H147" s="601">
        <v>170319</v>
      </c>
      <c r="I147" s="602">
        <v>178077.82072799999</v>
      </c>
      <c r="J147" s="602">
        <v>0.110742781556846</v>
      </c>
      <c r="K147" s="776">
        <v>206131.09023599999</v>
      </c>
      <c r="L147" s="776">
        <v>111.748063</v>
      </c>
      <c r="M147" s="498">
        <v>0.109322811799898</v>
      </c>
      <c r="N147" s="602">
        <v>0.70995805604316997</v>
      </c>
      <c r="O147" s="602">
        <v>0.60063524424477599</v>
      </c>
      <c r="P147" s="498">
        <v>725.70798600000001</v>
      </c>
      <c r="Q147" s="602">
        <v>613.959923</v>
      </c>
      <c r="R147" s="602">
        <v>-3.5498131430203E-2</v>
      </c>
      <c r="S147" s="602">
        <v>-36.285632999999997</v>
      </c>
      <c r="T147" s="602">
        <v>0</v>
      </c>
      <c r="U147" s="602">
        <v>0</v>
      </c>
      <c r="V147" s="602">
        <v>0</v>
      </c>
      <c r="W147" s="602">
        <v>0</v>
      </c>
      <c r="X147" s="602">
        <v>0</v>
      </c>
      <c r="Y147" s="602">
        <v>0</v>
      </c>
      <c r="Z147" s="602">
        <v>0</v>
      </c>
      <c r="AA147" s="602">
        <v>0</v>
      </c>
      <c r="AB147" s="602">
        <v>0</v>
      </c>
      <c r="AC147" s="602">
        <v>0</v>
      </c>
      <c r="AD147" s="602">
        <v>0</v>
      </c>
      <c r="AE147" s="602">
        <v>0</v>
      </c>
      <c r="AF147" s="602">
        <v>0</v>
      </c>
      <c r="AG147" s="602">
        <v>0</v>
      </c>
      <c r="AH147" s="602">
        <v>0</v>
      </c>
      <c r="AI147" s="602">
        <v>0</v>
      </c>
      <c r="AJ147" s="498">
        <v>0</v>
      </c>
      <c r="AK147" s="498">
        <v>0</v>
      </c>
      <c r="AL147" s="602">
        <v>0.67446047539426401</v>
      </c>
      <c r="AM147" s="602">
        <v>0.56513766359587003</v>
      </c>
      <c r="AN147" s="498">
        <v>689.42291599999999</v>
      </c>
      <c r="AO147" s="603">
        <v>577.67485299999998</v>
      </c>
    </row>
    <row r="148" spans="1:41" ht="12" thickBot="1">
      <c r="A148" s="918"/>
      <c r="B148" s="918"/>
      <c r="C148" s="918"/>
      <c r="D148" s="918"/>
      <c r="E148" s="600" t="s">
        <v>345</v>
      </c>
      <c r="F148" s="600" t="s">
        <v>345</v>
      </c>
      <c r="G148" s="600" t="s">
        <v>345</v>
      </c>
      <c r="H148" s="601">
        <v>170320</v>
      </c>
      <c r="I148" s="602">
        <v>86974769.489999995</v>
      </c>
      <c r="J148" s="602">
        <v>1.97</v>
      </c>
      <c r="K148" s="776">
        <v>84643327.280054003</v>
      </c>
      <c r="L148" s="776">
        <v>831523.29</v>
      </c>
      <c r="M148" s="498">
        <v>1.9810524796950399</v>
      </c>
      <c r="N148" s="602">
        <v>3.44714825607854</v>
      </c>
      <c r="O148" s="602">
        <v>1.4660957763835201</v>
      </c>
      <c r="P148" s="498">
        <v>1446899.60937</v>
      </c>
      <c r="Q148" s="602">
        <v>615376.31937000004</v>
      </c>
      <c r="R148" s="602">
        <v>-0.27072347031154398</v>
      </c>
      <c r="S148" s="602">
        <v>-113632.96683</v>
      </c>
      <c r="T148" s="602">
        <v>0</v>
      </c>
      <c r="U148" s="602">
        <v>0</v>
      </c>
      <c r="V148" s="602">
        <v>0</v>
      </c>
      <c r="W148" s="602">
        <v>0</v>
      </c>
      <c r="X148" s="602">
        <v>0</v>
      </c>
      <c r="Y148" s="602">
        <v>0</v>
      </c>
      <c r="Z148" s="602">
        <v>0</v>
      </c>
      <c r="AA148" s="602">
        <v>0</v>
      </c>
      <c r="AB148" s="602">
        <v>0</v>
      </c>
      <c r="AC148" s="602">
        <v>0</v>
      </c>
      <c r="AD148" s="602">
        <v>0</v>
      </c>
      <c r="AE148" s="602">
        <v>0</v>
      </c>
      <c r="AF148" s="602">
        <v>0</v>
      </c>
      <c r="AG148" s="602">
        <v>0</v>
      </c>
      <c r="AH148" s="602">
        <v>0</v>
      </c>
      <c r="AI148" s="602">
        <v>0</v>
      </c>
      <c r="AJ148" s="498">
        <v>0</v>
      </c>
      <c r="AK148" s="498">
        <v>0</v>
      </c>
      <c r="AL148" s="602">
        <v>3.1764247887116901</v>
      </c>
      <c r="AM148" s="602">
        <v>1.1953723090166699</v>
      </c>
      <c r="AN148" s="498">
        <v>1333266.643776</v>
      </c>
      <c r="AO148" s="603">
        <v>501743.35377599997</v>
      </c>
    </row>
    <row r="149" spans="1:41" ht="12" thickBot="1">
      <c r="A149" s="918"/>
      <c r="B149" s="918"/>
      <c r="C149" s="918"/>
      <c r="D149" s="918"/>
      <c r="E149" s="600" t="s">
        <v>3547</v>
      </c>
      <c r="F149" s="600" t="s">
        <v>3547</v>
      </c>
      <c r="G149" s="600" t="s">
        <v>3547</v>
      </c>
      <c r="H149" s="601">
        <v>170321</v>
      </c>
      <c r="I149" s="602">
        <v>553232.12</v>
      </c>
      <c r="J149" s="602">
        <v>1.41358853495347</v>
      </c>
      <c r="K149" s="776">
        <v>537389.31894899998</v>
      </c>
      <c r="L149" s="776">
        <v>3532.36</v>
      </c>
      <c r="M149" s="498">
        <v>1.3255320029892399</v>
      </c>
      <c r="N149" s="602">
        <v>3.0476809292759102</v>
      </c>
      <c r="O149" s="602">
        <v>1.72214892628982</v>
      </c>
      <c r="P149" s="498">
        <v>8121.6494080000002</v>
      </c>
      <c r="Q149" s="602">
        <v>4589.2894079999996</v>
      </c>
      <c r="R149" s="602">
        <v>-0.21057903316590301</v>
      </c>
      <c r="S149" s="602">
        <v>-561.164085</v>
      </c>
      <c r="T149" s="602">
        <v>0</v>
      </c>
      <c r="U149" s="602">
        <v>0</v>
      </c>
      <c r="V149" s="602">
        <v>0</v>
      </c>
      <c r="W149" s="602">
        <v>0</v>
      </c>
      <c r="X149" s="602">
        <v>0</v>
      </c>
      <c r="Y149" s="602">
        <v>0</v>
      </c>
      <c r="Z149" s="602">
        <v>0</v>
      </c>
      <c r="AA149" s="602">
        <v>0</v>
      </c>
      <c r="AB149" s="602">
        <v>0</v>
      </c>
      <c r="AC149" s="602">
        <v>0</v>
      </c>
      <c r="AD149" s="602">
        <v>0</v>
      </c>
      <c r="AE149" s="602">
        <v>0</v>
      </c>
      <c r="AF149" s="602">
        <v>0</v>
      </c>
      <c r="AG149" s="602">
        <v>0</v>
      </c>
      <c r="AH149" s="602">
        <v>0</v>
      </c>
      <c r="AI149" s="602">
        <v>0</v>
      </c>
      <c r="AJ149" s="498">
        <v>0</v>
      </c>
      <c r="AK149" s="498">
        <v>0</v>
      </c>
      <c r="AL149" s="602">
        <v>2.8371017640206202</v>
      </c>
      <c r="AM149" s="602">
        <v>1.51156976103453</v>
      </c>
      <c r="AN149" s="498">
        <v>7560.4849709999999</v>
      </c>
      <c r="AO149" s="603">
        <v>4028.1249710000002</v>
      </c>
    </row>
    <row r="150" spans="1:41" ht="12" thickBot="1">
      <c r="A150" s="918"/>
      <c r="B150" s="918"/>
      <c r="C150" s="918"/>
      <c r="D150" s="918"/>
      <c r="E150" s="600" t="s">
        <v>3548</v>
      </c>
      <c r="F150" s="600" t="s">
        <v>3548</v>
      </c>
      <c r="G150" s="600" t="s">
        <v>3548</v>
      </c>
      <c r="H150" s="601">
        <v>170322</v>
      </c>
      <c r="I150" s="602">
        <v>260636.84</v>
      </c>
      <c r="J150" s="602">
        <v>1.6842846176311801</v>
      </c>
      <c r="K150" s="776">
        <v>352167.78309400001</v>
      </c>
      <c r="L150" s="776">
        <v>2300.0300000000002</v>
      </c>
      <c r="M150" s="498">
        <v>1.3170375789204101</v>
      </c>
      <c r="N150" s="602">
        <v>3.1093901480339001</v>
      </c>
      <c r="O150" s="602">
        <v>1.7923525691132001</v>
      </c>
      <c r="P150" s="498">
        <v>5430.1340650000002</v>
      </c>
      <c r="Q150" s="602">
        <v>3130.104065</v>
      </c>
      <c r="R150" s="602">
        <v>-0.22064551309456101</v>
      </c>
      <c r="S150" s="602">
        <v>-385.32788099999999</v>
      </c>
      <c r="T150" s="602">
        <v>0</v>
      </c>
      <c r="U150" s="602">
        <v>0</v>
      </c>
      <c r="V150" s="602">
        <v>0</v>
      </c>
      <c r="W150" s="602">
        <v>0</v>
      </c>
      <c r="X150" s="602">
        <v>0</v>
      </c>
      <c r="Y150" s="602">
        <v>0</v>
      </c>
      <c r="Z150" s="602">
        <v>0</v>
      </c>
      <c r="AA150" s="602">
        <v>0</v>
      </c>
      <c r="AB150" s="602">
        <v>0</v>
      </c>
      <c r="AC150" s="602">
        <v>0</v>
      </c>
      <c r="AD150" s="602">
        <v>0</v>
      </c>
      <c r="AE150" s="602">
        <v>0</v>
      </c>
      <c r="AF150" s="602">
        <v>0</v>
      </c>
      <c r="AG150" s="602">
        <v>0</v>
      </c>
      <c r="AH150" s="602">
        <v>0</v>
      </c>
      <c r="AI150" s="602">
        <v>0</v>
      </c>
      <c r="AJ150" s="498">
        <v>0</v>
      </c>
      <c r="AK150" s="498">
        <v>0</v>
      </c>
      <c r="AL150" s="602">
        <v>2.8887444293696301</v>
      </c>
      <c r="AM150" s="602">
        <v>1.57170685044893</v>
      </c>
      <c r="AN150" s="498">
        <v>5044.8058250000004</v>
      </c>
      <c r="AO150" s="603">
        <v>2744.7758250000002</v>
      </c>
    </row>
    <row r="151" spans="1:41" ht="12" thickBot="1">
      <c r="A151" s="918"/>
      <c r="B151" s="918"/>
      <c r="C151" s="918"/>
      <c r="D151" s="918"/>
      <c r="E151" s="600" t="s">
        <v>3549</v>
      </c>
      <c r="F151" s="600" t="s">
        <v>3549</v>
      </c>
      <c r="G151" s="600" t="s">
        <v>3549</v>
      </c>
      <c r="H151" s="601">
        <v>170323</v>
      </c>
      <c r="I151" s="602">
        <v>245730.89</v>
      </c>
      <c r="J151" s="602">
        <v>1.95743460050953</v>
      </c>
      <c r="K151" s="776">
        <v>116984.53381199999</v>
      </c>
      <c r="L151" s="776">
        <v>1036.1099999999999</v>
      </c>
      <c r="M151" s="498">
        <v>1.78604215945367</v>
      </c>
      <c r="N151" s="602">
        <v>3.5787837051059399</v>
      </c>
      <c r="O151" s="602">
        <v>1.7927415456546301</v>
      </c>
      <c r="P151" s="498">
        <v>2076.1064150000002</v>
      </c>
      <c r="Q151" s="602">
        <v>1039.9964150000001</v>
      </c>
      <c r="R151" s="602">
        <v>-0.29284183820111598</v>
      </c>
      <c r="S151" s="602">
        <v>-169.881968</v>
      </c>
      <c r="T151" s="602">
        <v>0</v>
      </c>
      <c r="U151" s="602">
        <v>0</v>
      </c>
      <c r="V151" s="602">
        <v>0</v>
      </c>
      <c r="W151" s="602">
        <v>0</v>
      </c>
      <c r="X151" s="602">
        <v>0</v>
      </c>
      <c r="Y151" s="602">
        <v>0</v>
      </c>
      <c r="Z151" s="602">
        <v>0</v>
      </c>
      <c r="AA151" s="602">
        <v>0</v>
      </c>
      <c r="AB151" s="602">
        <v>0</v>
      </c>
      <c r="AC151" s="602">
        <v>0</v>
      </c>
      <c r="AD151" s="602">
        <v>0</v>
      </c>
      <c r="AE151" s="602">
        <v>0</v>
      </c>
      <c r="AF151" s="602">
        <v>0</v>
      </c>
      <c r="AG151" s="602">
        <v>0</v>
      </c>
      <c r="AH151" s="602">
        <v>0</v>
      </c>
      <c r="AI151" s="602">
        <v>0</v>
      </c>
      <c r="AJ151" s="498">
        <v>0</v>
      </c>
      <c r="AK151" s="498">
        <v>0</v>
      </c>
      <c r="AL151" s="602">
        <v>3.2859418169147401</v>
      </c>
      <c r="AM151" s="602">
        <v>1.49989965746343</v>
      </c>
      <c r="AN151" s="498">
        <v>1906.224418</v>
      </c>
      <c r="AO151" s="603">
        <v>870.114418</v>
      </c>
    </row>
    <row r="152" spans="1:41" ht="12" thickBot="1">
      <c r="A152" s="918"/>
      <c r="B152" s="918"/>
      <c r="C152" s="918"/>
      <c r="D152" s="918"/>
      <c r="E152" s="600" t="s">
        <v>3550</v>
      </c>
      <c r="F152" s="600" t="s">
        <v>3550</v>
      </c>
      <c r="G152" s="600" t="s">
        <v>3550</v>
      </c>
      <c r="H152" s="601">
        <v>170324</v>
      </c>
      <c r="I152" s="602">
        <v>5100</v>
      </c>
      <c r="J152" s="602">
        <v>2.3627450980392202</v>
      </c>
      <c r="K152" s="776">
        <v>11232.596685</v>
      </c>
      <c r="L152" s="776">
        <v>69.3</v>
      </c>
      <c r="M152" s="498">
        <v>1.2441345728290101</v>
      </c>
      <c r="N152" s="602">
        <v>3.9879814544292</v>
      </c>
      <c r="O152" s="602">
        <v>2.7438468816093602</v>
      </c>
      <c r="P152" s="498">
        <v>222.13603000000001</v>
      </c>
      <c r="Q152" s="602">
        <v>152.83602999999999</v>
      </c>
      <c r="R152" s="602">
        <v>-0.35340782548817101</v>
      </c>
      <c r="S152" s="602">
        <v>-19.685300000000002</v>
      </c>
      <c r="T152" s="602">
        <v>0</v>
      </c>
      <c r="U152" s="602">
        <v>0</v>
      </c>
      <c r="V152" s="602">
        <v>0</v>
      </c>
      <c r="W152" s="602">
        <v>0</v>
      </c>
      <c r="X152" s="602">
        <v>0</v>
      </c>
      <c r="Y152" s="602">
        <v>0</v>
      </c>
      <c r="Z152" s="602">
        <v>0</v>
      </c>
      <c r="AA152" s="602">
        <v>0</v>
      </c>
      <c r="AB152" s="602">
        <v>0</v>
      </c>
      <c r="AC152" s="602">
        <v>0</v>
      </c>
      <c r="AD152" s="602">
        <v>0</v>
      </c>
      <c r="AE152" s="602">
        <v>0</v>
      </c>
      <c r="AF152" s="602">
        <v>0</v>
      </c>
      <c r="AG152" s="602">
        <v>0</v>
      </c>
      <c r="AH152" s="602">
        <v>0</v>
      </c>
      <c r="AI152" s="602">
        <v>0</v>
      </c>
      <c r="AJ152" s="498">
        <v>0</v>
      </c>
      <c r="AK152" s="498">
        <v>0</v>
      </c>
      <c r="AL152" s="602">
        <v>3.6345768963651599</v>
      </c>
      <c r="AM152" s="602">
        <v>2.3904423235453298</v>
      </c>
      <c r="AN152" s="498">
        <v>202.45091199999999</v>
      </c>
      <c r="AO152" s="603">
        <v>133.15091200000001</v>
      </c>
    </row>
    <row r="153" spans="1:41" ht="12" thickBot="1">
      <c r="A153" s="918"/>
      <c r="B153" s="918"/>
      <c r="C153" s="918"/>
      <c r="D153" s="918"/>
      <c r="E153" s="600" t="s">
        <v>3551</v>
      </c>
      <c r="F153" s="600" t="s">
        <v>3551</v>
      </c>
      <c r="G153" s="600" t="s">
        <v>3551</v>
      </c>
      <c r="H153" s="601">
        <v>170325</v>
      </c>
      <c r="I153" s="602">
        <v>271300</v>
      </c>
      <c r="J153" s="602">
        <v>4.6016033910799896</v>
      </c>
      <c r="K153" s="776">
        <v>271300</v>
      </c>
      <c r="L153" s="776">
        <v>6219.84</v>
      </c>
      <c r="M153" s="498">
        <v>4.6232109364976903</v>
      </c>
      <c r="N153" s="602">
        <v>5.4805346587944701</v>
      </c>
      <c r="O153" s="602">
        <v>0.857323722296779</v>
      </c>
      <c r="P153" s="498">
        <v>7373.2410570000002</v>
      </c>
      <c r="Q153" s="602">
        <v>1153.401057</v>
      </c>
      <c r="R153" s="602">
        <v>-0.57240461882933202</v>
      </c>
      <c r="S153" s="602">
        <v>-770.08494599999995</v>
      </c>
      <c r="T153" s="602">
        <v>0</v>
      </c>
      <c r="U153" s="602">
        <v>0</v>
      </c>
      <c r="V153" s="602">
        <v>0</v>
      </c>
      <c r="W153" s="602">
        <v>0</v>
      </c>
      <c r="X153" s="602">
        <v>0</v>
      </c>
      <c r="Y153" s="602">
        <v>0</v>
      </c>
      <c r="Z153" s="602">
        <v>0</v>
      </c>
      <c r="AA153" s="602">
        <v>0</v>
      </c>
      <c r="AB153" s="602">
        <v>0</v>
      </c>
      <c r="AC153" s="602">
        <v>0</v>
      </c>
      <c r="AD153" s="602">
        <v>0</v>
      </c>
      <c r="AE153" s="602">
        <v>0</v>
      </c>
      <c r="AF153" s="602">
        <v>0</v>
      </c>
      <c r="AG153" s="602">
        <v>0</v>
      </c>
      <c r="AH153" s="602">
        <v>0</v>
      </c>
      <c r="AI153" s="602">
        <v>0</v>
      </c>
      <c r="AJ153" s="498">
        <v>0</v>
      </c>
      <c r="AK153" s="498">
        <v>0</v>
      </c>
      <c r="AL153" s="602">
        <v>4.9081300340187299</v>
      </c>
      <c r="AM153" s="602">
        <v>0.284919097521042</v>
      </c>
      <c r="AN153" s="498">
        <v>6603.1561030000003</v>
      </c>
      <c r="AO153" s="603">
        <v>383.316103</v>
      </c>
    </row>
    <row r="154" spans="1:41" ht="12" thickBot="1">
      <c r="A154" s="918"/>
      <c r="B154" s="918"/>
      <c r="C154" s="918"/>
      <c r="D154" s="919"/>
      <c r="E154" s="600" t="s">
        <v>3552</v>
      </c>
      <c r="F154" s="600" t="s">
        <v>3552</v>
      </c>
      <c r="G154" s="600" t="s">
        <v>3552</v>
      </c>
      <c r="H154" s="601">
        <v>170326</v>
      </c>
      <c r="I154" s="602">
        <v>333378.75</v>
      </c>
      <c r="J154" s="602">
        <v>5.1036143950386803</v>
      </c>
      <c r="K154" s="776">
        <v>333842.83839799999</v>
      </c>
      <c r="L154" s="776">
        <v>8478.61</v>
      </c>
      <c r="M154" s="498">
        <v>5.12149654896304</v>
      </c>
      <c r="N154" s="602">
        <v>5.8703550547933601</v>
      </c>
      <c r="O154" s="602">
        <v>0.74885850582709801</v>
      </c>
      <c r="P154" s="498">
        <v>9718.34123</v>
      </c>
      <c r="Q154" s="602">
        <v>1239.7312300000001</v>
      </c>
      <c r="R154" s="602">
        <v>-0.63026690109563099</v>
      </c>
      <c r="S154" s="602">
        <v>-1043.403466</v>
      </c>
      <c r="T154" s="602">
        <v>0</v>
      </c>
      <c r="U154" s="602">
        <v>0</v>
      </c>
      <c r="V154" s="602">
        <v>0</v>
      </c>
      <c r="W154" s="602">
        <v>0</v>
      </c>
      <c r="X154" s="602">
        <v>0</v>
      </c>
      <c r="Y154" s="602">
        <v>0</v>
      </c>
      <c r="Z154" s="602">
        <v>0</v>
      </c>
      <c r="AA154" s="602">
        <v>0</v>
      </c>
      <c r="AB154" s="602">
        <v>0</v>
      </c>
      <c r="AC154" s="602">
        <v>0</v>
      </c>
      <c r="AD154" s="602">
        <v>0</v>
      </c>
      <c r="AE154" s="602">
        <v>0</v>
      </c>
      <c r="AF154" s="602">
        <v>0</v>
      </c>
      <c r="AG154" s="602">
        <v>0</v>
      </c>
      <c r="AH154" s="602">
        <v>0</v>
      </c>
      <c r="AI154" s="602">
        <v>0</v>
      </c>
      <c r="AJ154" s="498">
        <v>0</v>
      </c>
      <c r="AK154" s="498">
        <v>0</v>
      </c>
      <c r="AL154" s="602">
        <v>5.2400882267876598</v>
      </c>
      <c r="AM154" s="602">
        <v>0.11859167782140501</v>
      </c>
      <c r="AN154" s="498">
        <v>8674.9378849999994</v>
      </c>
      <c r="AO154" s="603">
        <v>196.32788500000001</v>
      </c>
    </row>
    <row r="155" spans="1:41" ht="12" thickBot="1">
      <c r="A155" s="918"/>
      <c r="B155" s="918"/>
      <c r="C155" s="918"/>
      <c r="D155" s="917" t="s">
        <v>346</v>
      </c>
      <c r="E155" s="600" t="s">
        <v>347</v>
      </c>
      <c r="F155" s="600" t="s">
        <v>347</v>
      </c>
      <c r="G155" s="600" t="s">
        <v>347</v>
      </c>
      <c r="H155" s="601">
        <v>170331</v>
      </c>
      <c r="I155" s="602">
        <v>1086065</v>
      </c>
      <c r="J155" s="602">
        <v>1.26730237140503</v>
      </c>
      <c r="K155" s="776">
        <v>991273.53491599998</v>
      </c>
      <c r="L155" s="776">
        <v>5652.47</v>
      </c>
      <c r="M155" s="498">
        <v>1.1498972732115</v>
      </c>
      <c r="N155" s="602">
        <v>3.0613313823488699</v>
      </c>
      <c r="O155" s="602">
        <v>1.9114341091386799</v>
      </c>
      <c r="P155" s="498">
        <v>15048.373626000001</v>
      </c>
      <c r="Q155" s="602">
        <v>9395.9036259999993</v>
      </c>
      <c r="R155" s="602">
        <v>-0.21202598810562201</v>
      </c>
      <c r="S155" s="602">
        <v>-1042.2413939999999</v>
      </c>
      <c r="T155" s="602">
        <v>0</v>
      </c>
      <c r="U155" s="602">
        <v>0</v>
      </c>
      <c r="V155" s="602">
        <v>0</v>
      </c>
      <c r="W155" s="602">
        <v>0</v>
      </c>
      <c r="X155" s="602">
        <v>0</v>
      </c>
      <c r="Y155" s="602">
        <v>0</v>
      </c>
      <c r="Z155" s="602">
        <v>0</v>
      </c>
      <c r="AA155" s="602">
        <v>0</v>
      </c>
      <c r="AB155" s="602">
        <v>0</v>
      </c>
      <c r="AC155" s="602">
        <v>0</v>
      </c>
      <c r="AD155" s="602">
        <v>0</v>
      </c>
      <c r="AE155" s="602">
        <v>0</v>
      </c>
      <c r="AF155" s="602">
        <v>0</v>
      </c>
      <c r="AG155" s="602">
        <v>0</v>
      </c>
      <c r="AH155" s="602">
        <v>0</v>
      </c>
      <c r="AI155" s="602">
        <v>0</v>
      </c>
      <c r="AJ155" s="498">
        <v>0</v>
      </c>
      <c r="AK155" s="498">
        <v>0</v>
      </c>
      <c r="AL155" s="602">
        <v>2.8493054410327701</v>
      </c>
      <c r="AM155" s="602">
        <v>1.6994081678225801</v>
      </c>
      <c r="AN155" s="498">
        <v>14006.132462</v>
      </c>
      <c r="AO155" s="603">
        <v>8353.6624620000002</v>
      </c>
    </row>
    <row r="156" spans="1:41" ht="12" thickBot="1">
      <c r="A156" s="918"/>
      <c r="B156" s="918"/>
      <c r="C156" s="918"/>
      <c r="D156" s="918"/>
      <c r="E156" s="600" t="s">
        <v>348</v>
      </c>
      <c r="F156" s="600" t="s">
        <v>348</v>
      </c>
      <c r="G156" s="600" t="s">
        <v>348</v>
      </c>
      <c r="H156" s="601">
        <v>170332</v>
      </c>
      <c r="I156" s="602">
        <v>196700</v>
      </c>
      <c r="J156" s="602">
        <v>2.6619013726487002</v>
      </c>
      <c r="K156" s="776">
        <v>254380.662984</v>
      </c>
      <c r="L156" s="776">
        <v>3340.55</v>
      </c>
      <c r="M156" s="498">
        <v>2.6481840848366298</v>
      </c>
      <c r="N156" s="602">
        <v>4.9726221070241001</v>
      </c>
      <c r="O156" s="602">
        <v>2.3244380221814902</v>
      </c>
      <c r="P156" s="498">
        <v>6272.7107509999996</v>
      </c>
      <c r="Q156" s="602">
        <v>2932.1607509999999</v>
      </c>
      <c r="R156" s="602">
        <v>-0.49508820254588698</v>
      </c>
      <c r="S156" s="602">
        <v>-624.52867400000002</v>
      </c>
      <c r="T156" s="602">
        <v>0</v>
      </c>
      <c r="U156" s="602">
        <v>0</v>
      </c>
      <c r="V156" s="602">
        <v>0</v>
      </c>
      <c r="W156" s="602">
        <v>0</v>
      </c>
      <c r="X156" s="602">
        <v>0</v>
      </c>
      <c r="Y156" s="602">
        <v>0</v>
      </c>
      <c r="Z156" s="602">
        <v>0</v>
      </c>
      <c r="AA156" s="602">
        <v>0</v>
      </c>
      <c r="AB156" s="602">
        <v>0</v>
      </c>
      <c r="AC156" s="602">
        <v>0</v>
      </c>
      <c r="AD156" s="602">
        <v>0</v>
      </c>
      <c r="AE156" s="602">
        <v>0</v>
      </c>
      <c r="AF156" s="602">
        <v>0</v>
      </c>
      <c r="AG156" s="602">
        <v>0</v>
      </c>
      <c r="AH156" s="602">
        <v>0</v>
      </c>
      <c r="AI156" s="602">
        <v>0</v>
      </c>
      <c r="AJ156" s="498">
        <v>0</v>
      </c>
      <c r="AK156" s="498">
        <v>0</v>
      </c>
      <c r="AL156" s="602">
        <v>4.4775342643817</v>
      </c>
      <c r="AM156" s="602">
        <v>1.8293501795390801</v>
      </c>
      <c r="AN156" s="498">
        <v>5648.1825310000004</v>
      </c>
      <c r="AO156" s="603">
        <v>2307.6325310000002</v>
      </c>
    </row>
    <row r="157" spans="1:41" ht="12" thickBot="1">
      <c r="A157" s="918"/>
      <c r="B157" s="918"/>
      <c r="C157" s="918"/>
      <c r="D157" s="919"/>
      <c r="E157" s="600" t="s">
        <v>349</v>
      </c>
      <c r="F157" s="600" t="s">
        <v>349</v>
      </c>
      <c r="G157" s="600" t="s">
        <v>349</v>
      </c>
      <c r="H157" s="601">
        <v>170333</v>
      </c>
      <c r="I157" s="602">
        <v>169150</v>
      </c>
      <c r="J157" s="602">
        <v>3.0020100502512599</v>
      </c>
      <c r="K157" s="776">
        <v>182116.850829</v>
      </c>
      <c r="L157" s="776">
        <v>1619.16</v>
      </c>
      <c r="M157" s="498">
        <v>1.7928911526936</v>
      </c>
      <c r="N157" s="602">
        <v>5.2590583047281596</v>
      </c>
      <c r="O157" s="602">
        <v>3.4661671520318902</v>
      </c>
      <c r="P157" s="498">
        <v>4749.4555549999995</v>
      </c>
      <c r="Q157" s="602">
        <v>3130.2955550000001</v>
      </c>
      <c r="R157" s="602">
        <v>-0.53790001328756498</v>
      </c>
      <c r="S157" s="602">
        <v>-485.77750200000003</v>
      </c>
      <c r="T157" s="602">
        <v>0</v>
      </c>
      <c r="U157" s="602">
        <v>0</v>
      </c>
      <c r="V157" s="602">
        <v>0</v>
      </c>
      <c r="W157" s="602">
        <v>0</v>
      </c>
      <c r="X157" s="602">
        <v>0</v>
      </c>
      <c r="Y157" s="602">
        <v>0</v>
      </c>
      <c r="Z157" s="602">
        <v>0</v>
      </c>
      <c r="AA157" s="602">
        <v>0</v>
      </c>
      <c r="AB157" s="602">
        <v>0</v>
      </c>
      <c r="AC157" s="602">
        <v>0</v>
      </c>
      <c r="AD157" s="602">
        <v>0</v>
      </c>
      <c r="AE157" s="602">
        <v>0</v>
      </c>
      <c r="AF157" s="602">
        <v>0</v>
      </c>
      <c r="AG157" s="602">
        <v>0</v>
      </c>
      <c r="AH157" s="602">
        <v>0</v>
      </c>
      <c r="AI157" s="602">
        <v>0</v>
      </c>
      <c r="AJ157" s="498">
        <v>0</v>
      </c>
      <c r="AK157" s="498">
        <v>0</v>
      </c>
      <c r="AL157" s="602">
        <v>4.7211588705569696</v>
      </c>
      <c r="AM157" s="602">
        <v>2.9282677178607002</v>
      </c>
      <c r="AN157" s="498">
        <v>4263.6785760000002</v>
      </c>
      <c r="AO157" s="603">
        <v>2644.5185759999999</v>
      </c>
    </row>
    <row r="158" spans="1:41" ht="12" thickBot="1">
      <c r="A158" s="918"/>
      <c r="B158" s="918"/>
      <c r="C158" s="918"/>
      <c r="D158" s="600" t="s">
        <v>350</v>
      </c>
      <c r="E158" s="600" t="s">
        <v>351</v>
      </c>
      <c r="F158" s="600" t="s">
        <v>351</v>
      </c>
      <c r="G158" s="600" t="s">
        <v>351</v>
      </c>
      <c r="H158" s="601">
        <v>170342</v>
      </c>
      <c r="I158" s="602">
        <v>250000</v>
      </c>
      <c r="J158" s="602">
        <v>1.55</v>
      </c>
      <c r="K158" s="776">
        <v>250000</v>
      </c>
      <c r="L158" s="776">
        <v>1935.07</v>
      </c>
      <c r="M158" s="498">
        <v>1.56088519337017</v>
      </c>
      <c r="N158" s="602">
        <v>3.8387537519005499</v>
      </c>
      <c r="O158" s="602">
        <v>2.2778685585303902</v>
      </c>
      <c r="P158" s="498">
        <v>4759.002939</v>
      </c>
      <c r="Q158" s="602">
        <v>2823.9329389999998</v>
      </c>
      <c r="R158" s="602">
        <v>-0.32874278670718199</v>
      </c>
      <c r="S158" s="602">
        <v>-407.55098900000002</v>
      </c>
      <c r="T158" s="602">
        <v>0</v>
      </c>
      <c r="U158" s="602">
        <v>0</v>
      </c>
      <c r="V158" s="602">
        <v>0</v>
      </c>
      <c r="W158" s="602">
        <v>0</v>
      </c>
      <c r="X158" s="602">
        <v>0</v>
      </c>
      <c r="Y158" s="602">
        <v>0</v>
      </c>
      <c r="Z158" s="602">
        <v>0</v>
      </c>
      <c r="AA158" s="602">
        <v>0</v>
      </c>
      <c r="AB158" s="602">
        <v>0</v>
      </c>
      <c r="AC158" s="602">
        <v>0</v>
      </c>
      <c r="AD158" s="602">
        <v>0</v>
      </c>
      <c r="AE158" s="602">
        <v>0</v>
      </c>
      <c r="AF158" s="602">
        <v>0</v>
      </c>
      <c r="AG158" s="602">
        <v>0</v>
      </c>
      <c r="AH158" s="602">
        <v>0</v>
      </c>
      <c r="AI158" s="602">
        <v>0</v>
      </c>
      <c r="AJ158" s="498">
        <v>0</v>
      </c>
      <c r="AK158" s="498">
        <v>0</v>
      </c>
      <c r="AL158" s="602">
        <v>3.5100110152044199</v>
      </c>
      <c r="AM158" s="602">
        <v>1.94912582183425</v>
      </c>
      <c r="AN158" s="498">
        <v>4351.4520119999997</v>
      </c>
      <c r="AO158" s="603">
        <v>2416.382012</v>
      </c>
    </row>
    <row r="159" spans="1:41" ht="12" thickBot="1">
      <c r="A159" s="918"/>
      <c r="B159" s="918"/>
      <c r="C159" s="918"/>
      <c r="D159" s="917" t="s">
        <v>2672</v>
      </c>
      <c r="E159" s="600" t="s">
        <v>3553</v>
      </c>
      <c r="F159" s="600" t="s">
        <v>3553</v>
      </c>
      <c r="G159" s="600" t="s">
        <v>3553</v>
      </c>
      <c r="H159" s="601">
        <v>170402</v>
      </c>
      <c r="I159" s="602">
        <v>44500000</v>
      </c>
      <c r="J159" s="602">
        <v>1.59</v>
      </c>
      <c r="K159" s="776">
        <v>22056192.530382998</v>
      </c>
      <c r="L159" s="776">
        <v>171564.03</v>
      </c>
      <c r="M159" s="498">
        <v>1.5685919599704099</v>
      </c>
      <c r="N159" s="602">
        <v>2.80804343501045</v>
      </c>
      <c r="O159" s="602">
        <v>1.2394514750403001</v>
      </c>
      <c r="P159" s="498">
        <v>307128.469621</v>
      </c>
      <c r="Q159" s="602">
        <v>135564.439621</v>
      </c>
      <c r="R159" s="602">
        <v>-0.195738167355482</v>
      </c>
      <c r="S159" s="602">
        <v>-21408.772755000002</v>
      </c>
      <c r="T159" s="602">
        <v>0</v>
      </c>
      <c r="U159" s="602">
        <v>0</v>
      </c>
      <c r="V159" s="602">
        <v>0</v>
      </c>
      <c r="W159" s="602">
        <v>0</v>
      </c>
      <c r="X159" s="602">
        <v>6.3593915645842006E-2</v>
      </c>
      <c r="Y159" s="602">
        <v>6955.5555109999996</v>
      </c>
      <c r="Z159" s="602">
        <v>0</v>
      </c>
      <c r="AA159" s="602">
        <v>0</v>
      </c>
      <c r="AB159" s="602">
        <v>0</v>
      </c>
      <c r="AC159" s="602">
        <v>0</v>
      </c>
      <c r="AD159" s="602">
        <v>0</v>
      </c>
      <c r="AE159" s="602">
        <v>0</v>
      </c>
      <c r="AF159" s="602">
        <v>0</v>
      </c>
      <c r="AG159" s="602">
        <v>0</v>
      </c>
      <c r="AH159" s="602">
        <v>0</v>
      </c>
      <c r="AI159" s="602">
        <v>0</v>
      </c>
      <c r="AJ159" s="498">
        <v>0</v>
      </c>
      <c r="AK159" s="498">
        <v>0</v>
      </c>
      <c r="AL159" s="602">
        <v>2.6758991877442599</v>
      </c>
      <c r="AM159" s="602">
        <v>1.1073072277741101</v>
      </c>
      <c r="AN159" s="498">
        <v>292675.25286299997</v>
      </c>
      <c r="AO159" s="603">
        <v>121111.222863</v>
      </c>
    </row>
    <row r="160" spans="1:41" ht="12" thickBot="1">
      <c r="A160" s="918"/>
      <c r="B160" s="918"/>
      <c r="C160" s="918"/>
      <c r="D160" s="918"/>
      <c r="E160" s="600" t="s">
        <v>3554</v>
      </c>
      <c r="F160" s="600" t="s">
        <v>3554</v>
      </c>
      <c r="G160" s="600" t="s">
        <v>3554</v>
      </c>
      <c r="H160" s="601">
        <v>170403</v>
      </c>
      <c r="I160" s="602">
        <v>18080000</v>
      </c>
      <c r="J160" s="602">
        <v>1.59</v>
      </c>
      <c r="K160" s="776">
        <v>24570156.270720001</v>
      </c>
      <c r="L160" s="776">
        <v>181431.12</v>
      </c>
      <c r="M160" s="498">
        <v>1.4890804177398</v>
      </c>
      <c r="N160" s="602">
        <v>2.6165964791300098</v>
      </c>
      <c r="O160" s="602">
        <v>1.1275160613901001</v>
      </c>
      <c r="P160" s="498">
        <v>318808.85957600002</v>
      </c>
      <c r="Q160" s="602">
        <v>137377.73957599999</v>
      </c>
      <c r="R160" s="602">
        <v>-0.179832029066363</v>
      </c>
      <c r="S160" s="602">
        <v>-21910.923048000001</v>
      </c>
      <c r="T160" s="602">
        <v>0</v>
      </c>
      <c r="U160" s="602">
        <v>0</v>
      </c>
      <c r="V160" s="602">
        <v>0</v>
      </c>
      <c r="W160" s="602">
        <v>0</v>
      </c>
      <c r="X160" s="602">
        <v>2.3556191741740999E-2</v>
      </c>
      <c r="Y160" s="602">
        <v>2870.1111099999998</v>
      </c>
      <c r="Z160" s="602">
        <v>0</v>
      </c>
      <c r="AA160" s="602">
        <v>0</v>
      </c>
      <c r="AB160" s="602">
        <v>0</v>
      </c>
      <c r="AC160" s="602">
        <v>0</v>
      </c>
      <c r="AD160" s="602">
        <v>0</v>
      </c>
      <c r="AE160" s="602">
        <v>0</v>
      </c>
      <c r="AF160" s="602">
        <v>0</v>
      </c>
      <c r="AG160" s="602">
        <v>0</v>
      </c>
      <c r="AH160" s="602">
        <v>0</v>
      </c>
      <c r="AI160" s="602">
        <v>0</v>
      </c>
      <c r="AJ160" s="498">
        <v>0</v>
      </c>
      <c r="AK160" s="498">
        <v>0</v>
      </c>
      <c r="AL160" s="602">
        <v>2.46032064320885</v>
      </c>
      <c r="AM160" s="602">
        <v>0.97124022546894395</v>
      </c>
      <c r="AN160" s="498">
        <v>299768.04780900001</v>
      </c>
      <c r="AO160" s="603">
        <v>118336.927809</v>
      </c>
    </row>
    <row r="161" spans="1:41" ht="12" thickBot="1">
      <c r="A161" s="918"/>
      <c r="B161" s="918"/>
      <c r="C161" s="918"/>
      <c r="D161" s="918"/>
      <c r="E161" s="600" t="s">
        <v>3555</v>
      </c>
      <c r="F161" s="600" t="s">
        <v>3555</v>
      </c>
      <c r="G161" s="600" t="s">
        <v>3555</v>
      </c>
      <c r="H161" s="601">
        <v>170404</v>
      </c>
      <c r="I161" s="602">
        <v>81480000</v>
      </c>
      <c r="J161" s="602">
        <v>1.86</v>
      </c>
      <c r="K161" s="776">
        <v>44914088.397793002</v>
      </c>
      <c r="L161" s="776">
        <v>403741.69</v>
      </c>
      <c r="M161" s="498">
        <v>1.81273907644417</v>
      </c>
      <c r="N161" s="602">
        <v>2.92521886839054</v>
      </c>
      <c r="O161" s="602">
        <v>1.1124797919462599</v>
      </c>
      <c r="P161" s="498">
        <v>651518.37067500001</v>
      </c>
      <c r="Q161" s="602">
        <v>247776.68067500001</v>
      </c>
      <c r="R161" s="602">
        <v>-0.20974775513491101</v>
      </c>
      <c r="S161" s="602">
        <v>-46715.996931000001</v>
      </c>
      <c r="T161" s="602">
        <v>0</v>
      </c>
      <c r="U161" s="602">
        <v>0</v>
      </c>
      <c r="V161" s="602">
        <v>0</v>
      </c>
      <c r="W161" s="602">
        <v>0</v>
      </c>
      <c r="X161" s="602">
        <v>3.5387178538092999E-2</v>
      </c>
      <c r="Y161" s="602">
        <v>7881.597221</v>
      </c>
      <c r="Z161" s="602">
        <v>0</v>
      </c>
      <c r="AA161" s="602">
        <v>0</v>
      </c>
      <c r="AB161" s="602">
        <v>0</v>
      </c>
      <c r="AC161" s="602">
        <v>0</v>
      </c>
      <c r="AD161" s="602">
        <v>0</v>
      </c>
      <c r="AE161" s="602">
        <v>0</v>
      </c>
      <c r="AF161" s="602">
        <v>0</v>
      </c>
      <c r="AG161" s="602">
        <v>0</v>
      </c>
      <c r="AH161" s="602">
        <v>0</v>
      </c>
      <c r="AI161" s="602">
        <v>0</v>
      </c>
      <c r="AJ161" s="498">
        <v>0</v>
      </c>
      <c r="AK161" s="498">
        <v>0</v>
      </c>
      <c r="AL161" s="602">
        <v>2.7508582941643702</v>
      </c>
      <c r="AM161" s="602">
        <v>0.938119217720079</v>
      </c>
      <c r="AN161" s="498">
        <v>612683.97149300005</v>
      </c>
      <c r="AO161" s="603">
        <v>208942.28149299999</v>
      </c>
    </row>
    <row r="162" spans="1:41" ht="12" thickBot="1">
      <c r="A162" s="918"/>
      <c r="B162" s="918"/>
      <c r="C162" s="918"/>
      <c r="D162" s="918"/>
      <c r="E162" s="600" t="s">
        <v>3556</v>
      </c>
      <c r="F162" s="600" t="s">
        <v>3556</v>
      </c>
      <c r="G162" s="600" t="s">
        <v>3556</v>
      </c>
      <c r="H162" s="601">
        <v>170405</v>
      </c>
      <c r="I162" s="602">
        <v>325700000</v>
      </c>
      <c r="J162" s="602">
        <v>2.11</v>
      </c>
      <c r="K162" s="776">
        <v>258552265.19336</v>
      </c>
      <c r="L162" s="776">
        <v>2653481.77</v>
      </c>
      <c r="M162" s="498">
        <v>2.0695791997130599</v>
      </c>
      <c r="N162" s="602">
        <v>3.3423545184273902</v>
      </c>
      <c r="O162" s="602">
        <v>1.27277531871442</v>
      </c>
      <c r="P162" s="498">
        <v>4285352.6865529995</v>
      </c>
      <c r="Q162" s="602">
        <v>1631870.916553</v>
      </c>
      <c r="R162" s="602">
        <v>-0.26618185801710198</v>
      </c>
      <c r="S162" s="602">
        <v>-341281.31354</v>
      </c>
      <c r="T162" s="602">
        <v>0</v>
      </c>
      <c r="U162" s="602">
        <v>0</v>
      </c>
      <c r="V162" s="602">
        <v>0</v>
      </c>
      <c r="W162" s="602">
        <v>0</v>
      </c>
      <c r="X162" s="602">
        <v>2.8741807244150999E-2</v>
      </c>
      <c r="Y162" s="602">
        <v>36850.902623000002</v>
      </c>
      <c r="Z162" s="602">
        <v>0</v>
      </c>
      <c r="AA162" s="602">
        <v>0</v>
      </c>
      <c r="AB162" s="602">
        <v>0</v>
      </c>
      <c r="AC162" s="602">
        <v>0</v>
      </c>
      <c r="AD162" s="602">
        <v>0</v>
      </c>
      <c r="AE162" s="602">
        <v>0</v>
      </c>
      <c r="AF162" s="602">
        <v>0</v>
      </c>
      <c r="AG162" s="602">
        <v>0</v>
      </c>
      <c r="AH162" s="602">
        <v>0</v>
      </c>
      <c r="AI162" s="602">
        <v>0</v>
      </c>
      <c r="AJ162" s="498">
        <v>0</v>
      </c>
      <c r="AK162" s="498">
        <v>0</v>
      </c>
      <c r="AL162" s="602">
        <v>3.1049144628468399</v>
      </c>
      <c r="AM162" s="602">
        <v>1.0353352631338599</v>
      </c>
      <c r="AN162" s="498">
        <v>3980922.2694720002</v>
      </c>
      <c r="AO162" s="603">
        <v>1327440.4994719999</v>
      </c>
    </row>
    <row r="163" spans="1:41" ht="12" thickBot="1">
      <c r="A163" s="918"/>
      <c r="B163" s="918"/>
      <c r="C163" s="918"/>
      <c r="D163" s="918"/>
      <c r="E163" s="600" t="s">
        <v>3557</v>
      </c>
      <c r="F163" s="600" t="s">
        <v>3557</v>
      </c>
      <c r="G163" s="600" t="s">
        <v>3557</v>
      </c>
      <c r="H163" s="601">
        <v>170406</v>
      </c>
      <c r="I163" s="602">
        <v>269580000</v>
      </c>
      <c r="J163" s="602">
        <v>2.95</v>
      </c>
      <c r="K163" s="776">
        <v>227601657.45856601</v>
      </c>
      <c r="L163" s="776">
        <v>3241102.83</v>
      </c>
      <c r="M163" s="498">
        <v>2.8716511423466602</v>
      </c>
      <c r="N163" s="602">
        <v>3.37967737345181</v>
      </c>
      <c r="O163" s="602">
        <v>0.50802623110512202</v>
      </c>
      <c r="P163" s="498">
        <v>3814489.0714790002</v>
      </c>
      <c r="Q163" s="602">
        <v>573386.24147899996</v>
      </c>
      <c r="R163" s="602">
        <v>-0.27131973277895399</v>
      </c>
      <c r="S163" s="602">
        <v>-306226.31724900001</v>
      </c>
      <c r="T163" s="602">
        <v>0</v>
      </c>
      <c r="U163" s="602">
        <v>0</v>
      </c>
      <c r="V163" s="602">
        <v>0</v>
      </c>
      <c r="W163" s="602">
        <v>0</v>
      </c>
      <c r="X163" s="602">
        <v>1.9692752435824998E-2</v>
      </c>
      <c r="Y163" s="602">
        <v>22226.319454</v>
      </c>
      <c r="Z163" s="602">
        <v>0</v>
      </c>
      <c r="AA163" s="602">
        <v>0</v>
      </c>
      <c r="AB163" s="602">
        <v>0</v>
      </c>
      <c r="AC163" s="602">
        <v>0</v>
      </c>
      <c r="AD163" s="602">
        <v>0</v>
      </c>
      <c r="AE163" s="602">
        <v>0</v>
      </c>
      <c r="AF163" s="602">
        <v>0</v>
      </c>
      <c r="AG163" s="602">
        <v>0</v>
      </c>
      <c r="AH163" s="602">
        <v>0</v>
      </c>
      <c r="AI163" s="602">
        <v>0</v>
      </c>
      <c r="AJ163" s="498">
        <v>0</v>
      </c>
      <c r="AK163" s="498">
        <v>0</v>
      </c>
      <c r="AL163" s="602">
        <v>3.1280503971240798</v>
      </c>
      <c r="AM163" s="602">
        <v>0.256399254777393</v>
      </c>
      <c r="AN163" s="498">
        <v>3530489.078216</v>
      </c>
      <c r="AO163" s="603">
        <v>289386.24821599998</v>
      </c>
    </row>
    <row r="164" spans="1:41" ht="12" thickBot="1">
      <c r="A164" s="918"/>
      <c r="B164" s="918"/>
      <c r="C164" s="918"/>
      <c r="D164" s="918"/>
      <c r="E164" s="600" t="s">
        <v>3558</v>
      </c>
      <c r="F164" s="600" t="s">
        <v>3558</v>
      </c>
      <c r="G164" s="600" t="s">
        <v>3558</v>
      </c>
      <c r="H164" s="601">
        <v>170407</v>
      </c>
      <c r="I164" s="602">
        <v>161780000</v>
      </c>
      <c r="J164" s="602">
        <v>2.9595240449993798</v>
      </c>
      <c r="K164" s="776">
        <v>149376629.83424899</v>
      </c>
      <c r="L164" s="776">
        <v>2116214.85</v>
      </c>
      <c r="M164" s="498">
        <v>2.8568759979318301</v>
      </c>
      <c r="N164" s="602">
        <v>3.4007181202736301</v>
      </c>
      <c r="O164" s="602">
        <v>0.543842122341891</v>
      </c>
      <c r="P164" s="498">
        <v>2519062.8476689998</v>
      </c>
      <c r="Q164" s="602">
        <v>402847.997669</v>
      </c>
      <c r="R164" s="602">
        <v>-0.27531066367920498</v>
      </c>
      <c r="S164" s="602">
        <v>-203934.82785500001</v>
      </c>
      <c r="T164" s="602">
        <v>0</v>
      </c>
      <c r="U164" s="602">
        <v>0</v>
      </c>
      <c r="V164" s="602">
        <v>0</v>
      </c>
      <c r="W164" s="602">
        <v>0</v>
      </c>
      <c r="X164" s="602">
        <v>2.3878176321708001E-2</v>
      </c>
      <c r="Y164" s="602">
        <v>17687.625</v>
      </c>
      <c r="Z164" s="602">
        <v>0</v>
      </c>
      <c r="AA164" s="602">
        <v>0</v>
      </c>
      <c r="AB164" s="602">
        <v>0</v>
      </c>
      <c r="AC164" s="602">
        <v>0</v>
      </c>
      <c r="AD164" s="602">
        <v>0</v>
      </c>
      <c r="AE164" s="602">
        <v>0</v>
      </c>
      <c r="AF164" s="602">
        <v>0</v>
      </c>
      <c r="AG164" s="602">
        <v>0</v>
      </c>
      <c r="AH164" s="602">
        <v>0</v>
      </c>
      <c r="AI164" s="602">
        <v>0</v>
      </c>
      <c r="AJ164" s="498">
        <v>0</v>
      </c>
      <c r="AK164" s="498">
        <v>0</v>
      </c>
      <c r="AL164" s="602">
        <v>3.14928562726235</v>
      </c>
      <c r="AM164" s="602">
        <v>0.29240962933062198</v>
      </c>
      <c r="AN164" s="498">
        <v>2332815.6406259998</v>
      </c>
      <c r="AO164" s="603">
        <v>216600.790626</v>
      </c>
    </row>
    <row r="165" spans="1:41" ht="12" thickBot="1">
      <c r="A165" s="918"/>
      <c r="B165" s="918"/>
      <c r="C165" s="918"/>
      <c r="D165" s="919"/>
      <c r="E165" s="600" t="s">
        <v>3559</v>
      </c>
      <c r="F165" s="600" t="s">
        <v>3559</v>
      </c>
      <c r="G165" s="600" t="s">
        <v>3559</v>
      </c>
      <c r="H165" s="601">
        <v>170408</v>
      </c>
      <c r="I165" s="602">
        <v>1046680000</v>
      </c>
      <c r="J165" s="602">
        <v>3.85</v>
      </c>
      <c r="K165" s="776">
        <v>875963922.65193605</v>
      </c>
      <c r="L165" s="776">
        <v>16162601.449999999</v>
      </c>
      <c r="M165" s="498">
        <v>3.7208257645074299</v>
      </c>
      <c r="N165" s="602">
        <v>3.7154601248117798</v>
      </c>
      <c r="O165" s="602">
        <v>-5.3656396956700001E-3</v>
      </c>
      <c r="P165" s="498">
        <v>16139294.071097</v>
      </c>
      <c r="Q165" s="602">
        <v>-23307.378903000099</v>
      </c>
      <c r="R165" s="602">
        <v>-0.32133511207760301</v>
      </c>
      <c r="S165" s="602">
        <v>-1395822.2386930001</v>
      </c>
      <c r="T165" s="602">
        <v>0</v>
      </c>
      <c r="U165" s="602">
        <v>0</v>
      </c>
      <c r="V165" s="602">
        <v>0</v>
      </c>
      <c r="W165" s="602">
        <v>0</v>
      </c>
      <c r="X165" s="602">
        <v>3.5552799388102997E-2</v>
      </c>
      <c r="Y165" s="602">
        <v>154435</v>
      </c>
      <c r="Z165" s="602">
        <v>0</v>
      </c>
      <c r="AA165" s="602">
        <v>0</v>
      </c>
      <c r="AB165" s="602">
        <v>0</v>
      </c>
      <c r="AC165" s="602">
        <v>0</v>
      </c>
      <c r="AD165" s="602">
        <v>0</v>
      </c>
      <c r="AE165" s="602">
        <v>0</v>
      </c>
      <c r="AF165" s="602">
        <v>0</v>
      </c>
      <c r="AG165" s="602">
        <v>0</v>
      </c>
      <c r="AH165" s="602">
        <v>0</v>
      </c>
      <c r="AI165" s="602">
        <v>0</v>
      </c>
      <c r="AJ165" s="498">
        <v>0</v>
      </c>
      <c r="AK165" s="498">
        <v>0</v>
      </c>
      <c r="AL165" s="602">
        <v>3.4296778135831998</v>
      </c>
      <c r="AM165" s="602">
        <v>-0.291147950924245</v>
      </c>
      <c r="AN165" s="498">
        <v>14897906.838749999</v>
      </c>
      <c r="AO165" s="603">
        <v>-1264694.6112500001</v>
      </c>
    </row>
    <row r="166" spans="1:41" ht="12" thickBot="1">
      <c r="A166" s="918"/>
      <c r="B166" s="918"/>
      <c r="C166" s="918"/>
      <c r="D166" s="600" t="s">
        <v>352</v>
      </c>
      <c r="E166" s="600" t="s">
        <v>352</v>
      </c>
      <c r="F166" s="600" t="s">
        <v>352</v>
      </c>
      <c r="G166" s="600" t="s">
        <v>352</v>
      </c>
      <c r="H166" s="601">
        <v>170381</v>
      </c>
      <c r="I166" s="602">
        <v>64084.6</v>
      </c>
      <c r="J166" s="602">
        <v>0.809459776607797</v>
      </c>
      <c r="K166" s="776">
        <v>62785.152486999999</v>
      </c>
      <c r="L166" s="776">
        <v>346.01</v>
      </c>
      <c r="M166" s="498">
        <v>1.1113375451627101</v>
      </c>
      <c r="N166" s="602">
        <v>3.1501843589617402</v>
      </c>
      <c r="O166" s="602">
        <v>2.0388468137846498</v>
      </c>
      <c r="P166" s="498">
        <v>980.795884</v>
      </c>
      <c r="Q166" s="602">
        <v>634.78588400000001</v>
      </c>
      <c r="R166" s="602">
        <v>-0.223843924689729</v>
      </c>
      <c r="S166" s="602">
        <v>-69.692809999999994</v>
      </c>
      <c r="T166" s="602">
        <v>0</v>
      </c>
      <c r="U166" s="602">
        <v>0</v>
      </c>
      <c r="V166" s="602">
        <v>0</v>
      </c>
      <c r="W166" s="602">
        <v>0</v>
      </c>
      <c r="X166" s="602">
        <v>0</v>
      </c>
      <c r="Y166" s="602">
        <v>0</v>
      </c>
      <c r="Z166" s="602">
        <v>0</v>
      </c>
      <c r="AA166" s="602">
        <v>0</v>
      </c>
      <c r="AB166" s="602">
        <v>0</v>
      </c>
      <c r="AC166" s="602">
        <v>0</v>
      </c>
      <c r="AD166" s="602">
        <v>0</v>
      </c>
      <c r="AE166" s="602">
        <v>0</v>
      </c>
      <c r="AF166" s="602">
        <v>0</v>
      </c>
      <c r="AG166" s="602">
        <v>0</v>
      </c>
      <c r="AH166" s="602">
        <v>0</v>
      </c>
      <c r="AI166" s="602">
        <v>0</v>
      </c>
      <c r="AJ166" s="498">
        <v>0</v>
      </c>
      <c r="AK166" s="498">
        <v>0</v>
      </c>
      <c r="AL166" s="602">
        <v>2.9263391463139801</v>
      </c>
      <c r="AM166" s="602">
        <v>1.8150016011368999</v>
      </c>
      <c r="AN166" s="498">
        <v>911.10267299999998</v>
      </c>
      <c r="AO166" s="603">
        <v>565.09267299999999</v>
      </c>
    </row>
    <row r="167" spans="1:41" ht="12" thickBot="1">
      <c r="A167" s="918"/>
      <c r="B167" s="918"/>
      <c r="C167" s="918"/>
      <c r="D167" s="600" t="s">
        <v>353</v>
      </c>
      <c r="E167" s="600" t="s">
        <v>353</v>
      </c>
      <c r="F167" s="600" t="s">
        <v>353</v>
      </c>
      <c r="G167" s="600" t="s">
        <v>353</v>
      </c>
      <c r="H167" s="601">
        <v>170401</v>
      </c>
      <c r="I167" s="602">
        <v>795401</v>
      </c>
      <c r="J167" s="602">
        <v>0.35</v>
      </c>
      <c r="K167" s="776">
        <v>795401</v>
      </c>
      <c r="L167" s="776">
        <v>0</v>
      </c>
      <c r="M167" s="498">
        <v>0</v>
      </c>
      <c r="N167" s="602">
        <v>2.2152351194745701</v>
      </c>
      <c r="O167" s="602">
        <v>2.2152351194745701</v>
      </c>
      <c r="P167" s="498">
        <v>8737.5901780000004</v>
      </c>
      <c r="Q167" s="602">
        <v>8737.5901780000004</v>
      </c>
      <c r="R167" s="602">
        <v>-8.8112358274603994E-2</v>
      </c>
      <c r="S167" s="602">
        <v>-347.54309799999999</v>
      </c>
      <c r="T167" s="602">
        <v>0</v>
      </c>
      <c r="U167" s="602">
        <v>0</v>
      </c>
      <c r="V167" s="602">
        <v>0</v>
      </c>
      <c r="W167" s="602">
        <v>0</v>
      </c>
      <c r="X167" s="602">
        <v>0</v>
      </c>
      <c r="Y167" s="602">
        <v>0</v>
      </c>
      <c r="Z167" s="602">
        <v>0</v>
      </c>
      <c r="AA167" s="602">
        <v>0</v>
      </c>
      <c r="AB167" s="602">
        <v>0</v>
      </c>
      <c r="AC167" s="602">
        <v>0</v>
      </c>
      <c r="AD167" s="602">
        <v>0</v>
      </c>
      <c r="AE167" s="602">
        <v>0</v>
      </c>
      <c r="AF167" s="602">
        <v>0</v>
      </c>
      <c r="AG167" s="602">
        <v>0</v>
      </c>
      <c r="AH167" s="602">
        <v>0</v>
      </c>
      <c r="AI167" s="602">
        <v>0</v>
      </c>
      <c r="AJ167" s="498">
        <v>0</v>
      </c>
      <c r="AK167" s="498">
        <v>0</v>
      </c>
      <c r="AL167" s="602">
        <v>2.1271223089036999</v>
      </c>
      <c r="AM167" s="602">
        <v>2.1271223089036999</v>
      </c>
      <c r="AN167" s="498">
        <v>8390.0452960000002</v>
      </c>
      <c r="AO167" s="603">
        <v>8390.0452960000002</v>
      </c>
    </row>
    <row r="168" spans="1:41" ht="12" thickBot="1">
      <c r="A168" s="918"/>
      <c r="B168" s="918"/>
      <c r="C168" s="918"/>
      <c r="D168" s="917" t="s">
        <v>354</v>
      </c>
      <c r="E168" s="600" t="s">
        <v>355</v>
      </c>
      <c r="F168" s="600" t="s">
        <v>355</v>
      </c>
      <c r="G168" s="600" t="s">
        <v>355</v>
      </c>
      <c r="H168" s="601">
        <v>170411</v>
      </c>
      <c r="I168" s="602">
        <v>1872886.25</v>
      </c>
      <c r="J168" s="602">
        <v>0.88</v>
      </c>
      <c r="K168" s="776">
        <v>3971848.8393370002</v>
      </c>
      <c r="L168" s="776">
        <v>13739.1</v>
      </c>
      <c r="M168" s="498">
        <v>0.69755725885397901</v>
      </c>
      <c r="N168" s="602">
        <v>2.9886781267430602</v>
      </c>
      <c r="O168" s="602">
        <v>2.29112086788908</v>
      </c>
      <c r="P168" s="498">
        <v>58865.056782</v>
      </c>
      <c r="Q168" s="602">
        <v>45125.956782000001</v>
      </c>
      <c r="R168" s="602">
        <v>-0.19864072890027701</v>
      </c>
      <c r="S168" s="602">
        <v>-3912.4312789999999</v>
      </c>
      <c r="T168" s="602">
        <v>0</v>
      </c>
      <c r="U168" s="602">
        <v>0</v>
      </c>
      <c r="V168" s="602">
        <v>0</v>
      </c>
      <c r="W168" s="602">
        <v>0</v>
      </c>
      <c r="X168" s="602">
        <v>0</v>
      </c>
      <c r="Y168" s="602">
        <v>0</v>
      </c>
      <c r="Z168" s="602">
        <v>0</v>
      </c>
      <c r="AA168" s="602">
        <v>0</v>
      </c>
      <c r="AB168" s="602">
        <v>0</v>
      </c>
      <c r="AC168" s="602">
        <v>0</v>
      </c>
      <c r="AD168" s="602">
        <v>0</v>
      </c>
      <c r="AE168" s="602">
        <v>0</v>
      </c>
      <c r="AF168" s="602">
        <v>0</v>
      </c>
      <c r="AG168" s="602">
        <v>0</v>
      </c>
      <c r="AH168" s="602">
        <v>0</v>
      </c>
      <c r="AI168" s="602">
        <v>0</v>
      </c>
      <c r="AJ168" s="498">
        <v>0</v>
      </c>
      <c r="AK168" s="498">
        <v>0</v>
      </c>
      <c r="AL168" s="602">
        <v>2.7900373951518902</v>
      </c>
      <c r="AM168" s="602">
        <v>2.09248013629791</v>
      </c>
      <c r="AN168" s="498">
        <v>54952.62545</v>
      </c>
      <c r="AO168" s="603">
        <v>41213.525450000001</v>
      </c>
    </row>
    <row r="169" spans="1:41" ht="12" thickBot="1">
      <c r="A169" s="918"/>
      <c r="B169" s="918"/>
      <c r="C169" s="918"/>
      <c r="D169" s="918"/>
      <c r="E169" s="600" t="s">
        <v>356</v>
      </c>
      <c r="F169" s="600" t="s">
        <v>356</v>
      </c>
      <c r="G169" s="600" t="s">
        <v>356</v>
      </c>
      <c r="H169" s="601">
        <v>170412</v>
      </c>
      <c r="I169" s="602">
        <v>15739600</v>
      </c>
      <c r="J169" s="602">
        <v>1.1000000000000001</v>
      </c>
      <c r="K169" s="776">
        <v>24011171.880435001</v>
      </c>
      <c r="L169" s="776">
        <v>88950.57</v>
      </c>
      <c r="M169" s="498">
        <v>0.74704999711379905</v>
      </c>
      <c r="N169" s="602">
        <v>3.0320507983170302</v>
      </c>
      <c r="O169" s="602">
        <v>2.2850008012034499</v>
      </c>
      <c r="P169" s="498">
        <v>361023.55641700001</v>
      </c>
      <c r="Q169" s="602">
        <v>272072.98641700001</v>
      </c>
      <c r="R169" s="602">
        <v>-0.20668239580598799</v>
      </c>
      <c r="S169" s="602">
        <v>-24609.486629999999</v>
      </c>
      <c r="T169" s="602">
        <v>0</v>
      </c>
      <c r="U169" s="602">
        <v>0</v>
      </c>
      <c r="V169" s="602">
        <v>0</v>
      </c>
      <c r="W169" s="602">
        <v>0</v>
      </c>
      <c r="X169" s="602">
        <v>0</v>
      </c>
      <c r="Y169" s="602">
        <v>0</v>
      </c>
      <c r="Z169" s="602">
        <v>0</v>
      </c>
      <c r="AA169" s="602">
        <v>0</v>
      </c>
      <c r="AB169" s="602">
        <v>0</v>
      </c>
      <c r="AC169" s="602">
        <v>0</v>
      </c>
      <c r="AD169" s="602">
        <v>0</v>
      </c>
      <c r="AE169" s="602">
        <v>0</v>
      </c>
      <c r="AF169" s="602">
        <v>0</v>
      </c>
      <c r="AG169" s="602">
        <v>0</v>
      </c>
      <c r="AH169" s="602">
        <v>0</v>
      </c>
      <c r="AI169" s="602">
        <v>0</v>
      </c>
      <c r="AJ169" s="498">
        <v>0</v>
      </c>
      <c r="AK169" s="498">
        <v>0</v>
      </c>
      <c r="AL169" s="602">
        <v>2.8253684051397698</v>
      </c>
      <c r="AM169" s="602">
        <v>2.0783184080261901</v>
      </c>
      <c r="AN169" s="498">
        <v>336414.07010000001</v>
      </c>
      <c r="AO169" s="603">
        <v>247463.5001</v>
      </c>
    </row>
    <row r="170" spans="1:41" ht="12" thickBot="1">
      <c r="A170" s="918"/>
      <c r="B170" s="918"/>
      <c r="C170" s="918"/>
      <c r="D170" s="918"/>
      <c r="E170" s="917" t="s">
        <v>331</v>
      </c>
      <c r="F170" s="917" t="s">
        <v>331</v>
      </c>
      <c r="G170" s="600" t="s">
        <v>4183</v>
      </c>
      <c r="H170" s="601">
        <v>170410</v>
      </c>
      <c r="I170" s="602">
        <v>0</v>
      </c>
      <c r="J170" s="602">
        <v>0</v>
      </c>
      <c r="K170" s="776">
        <v>32772.297735</v>
      </c>
      <c r="L170" s="776">
        <v>180.94</v>
      </c>
      <c r="M170" s="498">
        <v>1.1133763292257099</v>
      </c>
      <c r="N170" s="602">
        <v>2.9019457161323801</v>
      </c>
      <c r="O170" s="602">
        <v>1.78856938690011</v>
      </c>
      <c r="P170" s="498">
        <v>471.60878500000001</v>
      </c>
      <c r="Q170" s="602">
        <v>290.66878500000001</v>
      </c>
      <c r="R170" s="602">
        <v>-0.182673310802862</v>
      </c>
      <c r="S170" s="602">
        <v>-29.687094999999999</v>
      </c>
      <c r="T170" s="602">
        <v>0</v>
      </c>
      <c r="U170" s="602">
        <v>0</v>
      </c>
      <c r="V170" s="602">
        <v>0</v>
      </c>
      <c r="W170" s="602">
        <v>0</v>
      </c>
      <c r="X170" s="602">
        <v>0</v>
      </c>
      <c r="Y170" s="602">
        <v>0</v>
      </c>
      <c r="Z170" s="602">
        <v>0</v>
      </c>
      <c r="AA170" s="602">
        <v>0</v>
      </c>
      <c r="AB170" s="602">
        <v>0</v>
      </c>
      <c r="AC170" s="602">
        <v>0</v>
      </c>
      <c r="AD170" s="602">
        <v>0</v>
      </c>
      <c r="AE170" s="602">
        <v>0</v>
      </c>
      <c r="AF170" s="602">
        <v>0</v>
      </c>
      <c r="AG170" s="602">
        <v>0</v>
      </c>
      <c r="AH170" s="602">
        <v>0</v>
      </c>
      <c r="AI170" s="602">
        <v>0</v>
      </c>
      <c r="AJ170" s="498">
        <v>0</v>
      </c>
      <c r="AK170" s="498">
        <v>0</v>
      </c>
      <c r="AL170" s="602">
        <v>2.7192724114828102</v>
      </c>
      <c r="AM170" s="602">
        <v>1.6058960822505299</v>
      </c>
      <c r="AN170" s="498">
        <v>441.92169100000001</v>
      </c>
      <c r="AO170" s="603">
        <v>260.98169100000001</v>
      </c>
    </row>
    <row r="171" spans="1:41" ht="12" thickBot="1">
      <c r="A171" s="918"/>
      <c r="B171" s="918"/>
      <c r="C171" s="918"/>
      <c r="D171" s="918"/>
      <c r="E171" s="919"/>
      <c r="F171" s="919"/>
      <c r="G171" s="600" t="s">
        <v>3703</v>
      </c>
      <c r="H171" s="601">
        <v>170413</v>
      </c>
      <c r="I171" s="602">
        <v>604596.34</v>
      </c>
      <c r="J171" s="602">
        <v>1.1000000000000001</v>
      </c>
      <c r="K171" s="776">
        <v>547809.03961400001</v>
      </c>
      <c r="L171" s="776">
        <v>2230.1999999999998</v>
      </c>
      <c r="M171" s="498">
        <v>0.82097306098726197</v>
      </c>
      <c r="N171" s="602">
        <v>3.00121203172721</v>
      </c>
      <c r="O171" s="602">
        <v>2.1802389707388401</v>
      </c>
      <c r="P171" s="498">
        <v>8152.8900169999997</v>
      </c>
      <c r="Q171" s="602">
        <v>5922.6900169999999</v>
      </c>
      <c r="R171" s="602">
        <v>-0.20329413045696201</v>
      </c>
      <c r="S171" s="602">
        <v>-552.25511200000005</v>
      </c>
      <c r="T171" s="602">
        <v>0</v>
      </c>
      <c r="U171" s="602">
        <v>0</v>
      </c>
      <c r="V171" s="602">
        <v>0</v>
      </c>
      <c r="W171" s="602">
        <v>0</v>
      </c>
      <c r="X171" s="602">
        <v>0</v>
      </c>
      <c r="Y171" s="602">
        <v>0</v>
      </c>
      <c r="Z171" s="602">
        <v>0</v>
      </c>
      <c r="AA171" s="602">
        <v>0</v>
      </c>
      <c r="AB171" s="602">
        <v>0</v>
      </c>
      <c r="AC171" s="602">
        <v>0</v>
      </c>
      <c r="AD171" s="602">
        <v>0</v>
      </c>
      <c r="AE171" s="602">
        <v>0</v>
      </c>
      <c r="AF171" s="602">
        <v>0</v>
      </c>
      <c r="AG171" s="602">
        <v>0</v>
      </c>
      <c r="AH171" s="602">
        <v>0</v>
      </c>
      <c r="AI171" s="602">
        <v>0</v>
      </c>
      <c r="AJ171" s="498">
        <v>0</v>
      </c>
      <c r="AK171" s="498">
        <v>0</v>
      </c>
      <c r="AL171" s="602">
        <v>2.7979179255659301</v>
      </c>
      <c r="AM171" s="602">
        <v>1.97694486457756</v>
      </c>
      <c r="AN171" s="498">
        <v>7600.6349710000004</v>
      </c>
      <c r="AO171" s="603">
        <v>5370.4349709999997</v>
      </c>
    </row>
    <row r="172" spans="1:41" ht="12" thickBot="1">
      <c r="A172" s="918"/>
      <c r="B172" s="918"/>
      <c r="C172" s="918"/>
      <c r="D172" s="918"/>
      <c r="E172" s="600" t="s">
        <v>357</v>
      </c>
      <c r="F172" s="600" t="s">
        <v>357</v>
      </c>
      <c r="G172" s="600" t="s">
        <v>357</v>
      </c>
      <c r="H172" s="601">
        <v>170414</v>
      </c>
      <c r="I172" s="602">
        <v>1756881956.22</v>
      </c>
      <c r="J172" s="602">
        <v>1.9559310465841599</v>
      </c>
      <c r="K172" s="776">
        <v>1814704267.1553099</v>
      </c>
      <c r="L172" s="776">
        <v>13704124.48</v>
      </c>
      <c r="M172" s="498">
        <v>1.5228591040936901</v>
      </c>
      <c r="N172" s="602">
        <v>3.5308118876499801</v>
      </c>
      <c r="O172" s="602">
        <v>2.0079527835562798</v>
      </c>
      <c r="P172" s="498">
        <v>31773580.033601001</v>
      </c>
      <c r="Q172" s="602">
        <v>18069455.553601</v>
      </c>
      <c r="R172" s="602">
        <v>-0.28303974176393099</v>
      </c>
      <c r="S172" s="602">
        <v>-2547058.912734</v>
      </c>
      <c r="T172" s="602">
        <v>0</v>
      </c>
      <c r="U172" s="602">
        <v>0</v>
      </c>
      <c r="V172" s="602">
        <v>0</v>
      </c>
      <c r="W172" s="602">
        <v>0</v>
      </c>
      <c r="X172" s="602">
        <v>0</v>
      </c>
      <c r="Y172" s="602">
        <v>0</v>
      </c>
      <c r="Z172" s="602">
        <v>0</v>
      </c>
      <c r="AA172" s="602">
        <v>0</v>
      </c>
      <c r="AB172" s="602">
        <v>0</v>
      </c>
      <c r="AC172" s="602">
        <v>0</v>
      </c>
      <c r="AD172" s="602">
        <v>0</v>
      </c>
      <c r="AE172" s="602">
        <v>0</v>
      </c>
      <c r="AF172" s="602">
        <v>0</v>
      </c>
      <c r="AG172" s="602">
        <v>0</v>
      </c>
      <c r="AH172" s="602">
        <v>0</v>
      </c>
      <c r="AI172" s="602">
        <v>0</v>
      </c>
      <c r="AJ172" s="498">
        <v>0</v>
      </c>
      <c r="AK172" s="498">
        <v>0</v>
      </c>
      <c r="AL172" s="602">
        <v>3.2477720861685899</v>
      </c>
      <c r="AM172" s="602">
        <v>1.7249129820749001</v>
      </c>
      <c r="AN172" s="498">
        <v>29226520.583473001</v>
      </c>
      <c r="AO172" s="603">
        <v>15522396.103473</v>
      </c>
    </row>
    <row r="173" spans="1:41" ht="12" thickBot="1">
      <c r="A173" s="918"/>
      <c r="B173" s="918"/>
      <c r="C173" s="918"/>
      <c r="D173" s="918"/>
      <c r="E173" s="600" t="s">
        <v>3560</v>
      </c>
      <c r="F173" s="600" t="s">
        <v>3560</v>
      </c>
      <c r="G173" s="600" t="s">
        <v>3560</v>
      </c>
      <c r="H173" s="601">
        <v>170415</v>
      </c>
      <c r="I173" s="602">
        <v>20035.75</v>
      </c>
      <c r="J173" s="602">
        <v>1.43</v>
      </c>
      <c r="K173" s="776">
        <v>12609.918508999999</v>
      </c>
      <c r="L173" s="776">
        <v>89.87</v>
      </c>
      <c r="M173" s="498">
        <v>1.4371984869029999</v>
      </c>
      <c r="N173" s="602">
        <v>3.09015488158767</v>
      </c>
      <c r="O173" s="602">
        <v>1.65295639460343</v>
      </c>
      <c r="P173" s="498">
        <v>193.231639</v>
      </c>
      <c r="Q173" s="602">
        <v>103.361639</v>
      </c>
      <c r="R173" s="602">
        <v>-0.21863270439245799</v>
      </c>
      <c r="S173" s="602">
        <v>-13.671404000000001</v>
      </c>
      <c r="T173" s="602">
        <v>0</v>
      </c>
      <c r="U173" s="602">
        <v>0</v>
      </c>
      <c r="V173" s="602">
        <v>0</v>
      </c>
      <c r="W173" s="602">
        <v>0</v>
      </c>
      <c r="X173" s="602">
        <v>1.737785184227E-2</v>
      </c>
      <c r="Y173" s="602">
        <v>1.0866610000000001</v>
      </c>
      <c r="Z173" s="602">
        <v>0</v>
      </c>
      <c r="AA173" s="602">
        <v>0</v>
      </c>
      <c r="AB173" s="602">
        <v>0</v>
      </c>
      <c r="AC173" s="602">
        <v>0</v>
      </c>
      <c r="AD173" s="602">
        <v>0</v>
      </c>
      <c r="AE173" s="602">
        <v>0</v>
      </c>
      <c r="AF173" s="602">
        <v>0</v>
      </c>
      <c r="AG173" s="602">
        <v>0</v>
      </c>
      <c r="AH173" s="602">
        <v>0</v>
      </c>
      <c r="AI173" s="602">
        <v>0</v>
      </c>
      <c r="AJ173" s="498">
        <v>0</v>
      </c>
      <c r="AK173" s="498">
        <v>0</v>
      </c>
      <c r="AL173" s="602">
        <v>2.88889982114185</v>
      </c>
      <c r="AM173" s="602">
        <v>1.4517013341576099</v>
      </c>
      <c r="AN173" s="498">
        <v>180.646883</v>
      </c>
      <c r="AO173" s="603">
        <v>90.776882999999998</v>
      </c>
    </row>
    <row r="174" spans="1:41" ht="12" thickBot="1">
      <c r="A174" s="918"/>
      <c r="B174" s="918"/>
      <c r="C174" s="918"/>
      <c r="D174" s="918"/>
      <c r="E174" s="600" t="s">
        <v>3561</v>
      </c>
      <c r="F174" s="600" t="s">
        <v>3561</v>
      </c>
      <c r="G174" s="600" t="s">
        <v>3561</v>
      </c>
      <c r="H174" s="601">
        <v>170416</v>
      </c>
      <c r="I174" s="602">
        <v>133436.70000000001</v>
      </c>
      <c r="J174" s="602">
        <v>1.69</v>
      </c>
      <c r="K174" s="776">
        <v>111027.554586</v>
      </c>
      <c r="L174" s="776">
        <v>933.4</v>
      </c>
      <c r="M174" s="498">
        <v>1.6953185407448299</v>
      </c>
      <c r="N174" s="602">
        <v>3.1172172751185299</v>
      </c>
      <c r="O174" s="602">
        <v>1.42189873436813</v>
      </c>
      <c r="P174" s="498">
        <v>1716.2618910000001</v>
      </c>
      <c r="Q174" s="602">
        <v>782.86189100000001</v>
      </c>
      <c r="R174" s="602">
        <v>-0.22185956995759201</v>
      </c>
      <c r="S174" s="602">
        <v>-122.15033200000001</v>
      </c>
      <c r="T174" s="602">
        <v>0</v>
      </c>
      <c r="U174" s="602">
        <v>0</v>
      </c>
      <c r="V174" s="602">
        <v>0</v>
      </c>
      <c r="W174" s="602">
        <v>0</v>
      </c>
      <c r="X174" s="602">
        <v>0</v>
      </c>
      <c r="Y174" s="602">
        <v>0</v>
      </c>
      <c r="Z174" s="602">
        <v>0</v>
      </c>
      <c r="AA174" s="602">
        <v>0</v>
      </c>
      <c r="AB174" s="602">
        <v>0</v>
      </c>
      <c r="AC174" s="602">
        <v>0</v>
      </c>
      <c r="AD174" s="602">
        <v>0</v>
      </c>
      <c r="AE174" s="602">
        <v>0</v>
      </c>
      <c r="AF174" s="602">
        <v>0</v>
      </c>
      <c r="AG174" s="602">
        <v>0</v>
      </c>
      <c r="AH174" s="602">
        <v>0</v>
      </c>
      <c r="AI174" s="602">
        <v>0</v>
      </c>
      <c r="AJ174" s="498">
        <v>0</v>
      </c>
      <c r="AK174" s="498">
        <v>0</v>
      </c>
      <c r="AL174" s="602">
        <v>2.8953577451191701</v>
      </c>
      <c r="AM174" s="602">
        <v>1.20003920436877</v>
      </c>
      <c r="AN174" s="498">
        <v>1594.1115809999999</v>
      </c>
      <c r="AO174" s="603">
        <v>660.71158100000002</v>
      </c>
    </row>
    <row r="175" spans="1:41" ht="12" thickBot="1">
      <c r="A175" s="918"/>
      <c r="B175" s="918"/>
      <c r="C175" s="918"/>
      <c r="D175" s="918"/>
      <c r="E175" s="600" t="s">
        <v>3562</v>
      </c>
      <c r="F175" s="600" t="s">
        <v>3562</v>
      </c>
      <c r="G175" s="600" t="s">
        <v>3562</v>
      </c>
      <c r="H175" s="601">
        <v>170417</v>
      </c>
      <c r="I175" s="602">
        <v>4201456.0999999996</v>
      </c>
      <c r="J175" s="602">
        <v>1.97</v>
      </c>
      <c r="K175" s="776">
        <v>4193571.490497</v>
      </c>
      <c r="L175" s="776">
        <v>41260.15</v>
      </c>
      <c r="M175" s="498">
        <v>1.98408850494264</v>
      </c>
      <c r="N175" s="602">
        <v>3.4473328754307402</v>
      </c>
      <c r="O175" s="602">
        <v>1.4632443704882101</v>
      </c>
      <c r="P175" s="498">
        <v>71689.075958999994</v>
      </c>
      <c r="Q175" s="602">
        <v>30428.925959</v>
      </c>
      <c r="R175" s="602">
        <v>-0.27066609833520799</v>
      </c>
      <c r="S175" s="602">
        <v>-5628.641963</v>
      </c>
      <c r="T175" s="602">
        <v>0</v>
      </c>
      <c r="U175" s="602">
        <v>0</v>
      </c>
      <c r="V175" s="602">
        <v>0</v>
      </c>
      <c r="W175" s="602">
        <v>0</v>
      </c>
      <c r="X175" s="602">
        <v>0</v>
      </c>
      <c r="Y175" s="602">
        <v>0</v>
      </c>
      <c r="Z175" s="602">
        <v>0</v>
      </c>
      <c r="AA175" s="602">
        <v>0</v>
      </c>
      <c r="AB175" s="602">
        <v>0</v>
      </c>
      <c r="AC175" s="602">
        <v>0</v>
      </c>
      <c r="AD175" s="602">
        <v>0</v>
      </c>
      <c r="AE175" s="602">
        <v>0</v>
      </c>
      <c r="AF175" s="602">
        <v>0</v>
      </c>
      <c r="AG175" s="602">
        <v>0</v>
      </c>
      <c r="AH175" s="602">
        <v>0</v>
      </c>
      <c r="AI175" s="602">
        <v>0</v>
      </c>
      <c r="AJ175" s="498">
        <v>0</v>
      </c>
      <c r="AK175" s="498">
        <v>0</v>
      </c>
      <c r="AL175" s="602">
        <v>3.17666677142123</v>
      </c>
      <c r="AM175" s="602">
        <v>1.1925782664786999</v>
      </c>
      <c r="AN175" s="498">
        <v>66060.433877999996</v>
      </c>
      <c r="AO175" s="603">
        <v>24800.283877999998</v>
      </c>
    </row>
    <row r="176" spans="1:41" ht="12" thickBot="1">
      <c r="A176" s="918"/>
      <c r="B176" s="918"/>
      <c r="C176" s="918"/>
      <c r="D176" s="918"/>
      <c r="E176" s="600" t="s">
        <v>3563</v>
      </c>
      <c r="F176" s="600" t="s">
        <v>3563</v>
      </c>
      <c r="G176" s="600" t="s">
        <v>3563</v>
      </c>
      <c r="H176" s="601">
        <v>170418</v>
      </c>
      <c r="I176" s="602">
        <v>1181620</v>
      </c>
      <c r="J176" s="602">
        <v>2.64461916690645</v>
      </c>
      <c r="K176" s="776">
        <v>1180864.861878</v>
      </c>
      <c r="L176" s="776">
        <v>15621.92</v>
      </c>
      <c r="M176" s="498">
        <v>2.66777070500074</v>
      </c>
      <c r="N176" s="602">
        <v>3.7786142690646201</v>
      </c>
      <c r="O176" s="602">
        <v>1.1108435640648999</v>
      </c>
      <c r="P176" s="498">
        <v>22126.792872999999</v>
      </c>
      <c r="Q176" s="602">
        <v>6504.8728730000003</v>
      </c>
      <c r="R176" s="602">
        <v>-0.31977566323240803</v>
      </c>
      <c r="S176" s="602">
        <v>-1872.540927</v>
      </c>
      <c r="T176" s="602">
        <v>0</v>
      </c>
      <c r="U176" s="602">
        <v>0</v>
      </c>
      <c r="V176" s="602">
        <v>0</v>
      </c>
      <c r="W176" s="602">
        <v>0</v>
      </c>
      <c r="X176" s="602">
        <v>0</v>
      </c>
      <c r="Y176" s="602">
        <v>0</v>
      </c>
      <c r="Z176" s="602">
        <v>0</v>
      </c>
      <c r="AA176" s="602">
        <v>0</v>
      </c>
      <c r="AB176" s="602">
        <v>0</v>
      </c>
      <c r="AC176" s="602">
        <v>0</v>
      </c>
      <c r="AD176" s="602">
        <v>0</v>
      </c>
      <c r="AE176" s="602">
        <v>0</v>
      </c>
      <c r="AF176" s="602">
        <v>0</v>
      </c>
      <c r="AG176" s="602">
        <v>0</v>
      </c>
      <c r="AH176" s="602">
        <v>0</v>
      </c>
      <c r="AI176" s="602">
        <v>0</v>
      </c>
      <c r="AJ176" s="498">
        <v>0</v>
      </c>
      <c r="AK176" s="498">
        <v>0</v>
      </c>
      <c r="AL176" s="602">
        <v>3.4588385952444098</v>
      </c>
      <c r="AM176" s="602">
        <v>0.79106789024469104</v>
      </c>
      <c r="AN176" s="498">
        <v>20254.251884000001</v>
      </c>
      <c r="AO176" s="603">
        <v>4632.3318840000002</v>
      </c>
    </row>
    <row r="177" spans="1:41" ht="12" thickBot="1">
      <c r="A177" s="918"/>
      <c r="B177" s="918"/>
      <c r="C177" s="918"/>
      <c r="D177" s="918"/>
      <c r="E177" s="600" t="s">
        <v>3564</v>
      </c>
      <c r="F177" s="600" t="s">
        <v>3564</v>
      </c>
      <c r="G177" s="600" t="s">
        <v>3564</v>
      </c>
      <c r="H177" s="601">
        <v>170419</v>
      </c>
      <c r="I177" s="602">
        <v>3234819.35</v>
      </c>
      <c r="J177" s="602">
        <v>4.4907088876539598</v>
      </c>
      <c r="K177" s="776">
        <v>3350879.7367400001</v>
      </c>
      <c r="L177" s="776">
        <v>62596.13</v>
      </c>
      <c r="M177" s="498">
        <v>3.7670634231693798</v>
      </c>
      <c r="N177" s="602">
        <v>5.4418628842740304</v>
      </c>
      <c r="O177" s="602">
        <v>1.6747994611050201</v>
      </c>
      <c r="P177" s="498">
        <v>90425.75563</v>
      </c>
      <c r="Q177" s="602">
        <v>27829.625629999999</v>
      </c>
      <c r="R177" s="602">
        <v>-0.56632974836281602</v>
      </c>
      <c r="S177" s="602">
        <v>-9410.5266009999996</v>
      </c>
      <c r="T177" s="602">
        <v>0</v>
      </c>
      <c r="U177" s="602">
        <v>0</v>
      </c>
      <c r="V177" s="602">
        <v>0</v>
      </c>
      <c r="W177" s="602">
        <v>0</v>
      </c>
      <c r="X177" s="602">
        <v>0</v>
      </c>
      <c r="Y177" s="602">
        <v>0</v>
      </c>
      <c r="Z177" s="602">
        <v>0</v>
      </c>
      <c r="AA177" s="602">
        <v>0</v>
      </c>
      <c r="AB177" s="602">
        <v>0</v>
      </c>
      <c r="AC177" s="602">
        <v>0</v>
      </c>
      <c r="AD177" s="602">
        <v>0</v>
      </c>
      <c r="AE177" s="602">
        <v>0</v>
      </c>
      <c r="AF177" s="602">
        <v>0</v>
      </c>
      <c r="AG177" s="602">
        <v>0</v>
      </c>
      <c r="AH177" s="602">
        <v>0</v>
      </c>
      <c r="AI177" s="602">
        <v>0</v>
      </c>
      <c r="AJ177" s="498">
        <v>0</v>
      </c>
      <c r="AK177" s="498">
        <v>0</v>
      </c>
      <c r="AL177" s="602">
        <v>4.8755331749683304</v>
      </c>
      <c r="AM177" s="602">
        <v>1.1084697517993201</v>
      </c>
      <c r="AN177" s="498">
        <v>81015.229678000003</v>
      </c>
      <c r="AO177" s="603">
        <v>18419.099677999999</v>
      </c>
    </row>
    <row r="178" spans="1:41" s="431" customFormat="1" ht="12" thickBot="1">
      <c r="A178" s="918"/>
      <c r="B178" s="918"/>
      <c r="C178" s="918"/>
      <c r="D178" s="919"/>
      <c r="E178" s="600" t="s">
        <v>3565</v>
      </c>
      <c r="F178" s="600" t="s">
        <v>3565</v>
      </c>
      <c r="G178" s="600" t="s">
        <v>3565</v>
      </c>
      <c r="H178" s="601">
        <v>170420</v>
      </c>
      <c r="I178" s="602">
        <v>12088662.66</v>
      </c>
      <c r="J178" s="602">
        <v>5.1726782488030798</v>
      </c>
      <c r="K178" s="776">
        <v>11945016.25116</v>
      </c>
      <c r="L178" s="776">
        <v>309404.06</v>
      </c>
      <c r="M178" s="498">
        <v>5.2234032249877096</v>
      </c>
      <c r="N178" s="602">
        <v>5.7553239589396998</v>
      </c>
      <c r="O178" s="602">
        <v>0.53192073395208594</v>
      </c>
      <c r="P178" s="498">
        <v>340911.95391400001</v>
      </c>
      <c r="Q178" s="602">
        <v>31507.893914</v>
      </c>
      <c r="R178" s="602">
        <v>-0.61319881592830505</v>
      </c>
      <c r="S178" s="602">
        <v>-36322.335278999999</v>
      </c>
      <c r="T178" s="602">
        <v>0</v>
      </c>
      <c r="U178" s="602">
        <v>0</v>
      </c>
      <c r="V178" s="602">
        <v>0</v>
      </c>
      <c r="W178" s="602">
        <v>0</v>
      </c>
      <c r="X178" s="602">
        <v>0</v>
      </c>
      <c r="Y178" s="602">
        <v>0</v>
      </c>
      <c r="Z178" s="602">
        <v>0</v>
      </c>
      <c r="AA178" s="602">
        <v>0</v>
      </c>
      <c r="AB178" s="602">
        <v>0</v>
      </c>
      <c r="AC178" s="602">
        <v>0</v>
      </c>
      <c r="AD178" s="602">
        <v>0</v>
      </c>
      <c r="AE178" s="602">
        <v>0</v>
      </c>
      <c r="AF178" s="602">
        <v>0</v>
      </c>
      <c r="AG178" s="602">
        <v>0</v>
      </c>
      <c r="AH178" s="602">
        <v>0</v>
      </c>
      <c r="AI178" s="602">
        <v>0</v>
      </c>
      <c r="AJ178" s="498">
        <v>0</v>
      </c>
      <c r="AK178" s="498">
        <v>0</v>
      </c>
      <c r="AL178" s="602">
        <v>5.14212514405809</v>
      </c>
      <c r="AM178" s="602">
        <v>-8.1278080929526E-2</v>
      </c>
      <c r="AN178" s="498">
        <v>304589.61869700003</v>
      </c>
      <c r="AO178" s="603">
        <v>-4814.4413029999996</v>
      </c>
    </row>
    <row r="179" spans="1:41" s="502" customFormat="1" ht="12" thickBot="1">
      <c r="A179" s="918"/>
      <c r="B179" s="918"/>
      <c r="C179" s="918"/>
      <c r="D179" s="917" t="s">
        <v>359</v>
      </c>
      <c r="E179" s="600" t="s">
        <v>360</v>
      </c>
      <c r="F179" s="600" t="s">
        <v>360</v>
      </c>
      <c r="G179" s="600" t="s">
        <v>360</v>
      </c>
      <c r="H179" s="601">
        <v>170421</v>
      </c>
      <c r="I179" s="602">
        <v>515635.6</v>
      </c>
      <c r="J179" s="602">
        <v>0.88</v>
      </c>
      <c r="K179" s="776">
        <v>13096487.835515</v>
      </c>
      <c r="L179" s="776">
        <v>57940.1</v>
      </c>
      <c r="M179" s="498">
        <v>0.89215165635723703</v>
      </c>
      <c r="N179" s="602">
        <v>3.03319588926851</v>
      </c>
      <c r="O179" s="602">
        <v>2.1410442329119399</v>
      </c>
      <c r="P179" s="498">
        <v>196988.56342600001</v>
      </c>
      <c r="Q179" s="602">
        <v>139048.463426</v>
      </c>
      <c r="R179" s="602">
        <v>-0.20648901390393601</v>
      </c>
      <c r="S179" s="602">
        <v>-13410.269464000001</v>
      </c>
      <c r="T179" s="602">
        <v>0</v>
      </c>
      <c r="U179" s="602">
        <v>0</v>
      </c>
      <c r="V179" s="602">
        <v>0</v>
      </c>
      <c r="W179" s="602">
        <v>0</v>
      </c>
      <c r="X179" s="602">
        <v>0</v>
      </c>
      <c r="Y179" s="602">
        <v>0</v>
      </c>
      <c r="Z179" s="602">
        <v>0</v>
      </c>
      <c r="AA179" s="602">
        <v>0</v>
      </c>
      <c r="AB179" s="602">
        <v>0</v>
      </c>
      <c r="AC179" s="602">
        <v>0</v>
      </c>
      <c r="AD179" s="602">
        <v>0</v>
      </c>
      <c r="AE179" s="602">
        <v>0</v>
      </c>
      <c r="AF179" s="602">
        <v>0</v>
      </c>
      <c r="AG179" s="602">
        <v>0</v>
      </c>
      <c r="AH179" s="602">
        <v>0</v>
      </c>
      <c r="AI179" s="602">
        <v>0</v>
      </c>
      <c r="AJ179" s="498">
        <v>0</v>
      </c>
      <c r="AK179" s="498">
        <v>0</v>
      </c>
      <c r="AL179" s="602">
        <v>2.8267068716536898</v>
      </c>
      <c r="AM179" s="602">
        <v>1.9345552152971299</v>
      </c>
      <c r="AN179" s="498">
        <v>183578.29372099999</v>
      </c>
      <c r="AO179" s="603">
        <v>125638.193721</v>
      </c>
    </row>
    <row r="180" spans="1:41" s="502" customFormat="1" ht="12" thickBot="1">
      <c r="A180" s="918"/>
      <c r="B180" s="918"/>
      <c r="C180" s="918"/>
      <c r="D180" s="918"/>
      <c r="E180" s="600" t="s">
        <v>361</v>
      </c>
      <c r="F180" s="600" t="s">
        <v>361</v>
      </c>
      <c r="G180" s="600" t="s">
        <v>361</v>
      </c>
      <c r="H180" s="601">
        <v>170422</v>
      </c>
      <c r="I180" s="602">
        <v>1307043107.75</v>
      </c>
      <c r="J180" s="602">
        <v>1.4850000000000001</v>
      </c>
      <c r="K180" s="776">
        <v>1383861916.61287</v>
      </c>
      <c r="L180" s="776">
        <v>9886391.8999999892</v>
      </c>
      <c r="M180" s="498">
        <v>1.4406528866671899</v>
      </c>
      <c r="N180" s="602">
        <v>3.0313780604248199</v>
      </c>
      <c r="O180" s="602">
        <v>1.59072517375762</v>
      </c>
      <c r="P180" s="498">
        <v>20802645.647525001</v>
      </c>
      <c r="Q180" s="602">
        <v>10916253.747524999</v>
      </c>
      <c r="R180" s="602">
        <v>-0.206247932391424</v>
      </c>
      <c r="S180" s="602">
        <v>-1415363.7611509999</v>
      </c>
      <c r="T180" s="602">
        <v>0</v>
      </c>
      <c r="U180" s="602">
        <v>0</v>
      </c>
      <c r="V180" s="602">
        <v>0</v>
      </c>
      <c r="W180" s="602">
        <v>0</v>
      </c>
      <c r="X180" s="602">
        <v>0</v>
      </c>
      <c r="Y180" s="602">
        <v>0</v>
      </c>
      <c r="Z180" s="602">
        <v>0</v>
      </c>
      <c r="AA180" s="602">
        <v>0</v>
      </c>
      <c r="AB180" s="602">
        <v>0</v>
      </c>
      <c r="AC180" s="602">
        <v>0</v>
      </c>
      <c r="AD180" s="602">
        <v>0</v>
      </c>
      <c r="AE180" s="602">
        <v>0</v>
      </c>
      <c r="AF180" s="602">
        <v>0</v>
      </c>
      <c r="AG180" s="602">
        <v>0</v>
      </c>
      <c r="AH180" s="602">
        <v>0</v>
      </c>
      <c r="AI180" s="602">
        <v>0</v>
      </c>
      <c r="AJ180" s="498">
        <v>0</v>
      </c>
      <c r="AK180" s="498">
        <v>0</v>
      </c>
      <c r="AL180" s="602">
        <v>2.8251301281786798</v>
      </c>
      <c r="AM180" s="602">
        <v>1.3844772415114801</v>
      </c>
      <c r="AN180" s="498">
        <v>19387281.887371</v>
      </c>
      <c r="AO180" s="603">
        <v>9500889.9873710107</v>
      </c>
    </row>
    <row r="181" spans="1:41" s="502" customFormat="1" ht="12" thickBot="1">
      <c r="A181" s="918"/>
      <c r="B181" s="918"/>
      <c r="C181" s="918"/>
      <c r="D181" s="918"/>
      <c r="E181" s="917" t="s">
        <v>362</v>
      </c>
      <c r="F181" s="600" t="s">
        <v>363</v>
      </c>
      <c r="G181" s="600" t="s">
        <v>363</v>
      </c>
      <c r="H181" s="601">
        <v>170431</v>
      </c>
      <c r="I181" s="602">
        <v>9834793.5600000005</v>
      </c>
      <c r="J181" s="602">
        <v>1.45</v>
      </c>
      <c r="K181" s="776">
        <v>11049100.22044</v>
      </c>
      <c r="L181" s="776">
        <v>67986.34</v>
      </c>
      <c r="M181" s="498">
        <v>1.2408207245757501</v>
      </c>
      <c r="N181" s="602">
        <v>3.0403321331210398</v>
      </c>
      <c r="O181" s="602">
        <v>1.7995114085455099</v>
      </c>
      <c r="P181" s="498">
        <v>166584.140659</v>
      </c>
      <c r="Q181" s="602">
        <v>98597.800659</v>
      </c>
      <c r="R181" s="602">
        <v>-0.209604710306283</v>
      </c>
      <c r="S181" s="602">
        <v>-11484.541496</v>
      </c>
      <c r="T181" s="602">
        <v>0</v>
      </c>
      <c r="U181" s="602">
        <v>0</v>
      </c>
      <c r="V181" s="602">
        <v>0</v>
      </c>
      <c r="W181" s="602">
        <v>0</v>
      </c>
      <c r="X181" s="602">
        <v>0.16082710459980401</v>
      </c>
      <c r="Y181" s="602">
        <v>8811.9468010000001</v>
      </c>
      <c r="Z181" s="602">
        <v>0</v>
      </c>
      <c r="AA181" s="602">
        <v>0</v>
      </c>
      <c r="AB181" s="602">
        <v>0</v>
      </c>
      <c r="AC181" s="602">
        <v>0</v>
      </c>
      <c r="AD181" s="602">
        <v>0</v>
      </c>
      <c r="AE181" s="602">
        <v>0</v>
      </c>
      <c r="AF181" s="602">
        <v>0</v>
      </c>
      <c r="AG181" s="602">
        <v>0</v>
      </c>
      <c r="AH181" s="602">
        <v>0</v>
      </c>
      <c r="AI181" s="602">
        <v>0</v>
      </c>
      <c r="AJ181" s="498">
        <v>0</v>
      </c>
      <c r="AK181" s="498">
        <v>0</v>
      </c>
      <c r="AL181" s="602">
        <v>2.9915545296046799</v>
      </c>
      <c r="AM181" s="602">
        <v>1.7507338050291501</v>
      </c>
      <c r="AN181" s="498">
        <v>163911.546084</v>
      </c>
      <c r="AO181" s="603">
        <v>95925.206084000005</v>
      </c>
    </row>
    <row r="182" spans="1:41" s="502" customFormat="1" ht="12" thickBot="1">
      <c r="A182" s="918"/>
      <c r="B182" s="918"/>
      <c r="C182" s="918"/>
      <c r="D182" s="918"/>
      <c r="E182" s="918"/>
      <c r="F182" s="600" t="s">
        <v>364</v>
      </c>
      <c r="G182" s="600" t="s">
        <v>364</v>
      </c>
      <c r="H182" s="601">
        <v>170432</v>
      </c>
      <c r="I182" s="602">
        <v>2452276.25</v>
      </c>
      <c r="J182" s="602">
        <v>1.7</v>
      </c>
      <c r="K182" s="776">
        <v>2805780.6842519999</v>
      </c>
      <c r="L182" s="776">
        <v>20381.400000000001</v>
      </c>
      <c r="M182" s="498">
        <v>1.4648548081592401</v>
      </c>
      <c r="N182" s="602">
        <v>3.1173400964410698</v>
      </c>
      <c r="O182" s="602">
        <v>1.6524852882829499</v>
      </c>
      <c r="P182" s="498">
        <v>43373.414954</v>
      </c>
      <c r="Q182" s="602">
        <v>22992.014953999998</v>
      </c>
      <c r="R182" s="602">
        <v>-0.221341093251712</v>
      </c>
      <c r="S182" s="602">
        <v>-3079.6508520000002</v>
      </c>
      <c r="T182" s="602">
        <v>0</v>
      </c>
      <c r="U182" s="602">
        <v>0</v>
      </c>
      <c r="V182" s="602">
        <v>0</v>
      </c>
      <c r="W182" s="602">
        <v>0</v>
      </c>
      <c r="X182" s="602">
        <v>0.16691267275824601</v>
      </c>
      <c r="Y182" s="602">
        <v>2322.355724</v>
      </c>
      <c r="Z182" s="602">
        <v>0</v>
      </c>
      <c r="AA182" s="602">
        <v>0</v>
      </c>
      <c r="AB182" s="602">
        <v>0</v>
      </c>
      <c r="AC182" s="602">
        <v>0</v>
      </c>
      <c r="AD182" s="602">
        <v>0</v>
      </c>
      <c r="AE182" s="602">
        <v>0</v>
      </c>
      <c r="AF182" s="602">
        <v>0</v>
      </c>
      <c r="AG182" s="602">
        <v>0</v>
      </c>
      <c r="AH182" s="602">
        <v>0</v>
      </c>
      <c r="AI182" s="602">
        <v>0</v>
      </c>
      <c r="AJ182" s="498">
        <v>0</v>
      </c>
      <c r="AK182" s="498">
        <v>0</v>
      </c>
      <c r="AL182" s="602">
        <v>3.0629116960717999</v>
      </c>
      <c r="AM182" s="602">
        <v>1.59805688791369</v>
      </c>
      <c r="AN182" s="498">
        <v>42616.120106000002</v>
      </c>
      <c r="AO182" s="603">
        <v>22234.720106000001</v>
      </c>
    </row>
    <row r="183" spans="1:41" s="502" customFormat="1" ht="12" thickBot="1">
      <c r="A183" s="918"/>
      <c r="B183" s="918"/>
      <c r="C183" s="918"/>
      <c r="D183" s="918"/>
      <c r="E183" s="918"/>
      <c r="F183" s="600" t="s">
        <v>365</v>
      </c>
      <c r="G183" s="600" t="s">
        <v>365</v>
      </c>
      <c r="H183" s="601">
        <v>170434</v>
      </c>
      <c r="I183" s="602">
        <v>3708414.98</v>
      </c>
      <c r="J183" s="602">
        <v>1.95</v>
      </c>
      <c r="K183" s="776">
        <v>2387345.0739790001</v>
      </c>
      <c r="L183" s="776">
        <v>18710.07</v>
      </c>
      <c r="M183" s="498">
        <v>1.5804272314338399</v>
      </c>
      <c r="N183" s="602">
        <v>3.5073329762447401</v>
      </c>
      <c r="O183" s="602">
        <v>1.9269057448101701</v>
      </c>
      <c r="P183" s="498">
        <v>41521.965829000001</v>
      </c>
      <c r="Q183" s="602">
        <v>22811.895829000001</v>
      </c>
      <c r="R183" s="602">
        <v>-0.27870167370487497</v>
      </c>
      <c r="S183" s="602">
        <v>-3299.441898</v>
      </c>
      <c r="T183" s="602">
        <v>0</v>
      </c>
      <c r="U183" s="602">
        <v>0</v>
      </c>
      <c r="V183" s="602">
        <v>0</v>
      </c>
      <c r="W183" s="602">
        <v>0</v>
      </c>
      <c r="X183" s="602">
        <v>0.102276330591478</v>
      </c>
      <c r="Y183" s="602">
        <v>1210.8101320000001</v>
      </c>
      <c r="Z183" s="602">
        <v>0</v>
      </c>
      <c r="AA183" s="602">
        <v>0</v>
      </c>
      <c r="AB183" s="602">
        <v>0</v>
      </c>
      <c r="AC183" s="602">
        <v>0</v>
      </c>
      <c r="AD183" s="602">
        <v>0</v>
      </c>
      <c r="AE183" s="602">
        <v>0</v>
      </c>
      <c r="AF183" s="602">
        <v>0</v>
      </c>
      <c r="AG183" s="602">
        <v>0</v>
      </c>
      <c r="AH183" s="602">
        <v>0</v>
      </c>
      <c r="AI183" s="602">
        <v>0</v>
      </c>
      <c r="AJ183" s="498">
        <v>0</v>
      </c>
      <c r="AK183" s="498">
        <v>0</v>
      </c>
      <c r="AL183" s="602">
        <v>3.3309076317798301</v>
      </c>
      <c r="AM183" s="602">
        <v>1.7504804003452601</v>
      </c>
      <c r="AN183" s="498">
        <v>39433.334046999997</v>
      </c>
      <c r="AO183" s="603">
        <v>20723.264047000001</v>
      </c>
    </row>
    <row r="184" spans="1:41" s="502" customFormat="1" ht="12" thickBot="1">
      <c r="A184" s="918"/>
      <c r="B184" s="918"/>
      <c r="C184" s="918"/>
      <c r="D184" s="918"/>
      <c r="E184" s="918"/>
      <c r="F184" s="600" t="s">
        <v>366</v>
      </c>
      <c r="G184" s="600" t="s">
        <v>366</v>
      </c>
      <c r="H184" s="601">
        <v>170435</v>
      </c>
      <c r="I184" s="602">
        <v>200000</v>
      </c>
      <c r="J184" s="602">
        <v>2.5</v>
      </c>
      <c r="K184" s="776">
        <v>244088.39778999999</v>
      </c>
      <c r="L184" s="776">
        <v>2559.33</v>
      </c>
      <c r="M184" s="498">
        <v>2.1144306247175502</v>
      </c>
      <c r="N184" s="602">
        <v>4.4857438963671301</v>
      </c>
      <c r="O184" s="602">
        <v>2.3713132716500702</v>
      </c>
      <c r="P184" s="498">
        <v>5429.5935710000003</v>
      </c>
      <c r="Q184" s="602">
        <v>2870.263571</v>
      </c>
      <c r="R184" s="602">
        <v>-0.42574992089180602</v>
      </c>
      <c r="S184" s="602">
        <v>-515.33236999999997</v>
      </c>
      <c r="T184" s="602">
        <v>0</v>
      </c>
      <c r="U184" s="602">
        <v>0</v>
      </c>
      <c r="V184" s="602">
        <v>0</v>
      </c>
      <c r="W184" s="602">
        <v>0</v>
      </c>
      <c r="X184" s="602">
        <v>8.0731053598913999E-2</v>
      </c>
      <c r="Y184" s="602">
        <v>97.717752000000004</v>
      </c>
      <c r="Z184" s="602">
        <v>0</v>
      </c>
      <c r="AA184" s="602">
        <v>0</v>
      </c>
      <c r="AB184" s="602">
        <v>0</v>
      </c>
      <c r="AC184" s="602">
        <v>0</v>
      </c>
      <c r="AD184" s="602">
        <v>0</v>
      </c>
      <c r="AE184" s="602">
        <v>0</v>
      </c>
      <c r="AF184" s="602">
        <v>0</v>
      </c>
      <c r="AG184" s="602">
        <v>0</v>
      </c>
      <c r="AH184" s="602">
        <v>0</v>
      </c>
      <c r="AI184" s="602">
        <v>0</v>
      </c>
      <c r="AJ184" s="498">
        <v>0</v>
      </c>
      <c r="AK184" s="498">
        <v>0</v>
      </c>
      <c r="AL184" s="602">
        <v>4.1407250365097301</v>
      </c>
      <c r="AM184" s="602">
        <v>2.0262944117926698</v>
      </c>
      <c r="AN184" s="498">
        <v>5011.9789620000001</v>
      </c>
      <c r="AO184" s="603">
        <v>2452.6489620000002</v>
      </c>
    </row>
    <row r="185" spans="1:41" s="502" customFormat="1" ht="12" thickBot="1">
      <c r="A185" s="918"/>
      <c r="B185" s="918"/>
      <c r="C185" s="918"/>
      <c r="D185" s="919"/>
      <c r="E185" s="919"/>
      <c r="F185" s="600" t="s">
        <v>367</v>
      </c>
      <c r="G185" s="600" t="s">
        <v>367</v>
      </c>
      <c r="H185" s="601">
        <v>170436</v>
      </c>
      <c r="I185" s="602">
        <v>6538702.6500000004</v>
      </c>
      <c r="J185" s="602">
        <v>4.0631767411842796</v>
      </c>
      <c r="K185" s="776">
        <v>6548481.6555249998</v>
      </c>
      <c r="L185" s="776">
        <v>132605.35</v>
      </c>
      <c r="M185" s="498">
        <v>4.0835203150285597</v>
      </c>
      <c r="N185" s="602">
        <v>5.3870306696863102</v>
      </c>
      <c r="O185" s="602">
        <v>1.3035103546576701</v>
      </c>
      <c r="P185" s="498">
        <v>174934.62314499999</v>
      </c>
      <c r="Q185" s="602">
        <v>42329.273144999999</v>
      </c>
      <c r="R185" s="602">
        <v>-0.55849397377786403</v>
      </c>
      <c r="S185" s="602">
        <v>-18136.138222000001</v>
      </c>
      <c r="T185" s="602">
        <v>0</v>
      </c>
      <c r="U185" s="602">
        <v>0</v>
      </c>
      <c r="V185" s="602">
        <v>0</v>
      </c>
      <c r="W185" s="602">
        <v>0</v>
      </c>
      <c r="X185" s="602">
        <v>7.1802180000999998E-4</v>
      </c>
      <c r="Y185" s="602">
        <v>23.316531999999999</v>
      </c>
      <c r="Z185" s="602">
        <v>0</v>
      </c>
      <c r="AA185" s="602">
        <v>0</v>
      </c>
      <c r="AB185" s="602">
        <v>0</v>
      </c>
      <c r="AC185" s="602">
        <v>0</v>
      </c>
      <c r="AD185" s="602">
        <v>0</v>
      </c>
      <c r="AE185" s="602">
        <v>0</v>
      </c>
      <c r="AF185" s="602">
        <v>0</v>
      </c>
      <c r="AG185" s="602">
        <v>0</v>
      </c>
      <c r="AH185" s="602">
        <v>0</v>
      </c>
      <c r="AI185" s="602">
        <v>0</v>
      </c>
      <c r="AJ185" s="498">
        <v>0</v>
      </c>
      <c r="AK185" s="498">
        <v>0</v>
      </c>
      <c r="AL185" s="602">
        <v>4.8292547245140502</v>
      </c>
      <c r="AM185" s="602">
        <v>0.74573440948540504</v>
      </c>
      <c r="AN185" s="498">
        <v>156821.801676</v>
      </c>
      <c r="AO185" s="603">
        <v>24216.451676000001</v>
      </c>
    </row>
    <row r="186" spans="1:41" s="502" customFormat="1" ht="12" thickBot="1">
      <c r="A186" s="918"/>
      <c r="B186" s="918"/>
      <c r="C186" s="918"/>
      <c r="D186" s="917" t="s">
        <v>368</v>
      </c>
      <c r="E186" s="917" t="s">
        <v>368</v>
      </c>
      <c r="F186" s="917" t="s">
        <v>368</v>
      </c>
      <c r="G186" s="600" t="s">
        <v>368</v>
      </c>
      <c r="H186" s="601">
        <v>170438</v>
      </c>
      <c r="I186" s="602">
        <v>924439.03</v>
      </c>
      <c r="J186" s="602">
        <v>0</v>
      </c>
      <c r="K186" s="776">
        <v>917492.52171200002</v>
      </c>
      <c r="L186" s="776">
        <v>0</v>
      </c>
      <c r="M186" s="498">
        <v>0</v>
      </c>
      <c r="N186" s="602">
        <v>2.2284186360793798</v>
      </c>
      <c r="O186" s="602">
        <v>2.2284186360793798</v>
      </c>
      <c r="P186" s="498">
        <v>10138.764261</v>
      </c>
      <c r="Q186" s="602">
        <v>10138.764261</v>
      </c>
      <c r="R186" s="602">
        <v>0</v>
      </c>
      <c r="S186" s="602">
        <v>0</v>
      </c>
      <c r="T186" s="602">
        <v>0</v>
      </c>
      <c r="U186" s="602">
        <v>0</v>
      </c>
      <c r="V186" s="602">
        <v>0</v>
      </c>
      <c r="W186" s="602">
        <v>0</v>
      </c>
      <c r="X186" s="602">
        <v>0</v>
      </c>
      <c r="Y186" s="602">
        <v>0</v>
      </c>
      <c r="Z186" s="602">
        <v>0</v>
      </c>
      <c r="AA186" s="602">
        <v>0</v>
      </c>
      <c r="AB186" s="602">
        <v>0</v>
      </c>
      <c r="AC186" s="602">
        <v>0</v>
      </c>
      <c r="AD186" s="602">
        <v>0</v>
      </c>
      <c r="AE186" s="602">
        <v>0</v>
      </c>
      <c r="AF186" s="602">
        <v>0</v>
      </c>
      <c r="AG186" s="602">
        <v>0</v>
      </c>
      <c r="AH186" s="602">
        <v>0</v>
      </c>
      <c r="AI186" s="602">
        <v>0</v>
      </c>
      <c r="AJ186" s="498">
        <v>0</v>
      </c>
      <c r="AK186" s="498">
        <v>0</v>
      </c>
      <c r="AL186" s="602">
        <v>2.2284186360793798</v>
      </c>
      <c r="AM186" s="602">
        <v>2.2284186360793798</v>
      </c>
      <c r="AN186" s="498">
        <v>10138.764261</v>
      </c>
      <c r="AO186" s="603">
        <v>10138.764261</v>
      </c>
    </row>
    <row r="187" spans="1:41" s="502" customFormat="1" ht="12" thickBot="1">
      <c r="A187" s="918"/>
      <c r="B187" s="918"/>
      <c r="C187" s="919"/>
      <c r="D187" s="919"/>
      <c r="E187" s="919"/>
      <c r="F187" s="919"/>
      <c r="G187" s="600" t="s">
        <v>4184</v>
      </c>
      <c r="H187" s="601">
        <v>170440</v>
      </c>
      <c r="I187" s="602">
        <v>8810000</v>
      </c>
      <c r="J187" s="602">
        <v>3.0841089670828601</v>
      </c>
      <c r="K187" s="776">
        <v>815580.11049500003</v>
      </c>
      <c r="L187" s="776">
        <v>12452.47</v>
      </c>
      <c r="M187" s="498">
        <v>3.07895376643576</v>
      </c>
      <c r="N187" s="602">
        <v>4.5332333020728903</v>
      </c>
      <c r="O187" s="602">
        <v>1.45427953564558</v>
      </c>
      <c r="P187" s="498">
        <v>18334.134247999998</v>
      </c>
      <c r="Q187" s="602">
        <v>5881.664248</v>
      </c>
      <c r="R187" s="602">
        <v>-0.43383883285462699</v>
      </c>
      <c r="S187" s="602">
        <v>-1754.6106440000001</v>
      </c>
      <c r="T187" s="602">
        <v>0</v>
      </c>
      <c r="U187" s="602">
        <v>0</v>
      </c>
      <c r="V187" s="602">
        <v>0</v>
      </c>
      <c r="W187" s="602">
        <v>0</v>
      </c>
      <c r="X187" s="602">
        <v>0</v>
      </c>
      <c r="Y187" s="602">
        <v>0</v>
      </c>
      <c r="Z187" s="602">
        <v>0</v>
      </c>
      <c r="AA187" s="602">
        <v>0</v>
      </c>
      <c r="AB187" s="602">
        <v>0</v>
      </c>
      <c r="AC187" s="602">
        <v>0</v>
      </c>
      <c r="AD187" s="602">
        <v>0</v>
      </c>
      <c r="AE187" s="602">
        <v>0</v>
      </c>
      <c r="AF187" s="602">
        <v>0</v>
      </c>
      <c r="AG187" s="602">
        <v>0</v>
      </c>
      <c r="AH187" s="602">
        <v>0</v>
      </c>
      <c r="AI187" s="602">
        <v>0</v>
      </c>
      <c r="AJ187" s="498">
        <v>0</v>
      </c>
      <c r="AK187" s="498">
        <v>0</v>
      </c>
      <c r="AL187" s="602">
        <v>4.0993944857844502</v>
      </c>
      <c r="AM187" s="602">
        <v>1.0204407193571301</v>
      </c>
      <c r="AN187" s="498">
        <v>16579.523670999999</v>
      </c>
      <c r="AO187" s="603">
        <v>4127.0536709999997</v>
      </c>
    </row>
    <row r="188" spans="1:41" s="502" customFormat="1" ht="12" thickBot="1">
      <c r="A188" s="918"/>
      <c r="B188" s="918"/>
      <c r="C188" s="917" t="s">
        <v>369</v>
      </c>
      <c r="D188" s="917" t="s">
        <v>369</v>
      </c>
      <c r="E188" s="917" t="s">
        <v>369</v>
      </c>
      <c r="F188" s="600" t="s">
        <v>370</v>
      </c>
      <c r="G188" s="600" t="s">
        <v>370</v>
      </c>
      <c r="H188" s="601">
        <v>170441</v>
      </c>
      <c r="I188" s="602">
        <v>4186533.58</v>
      </c>
      <c r="J188" s="602">
        <v>0.35</v>
      </c>
      <c r="K188" s="776">
        <v>24655361.486522</v>
      </c>
      <c r="L188" s="776">
        <v>43386.51</v>
      </c>
      <c r="M188" s="498">
        <v>0.35486047719577102</v>
      </c>
      <c r="N188" s="602">
        <v>3.0837770849856398</v>
      </c>
      <c r="O188" s="602">
        <v>2.7289166077898299</v>
      </c>
      <c r="P188" s="498">
        <v>377033.60597600002</v>
      </c>
      <c r="Q188" s="602">
        <v>333647.09597600001</v>
      </c>
      <c r="R188" s="602">
        <v>-0.21310469484636799</v>
      </c>
      <c r="S188" s="602">
        <v>-26054.941500000001</v>
      </c>
      <c r="T188" s="602">
        <v>0</v>
      </c>
      <c r="U188" s="602">
        <v>0</v>
      </c>
      <c r="V188" s="602">
        <v>0</v>
      </c>
      <c r="W188" s="602">
        <v>0</v>
      </c>
      <c r="X188" s="602">
        <v>0</v>
      </c>
      <c r="Y188" s="602">
        <v>0</v>
      </c>
      <c r="Z188" s="602">
        <v>0</v>
      </c>
      <c r="AA188" s="602">
        <v>0</v>
      </c>
      <c r="AB188" s="602">
        <v>0</v>
      </c>
      <c r="AC188" s="602">
        <v>0</v>
      </c>
      <c r="AD188" s="602">
        <v>0</v>
      </c>
      <c r="AE188" s="602">
        <v>0</v>
      </c>
      <c r="AF188" s="602">
        <v>0</v>
      </c>
      <c r="AG188" s="602">
        <v>0</v>
      </c>
      <c r="AH188" s="602">
        <v>0</v>
      </c>
      <c r="AI188" s="602">
        <v>0</v>
      </c>
      <c r="AJ188" s="498">
        <v>0</v>
      </c>
      <c r="AK188" s="498">
        <v>0</v>
      </c>
      <c r="AL188" s="602">
        <v>2.8706723874647202</v>
      </c>
      <c r="AM188" s="602">
        <v>2.5158119102689098</v>
      </c>
      <c r="AN188" s="498">
        <v>350978.66414900002</v>
      </c>
      <c r="AO188" s="603">
        <v>307592.15414900001</v>
      </c>
    </row>
    <row r="189" spans="1:41" s="502" customFormat="1" ht="12" thickBot="1">
      <c r="A189" s="918"/>
      <c r="B189" s="918"/>
      <c r="C189" s="918"/>
      <c r="D189" s="918"/>
      <c r="E189" s="918"/>
      <c r="F189" s="600" t="s">
        <v>371</v>
      </c>
      <c r="G189" s="600" t="s">
        <v>371</v>
      </c>
      <c r="H189" s="601">
        <v>170442</v>
      </c>
      <c r="I189" s="602">
        <v>1733.87</v>
      </c>
      <c r="J189" s="602">
        <v>0.35</v>
      </c>
      <c r="K189" s="776">
        <v>1735.885857</v>
      </c>
      <c r="L189" s="776">
        <v>3.05</v>
      </c>
      <c r="M189" s="498">
        <v>0.35431779465139401</v>
      </c>
      <c r="N189" s="602">
        <v>3.15787244807641</v>
      </c>
      <c r="O189" s="602">
        <v>2.8035546532930802</v>
      </c>
      <c r="P189" s="498">
        <v>27.183254999999999</v>
      </c>
      <c r="Q189" s="602">
        <v>24.133254999999998</v>
      </c>
      <c r="R189" s="602">
        <v>-0.22516071053122599</v>
      </c>
      <c r="S189" s="602">
        <v>-1.938204</v>
      </c>
      <c r="T189" s="602">
        <v>0</v>
      </c>
      <c r="U189" s="602">
        <v>0</v>
      </c>
      <c r="V189" s="602">
        <v>0</v>
      </c>
      <c r="W189" s="602">
        <v>0</v>
      </c>
      <c r="X189" s="602">
        <v>0</v>
      </c>
      <c r="Y189" s="602">
        <v>0</v>
      </c>
      <c r="Z189" s="602">
        <v>0</v>
      </c>
      <c r="AA189" s="602">
        <v>0</v>
      </c>
      <c r="AB189" s="602">
        <v>0</v>
      </c>
      <c r="AC189" s="602">
        <v>0</v>
      </c>
      <c r="AD189" s="602">
        <v>0</v>
      </c>
      <c r="AE189" s="602">
        <v>0</v>
      </c>
      <c r="AF189" s="602">
        <v>0</v>
      </c>
      <c r="AG189" s="602">
        <v>0</v>
      </c>
      <c r="AH189" s="602">
        <v>0</v>
      </c>
      <c r="AI189" s="602">
        <v>0</v>
      </c>
      <c r="AJ189" s="498">
        <v>0</v>
      </c>
      <c r="AK189" s="498">
        <v>0</v>
      </c>
      <c r="AL189" s="602">
        <v>2.9326990750403898</v>
      </c>
      <c r="AM189" s="602">
        <v>2.5783812802570498</v>
      </c>
      <c r="AN189" s="498">
        <v>25.244942000000002</v>
      </c>
      <c r="AO189" s="603">
        <v>22.194942000000001</v>
      </c>
    </row>
    <row r="190" spans="1:41" s="502" customFormat="1" ht="12" thickBot="1">
      <c r="A190" s="918"/>
      <c r="B190" s="918"/>
      <c r="C190" s="919"/>
      <c r="D190" s="919"/>
      <c r="E190" s="919"/>
      <c r="F190" s="600" t="s">
        <v>372</v>
      </c>
      <c r="G190" s="600" t="s">
        <v>372</v>
      </c>
      <c r="H190" s="601">
        <v>170443</v>
      </c>
      <c r="I190" s="602">
        <v>3314382.66</v>
      </c>
      <c r="J190" s="602">
        <v>0.35</v>
      </c>
      <c r="K190" s="776">
        <v>5994603.9296700004</v>
      </c>
      <c r="L190" s="776">
        <v>10548.8</v>
      </c>
      <c r="M190" s="498">
        <v>0.35485984125929199</v>
      </c>
      <c r="N190" s="602">
        <v>3.0911679308320301</v>
      </c>
      <c r="O190" s="602">
        <v>2.7363080895726402</v>
      </c>
      <c r="P190" s="498">
        <v>91890.116821999996</v>
      </c>
      <c r="Q190" s="602">
        <v>81341.316821999993</v>
      </c>
      <c r="R190" s="602">
        <v>-0.212742763644236</v>
      </c>
      <c r="S190" s="602">
        <v>-6324.133092</v>
      </c>
      <c r="T190" s="602">
        <v>0</v>
      </c>
      <c r="U190" s="602">
        <v>0</v>
      </c>
      <c r="V190" s="602">
        <v>0</v>
      </c>
      <c r="W190" s="602">
        <v>0</v>
      </c>
      <c r="X190" s="602">
        <v>0</v>
      </c>
      <c r="Y190" s="602">
        <v>0</v>
      </c>
      <c r="Z190" s="602">
        <v>0</v>
      </c>
      <c r="AA190" s="602">
        <v>0</v>
      </c>
      <c r="AB190" s="602">
        <v>0</v>
      </c>
      <c r="AC190" s="602">
        <v>0</v>
      </c>
      <c r="AD190" s="602">
        <v>0</v>
      </c>
      <c r="AE190" s="602">
        <v>0</v>
      </c>
      <c r="AF190" s="602">
        <v>0</v>
      </c>
      <c r="AG190" s="602">
        <v>0</v>
      </c>
      <c r="AH190" s="602">
        <v>0</v>
      </c>
      <c r="AI190" s="602">
        <v>0</v>
      </c>
      <c r="AJ190" s="498">
        <v>0</v>
      </c>
      <c r="AK190" s="498">
        <v>0</v>
      </c>
      <c r="AL190" s="602">
        <v>2.8784251614690199</v>
      </c>
      <c r="AM190" s="602">
        <v>2.5235653202096402</v>
      </c>
      <c r="AN190" s="498">
        <v>85565.983559999993</v>
      </c>
      <c r="AO190" s="603">
        <v>75017.183560000005</v>
      </c>
    </row>
    <row r="191" spans="1:41" s="528" customFormat="1" ht="12" thickBot="1">
      <c r="A191" s="919"/>
      <c r="B191" s="919"/>
      <c r="C191" s="600" t="s">
        <v>373</v>
      </c>
      <c r="D191" s="600" t="s">
        <v>373</v>
      </c>
      <c r="E191" s="600" t="s">
        <v>373</v>
      </c>
      <c r="F191" s="600" t="s">
        <v>373</v>
      </c>
      <c r="G191" s="600" t="s">
        <v>373</v>
      </c>
      <c r="H191" s="601">
        <v>170451</v>
      </c>
      <c r="I191" s="602">
        <v>161799421.56</v>
      </c>
      <c r="J191" s="602">
        <v>1.7620324466381201</v>
      </c>
      <c r="K191" s="776">
        <v>194759624.276081</v>
      </c>
      <c r="L191" s="776">
        <v>1660265.92</v>
      </c>
      <c r="M191" s="498">
        <v>1.71906783662844</v>
      </c>
      <c r="N191" s="602">
        <v>3.2801553310674301</v>
      </c>
      <c r="O191" s="602">
        <v>1.5610874944389499</v>
      </c>
      <c r="P191" s="498">
        <v>3167955.3258110001</v>
      </c>
      <c r="Q191" s="602">
        <v>1507689.4058109999</v>
      </c>
      <c r="R191" s="602">
        <v>-0.24470035965341699</v>
      </c>
      <c r="S191" s="602">
        <v>-236330.212856</v>
      </c>
      <c r="T191" s="602">
        <v>0</v>
      </c>
      <c r="U191" s="602">
        <v>0</v>
      </c>
      <c r="V191" s="602">
        <v>0</v>
      </c>
      <c r="W191" s="602">
        <v>0</v>
      </c>
      <c r="X191" s="602">
        <v>0</v>
      </c>
      <c r="Y191" s="602">
        <v>0</v>
      </c>
      <c r="Z191" s="602">
        <v>0</v>
      </c>
      <c r="AA191" s="602">
        <v>0</v>
      </c>
      <c r="AB191" s="602">
        <v>0</v>
      </c>
      <c r="AC191" s="602">
        <v>0</v>
      </c>
      <c r="AD191" s="602">
        <v>0</v>
      </c>
      <c r="AE191" s="602">
        <v>0</v>
      </c>
      <c r="AF191" s="602">
        <v>0</v>
      </c>
      <c r="AG191" s="602">
        <v>0</v>
      </c>
      <c r="AH191" s="602">
        <v>0</v>
      </c>
      <c r="AI191" s="602">
        <v>0</v>
      </c>
      <c r="AJ191" s="498">
        <v>0</v>
      </c>
      <c r="AK191" s="498">
        <v>0</v>
      </c>
      <c r="AL191" s="602">
        <v>3.0354549702957598</v>
      </c>
      <c r="AM191" s="602">
        <v>1.3163871336672901</v>
      </c>
      <c r="AN191" s="498">
        <v>2931625.1118749999</v>
      </c>
      <c r="AO191" s="603">
        <v>1271359.191875</v>
      </c>
    </row>
    <row r="192" spans="1:41" s="502" customFormat="1" ht="12" thickBot="1">
      <c r="A192" s="917" t="s">
        <v>374</v>
      </c>
      <c r="B192" s="917" t="s">
        <v>375</v>
      </c>
      <c r="C192" s="920" t="s">
        <v>376</v>
      </c>
      <c r="D192" s="920" t="s">
        <v>377</v>
      </c>
      <c r="E192" s="608" t="s">
        <v>378</v>
      </c>
      <c r="F192" s="608" t="s">
        <v>378</v>
      </c>
      <c r="G192" s="608" t="s">
        <v>378</v>
      </c>
      <c r="H192" s="609">
        <v>270001</v>
      </c>
      <c r="I192" s="610">
        <v>2331102170.3899999</v>
      </c>
      <c r="J192" s="610">
        <v>5.5519289293480902</v>
      </c>
      <c r="K192" s="778">
        <v>2162087032.3150802</v>
      </c>
      <c r="L192" s="778">
        <v>58461565.462325998</v>
      </c>
      <c r="M192" s="501">
        <v>5.4526994235541997</v>
      </c>
      <c r="N192" s="610">
        <v>3.45687877076743</v>
      </c>
      <c r="O192" s="610">
        <v>1.9958206527867699</v>
      </c>
      <c r="P192" s="501">
        <v>37063210.137634002</v>
      </c>
      <c r="Q192" s="610">
        <v>21398355.324692</v>
      </c>
      <c r="R192" s="610">
        <v>0</v>
      </c>
      <c r="S192" s="610">
        <v>0</v>
      </c>
      <c r="T192" s="610">
        <v>0.298165503364064</v>
      </c>
      <c r="U192" s="610">
        <v>3196805.974345</v>
      </c>
      <c r="V192" s="610">
        <v>0</v>
      </c>
      <c r="W192" s="610">
        <v>0</v>
      </c>
      <c r="X192" s="610">
        <v>-5.0734466811800001E-2</v>
      </c>
      <c r="Y192" s="610">
        <v>-543953.75983899995</v>
      </c>
      <c r="Z192" s="610">
        <v>0</v>
      </c>
      <c r="AA192" s="610">
        <v>0</v>
      </c>
      <c r="AB192" s="610">
        <v>0</v>
      </c>
      <c r="AC192" s="610">
        <v>0</v>
      </c>
      <c r="AD192" s="610">
        <v>-3.4520528258339999E-3</v>
      </c>
      <c r="AE192" s="610">
        <v>-37011.468372000003</v>
      </c>
      <c r="AF192" s="610">
        <v>0</v>
      </c>
      <c r="AG192" s="610">
        <v>0</v>
      </c>
      <c r="AH192" s="610">
        <v>0</v>
      </c>
      <c r="AI192" s="610">
        <v>0</v>
      </c>
      <c r="AJ192" s="501">
        <v>-6.6582973795610003E-3</v>
      </c>
      <c r="AK192" s="501">
        <v>-71387.483131999994</v>
      </c>
      <c r="AL192" s="610">
        <v>3.6929923322496698</v>
      </c>
      <c r="AM192" s="610">
        <v>1.7597070913045201</v>
      </c>
      <c r="AN192" s="501">
        <v>39594721.112089999</v>
      </c>
      <c r="AO192" s="611">
        <v>18866844.350235999</v>
      </c>
    </row>
    <row r="193" spans="1:41" s="502" customFormat="1" ht="12" thickBot="1">
      <c r="A193" s="918"/>
      <c r="B193" s="918"/>
      <c r="C193" s="921"/>
      <c r="D193" s="921"/>
      <c r="E193" s="608" t="s">
        <v>379</v>
      </c>
      <c r="F193" s="608" t="s">
        <v>379</v>
      </c>
      <c r="G193" s="608" t="s">
        <v>379</v>
      </c>
      <c r="H193" s="609">
        <v>270002</v>
      </c>
      <c r="I193" s="610">
        <v>53618771.530000001</v>
      </c>
      <c r="J193" s="610">
        <v>5.6892837152897799</v>
      </c>
      <c r="K193" s="778">
        <v>13079082.959999001</v>
      </c>
      <c r="L193" s="778">
        <v>357485.28300599998</v>
      </c>
      <c r="M193" s="501">
        <v>5.5118217282767299</v>
      </c>
      <c r="N193" s="610">
        <v>3.81571034126056</v>
      </c>
      <c r="O193" s="610">
        <v>1.69611138701574</v>
      </c>
      <c r="P193" s="501">
        <v>247479.02934099999</v>
      </c>
      <c r="Q193" s="610">
        <v>110006.253665</v>
      </c>
      <c r="R193" s="610">
        <v>0</v>
      </c>
      <c r="S193" s="610">
        <v>0</v>
      </c>
      <c r="T193" s="610">
        <v>0.20968505550356401</v>
      </c>
      <c r="U193" s="610">
        <v>13599.736186</v>
      </c>
      <c r="V193" s="610">
        <v>0</v>
      </c>
      <c r="W193" s="610">
        <v>0</v>
      </c>
      <c r="X193" s="610">
        <v>-0.14143272715069499</v>
      </c>
      <c r="Y193" s="610">
        <v>-9173.0322539999997</v>
      </c>
      <c r="Z193" s="610">
        <v>0</v>
      </c>
      <c r="AA193" s="610">
        <v>0</v>
      </c>
      <c r="AB193" s="610">
        <v>0</v>
      </c>
      <c r="AC193" s="610">
        <v>0</v>
      </c>
      <c r="AD193" s="610">
        <v>0</v>
      </c>
      <c r="AE193" s="610">
        <v>0</v>
      </c>
      <c r="AF193" s="610">
        <v>0</v>
      </c>
      <c r="AG193" s="610">
        <v>0</v>
      </c>
      <c r="AH193" s="610">
        <v>0</v>
      </c>
      <c r="AI193" s="610">
        <v>0</v>
      </c>
      <c r="AJ193" s="501">
        <v>-5.5953572724476999E-2</v>
      </c>
      <c r="AK193" s="501">
        <v>-3629.0322449999999</v>
      </c>
      <c r="AL193" s="610">
        <v>3.82800909633389</v>
      </c>
      <c r="AM193" s="610">
        <v>1.68381263194241</v>
      </c>
      <c r="AN193" s="501">
        <v>248276.700992</v>
      </c>
      <c r="AO193" s="611">
        <v>109208.582014</v>
      </c>
    </row>
    <row r="194" spans="1:41" s="502" customFormat="1" ht="12" thickBot="1">
      <c r="A194" s="918"/>
      <c r="B194" s="918"/>
      <c r="C194" s="921"/>
      <c r="D194" s="921"/>
      <c r="E194" s="608" t="s">
        <v>380</v>
      </c>
      <c r="F194" s="608" t="s">
        <v>380</v>
      </c>
      <c r="G194" s="608" t="s">
        <v>380</v>
      </c>
      <c r="H194" s="609">
        <v>270003</v>
      </c>
      <c r="I194" s="610">
        <v>210000000</v>
      </c>
      <c r="J194" s="610">
        <v>5.6477571428571398</v>
      </c>
      <c r="K194" s="778">
        <v>201464088.39779001</v>
      </c>
      <c r="L194" s="778">
        <v>5357733.34901</v>
      </c>
      <c r="M194" s="501">
        <v>5.3628758326851802</v>
      </c>
      <c r="N194" s="610">
        <v>3.4618075555976699</v>
      </c>
      <c r="O194" s="610">
        <v>1.90106827708751</v>
      </c>
      <c r="P194" s="501">
        <v>3458488.0141059998</v>
      </c>
      <c r="Q194" s="610">
        <v>1899245.3349039999</v>
      </c>
      <c r="R194" s="610">
        <v>0</v>
      </c>
      <c r="S194" s="610">
        <v>0</v>
      </c>
      <c r="T194" s="610">
        <v>0.27597018451505601</v>
      </c>
      <c r="U194" s="610">
        <v>275705.55557099998</v>
      </c>
      <c r="V194" s="610">
        <v>0</v>
      </c>
      <c r="W194" s="610">
        <v>0</v>
      </c>
      <c r="X194" s="610">
        <v>-1.1538842515508E-2</v>
      </c>
      <c r="Y194" s="610">
        <v>-11527.777872000001</v>
      </c>
      <c r="Z194" s="610">
        <v>0</v>
      </c>
      <c r="AA194" s="610">
        <v>0</v>
      </c>
      <c r="AB194" s="610">
        <v>0</v>
      </c>
      <c r="AC194" s="610">
        <v>0</v>
      </c>
      <c r="AD194" s="610">
        <v>0</v>
      </c>
      <c r="AE194" s="610">
        <v>0</v>
      </c>
      <c r="AF194" s="610">
        <v>0</v>
      </c>
      <c r="AG194" s="610">
        <v>0</v>
      </c>
      <c r="AH194" s="610">
        <v>0</v>
      </c>
      <c r="AI194" s="610">
        <v>0</v>
      </c>
      <c r="AJ194" s="501">
        <v>0</v>
      </c>
      <c r="AK194" s="501">
        <v>0</v>
      </c>
      <c r="AL194" s="610">
        <v>3.7262388975952199</v>
      </c>
      <c r="AM194" s="610">
        <v>1.6366369350899601</v>
      </c>
      <c r="AN194" s="501">
        <v>3722665.791803</v>
      </c>
      <c r="AO194" s="611">
        <v>1635067.557207</v>
      </c>
    </row>
    <row r="195" spans="1:41" s="502" customFormat="1" ht="12" thickBot="1">
      <c r="A195" s="918"/>
      <c r="B195" s="918"/>
      <c r="C195" s="921"/>
      <c r="D195" s="921"/>
      <c r="E195" s="608" t="s">
        <v>381</v>
      </c>
      <c r="F195" s="608" t="s">
        <v>381</v>
      </c>
      <c r="G195" s="608" t="s">
        <v>381</v>
      </c>
      <c r="H195" s="609">
        <v>270004</v>
      </c>
      <c r="I195" s="610">
        <v>17924851319.09</v>
      </c>
      <c r="J195" s="610">
        <v>5.8250535543257902</v>
      </c>
      <c r="K195" s="778">
        <v>16818232306.9093</v>
      </c>
      <c r="L195" s="778">
        <v>457716664.37910801</v>
      </c>
      <c r="M195" s="501">
        <v>5.4882093192963097</v>
      </c>
      <c r="N195" s="610">
        <v>3.4983415055756799</v>
      </c>
      <c r="O195" s="610">
        <v>1.98986781372063</v>
      </c>
      <c r="P195" s="501">
        <v>291761686.12249601</v>
      </c>
      <c r="Q195" s="610">
        <v>165954978.256612</v>
      </c>
      <c r="R195" s="610">
        <v>0</v>
      </c>
      <c r="S195" s="610">
        <v>0</v>
      </c>
      <c r="T195" s="610">
        <v>0.38153351794845403</v>
      </c>
      <c r="U195" s="610">
        <v>31819895.893945999</v>
      </c>
      <c r="V195" s="610">
        <v>0</v>
      </c>
      <c r="W195" s="610">
        <v>0</v>
      </c>
      <c r="X195" s="610">
        <v>-4.7689094816651997E-2</v>
      </c>
      <c r="Y195" s="610">
        <v>-3977270.569836</v>
      </c>
      <c r="Z195" s="610">
        <v>0</v>
      </c>
      <c r="AA195" s="610">
        <v>0</v>
      </c>
      <c r="AB195" s="610">
        <v>0</v>
      </c>
      <c r="AC195" s="610">
        <v>0</v>
      </c>
      <c r="AD195" s="610">
        <v>-2.026917311948E-3</v>
      </c>
      <c r="AE195" s="610">
        <v>-169044.906457</v>
      </c>
      <c r="AF195" s="610">
        <v>0</v>
      </c>
      <c r="AG195" s="610">
        <v>0</v>
      </c>
      <c r="AH195" s="610">
        <v>0</v>
      </c>
      <c r="AI195" s="610">
        <v>0</v>
      </c>
      <c r="AJ195" s="501">
        <v>-4.4400695323700001E-3</v>
      </c>
      <c r="AK195" s="501">
        <v>-370301.80478399998</v>
      </c>
      <c r="AL195" s="610">
        <v>3.8255747392783301</v>
      </c>
      <c r="AM195" s="610">
        <v>1.66263458001798</v>
      </c>
      <c r="AN195" s="501">
        <v>319052938.23960203</v>
      </c>
      <c r="AO195" s="611">
        <v>138663726.13950601</v>
      </c>
    </row>
    <row r="196" spans="1:41" s="502" customFormat="1" ht="12" thickBot="1">
      <c r="A196" s="918"/>
      <c r="B196" s="918"/>
      <c r="C196" s="921"/>
      <c r="D196" s="921"/>
      <c r="E196" s="608" t="s">
        <v>382</v>
      </c>
      <c r="F196" s="608" t="s">
        <v>382</v>
      </c>
      <c r="G196" s="608" t="s">
        <v>382</v>
      </c>
      <c r="H196" s="609">
        <v>270005</v>
      </c>
      <c r="I196" s="610">
        <v>21601125684.27</v>
      </c>
      <c r="J196" s="610">
        <v>6.16682972711597</v>
      </c>
      <c r="K196" s="778">
        <v>19142029565.933701</v>
      </c>
      <c r="L196" s="778">
        <v>562680009.319309</v>
      </c>
      <c r="M196" s="501">
        <v>5.9277215236243297</v>
      </c>
      <c r="N196" s="610">
        <v>3.4980040521741098</v>
      </c>
      <c r="O196" s="610">
        <v>2.4297174714502199</v>
      </c>
      <c r="P196" s="501">
        <v>332042749.449687</v>
      </c>
      <c r="Q196" s="610">
        <v>230637259.86962199</v>
      </c>
      <c r="R196" s="610">
        <v>0</v>
      </c>
      <c r="S196" s="610">
        <v>0</v>
      </c>
      <c r="T196" s="610">
        <v>0.333150383860639</v>
      </c>
      <c r="U196" s="610">
        <v>31623796.824521001</v>
      </c>
      <c r="V196" s="610">
        <v>0</v>
      </c>
      <c r="W196" s="610">
        <v>0</v>
      </c>
      <c r="X196" s="610">
        <v>-4.5499826868442998E-2</v>
      </c>
      <c r="Y196" s="610">
        <v>-4319002.3189059999</v>
      </c>
      <c r="Z196" s="610">
        <v>0</v>
      </c>
      <c r="AA196" s="610">
        <v>0</v>
      </c>
      <c r="AB196" s="610">
        <v>0</v>
      </c>
      <c r="AC196" s="610">
        <v>0</v>
      </c>
      <c r="AD196" s="610">
        <v>-1.1398825831339999E-3</v>
      </c>
      <c r="AE196" s="610">
        <v>-108201.631933</v>
      </c>
      <c r="AF196" s="610">
        <v>0</v>
      </c>
      <c r="AG196" s="610">
        <v>0</v>
      </c>
      <c r="AH196" s="610">
        <v>0</v>
      </c>
      <c r="AI196" s="610">
        <v>0</v>
      </c>
      <c r="AJ196" s="501">
        <v>-6.5730399301970003E-3</v>
      </c>
      <c r="AK196" s="501">
        <v>-623935.88403900003</v>
      </c>
      <c r="AL196" s="610">
        <v>3.7764327374812701</v>
      </c>
      <c r="AM196" s="610">
        <v>2.1512887861430698</v>
      </c>
      <c r="AN196" s="501">
        <v>358472171.71910602</v>
      </c>
      <c r="AO196" s="611">
        <v>204207837.60020301</v>
      </c>
    </row>
    <row r="197" spans="1:41" s="502" customFormat="1" ht="12" thickBot="1">
      <c r="A197" s="918"/>
      <c r="B197" s="918"/>
      <c r="C197" s="921"/>
      <c r="D197" s="922"/>
      <c r="E197" s="608" t="s">
        <v>383</v>
      </c>
      <c r="F197" s="608" t="s">
        <v>383</v>
      </c>
      <c r="G197" s="608" t="s">
        <v>383</v>
      </c>
      <c r="H197" s="609">
        <v>270007</v>
      </c>
      <c r="I197" s="610">
        <v>17007378562.42</v>
      </c>
      <c r="J197" s="610">
        <v>7.5508568219273302</v>
      </c>
      <c r="K197" s="778">
        <v>14430563159.7579</v>
      </c>
      <c r="L197" s="778">
        <v>525186990.801588</v>
      </c>
      <c r="M197" s="501">
        <v>7.3391365716773702</v>
      </c>
      <c r="N197" s="610">
        <v>3.6095904400082799</v>
      </c>
      <c r="O197" s="610">
        <v>3.7295461316690899</v>
      </c>
      <c r="P197" s="501">
        <v>258301494.01087701</v>
      </c>
      <c r="Q197" s="610">
        <v>266885496.79071099</v>
      </c>
      <c r="R197" s="610">
        <v>0</v>
      </c>
      <c r="S197" s="610">
        <v>0</v>
      </c>
      <c r="T197" s="610">
        <v>0.106359573287575</v>
      </c>
      <c r="U197" s="610">
        <v>7611067.5543780001</v>
      </c>
      <c r="V197" s="610">
        <v>0</v>
      </c>
      <c r="W197" s="610">
        <v>0</v>
      </c>
      <c r="X197" s="610">
        <v>-4.3293875421382001E-2</v>
      </c>
      <c r="Y197" s="610">
        <v>-3098100.1553290002</v>
      </c>
      <c r="Z197" s="610">
        <v>0</v>
      </c>
      <c r="AA197" s="610">
        <v>0</v>
      </c>
      <c r="AB197" s="610">
        <v>0</v>
      </c>
      <c r="AC197" s="610">
        <v>0</v>
      </c>
      <c r="AD197" s="610">
        <v>0</v>
      </c>
      <c r="AE197" s="610">
        <v>0</v>
      </c>
      <c r="AF197" s="610">
        <v>0</v>
      </c>
      <c r="AG197" s="610">
        <v>0</v>
      </c>
      <c r="AH197" s="610">
        <v>0</v>
      </c>
      <c r="AI197" s="610">
        <v>0</v>
      </c>
      <c r="AJ197" s="501">
        <v>-3.76935541146E-3</v>
      </c>
      <c r="AK197" s="501">
        <v>-269734.24005299999</v>
      </c>
      <c r="AL197" s="610">
        <v>3.6688867824643698</v>
      </c>
      <c r="AM197" s="610">
        <v>3.6702497892129999</v>
      </c>
      <c r="AN197" s="501">
        <v>262544727.16997001</v>
      </c>
      <c r="AO197" s="611">
        <v>262642263.63161799</v>
      </c>
    </row>
    <row r="198" spans="1:41" s="502" customFormat="1" ht="12" thickBot="1">
      <c r="A198" s="918"/>
      <c r="B198" s="918"/>
      <c r="C198" s="921"/>
      <c r="D198" s="608" t="s">
        <v>384</v>
      </c>
      <c r="E198" s="608" t="s">
        <v>384</v>
      </c>
      <c r="F198" s="608" t="s">
        <v>384</v>
      </c>
      <c r="G198" s="608" t="s">
        <v>384</v>
      </c>
      <c r="H198" s="609">
        <v>270021</v>
      </c>
      <c r="I198" s="610">
        <v>7143191378.1800003</v>
      </c>
      <c r="J198" s="610">
        <v>4.7019879458409903</v>
      </c>
      <c r="K198" s="778">
        <v>7093001740.6946402</v>
      </c>
      <c r="L198" s="778">
        <v>157187663.67865801</v>
      </c>
      <c r="M198" s="501">
        <v>4.4689210483506399</v>
      </c>
      <c r="N198" s="610">
        <v>3.4946637427949399</v>
      </c>
      <c r="O198" s="610">
        <v>0.97425730555569701</v>
      </c>
      <c r="P198" s="501">
        <v>122919609.25897101</v>
      </c>
      <c r="Q198" s="610">
        <v>34268054.419687003</v>
      </c>
      <c r="R198" s="610">
        <v>0</v>
      </c>
      <c r="S198" s="610">
        <v>0</v>
      </c>
      <c r="T198" s="610">
        <v>0.39137984474384602</v>
      </c>
      <c r="U198" s="610">
        <v>13766205.028147999</v>
      </c>
      <c r="V198" s="610">
        <v>0</v>
      </c>
      <c r="W198" s="610">
        <v>0</v>
      </c>
      <c r="X198" s="610">
        <v>-3.0682239381649998E-3</v>
      </c>
      <c r="Y198" s="610">
        <v>-107920.22218899999</v>
      </c>
      <c r="Z198" s="610">
        <v>0</v>
      </c>
      <c r="AA198" s="610">
        <v>0</v>
      </c>
      <c r="AB198" s="610">
        <v>0</v>
      </c>
      <c r="AC198" s="610">
        <v>0</v>
      </c>
      <c r="AD198" s="610">
        <v>0</v>
      </c>
      <c r="AE198" s="610">
        <v>0</v>
      </c>
      <c r="AF198" s="610">
        <v>0</v>
      </c>
      <c r="AG198" s="610">
        <v>0</v>
      </c>
      <c r="AH198" s="610">
        <v>0</v>
      </c>
      <c r="AI198" s="610">
        <v>0</v>
      </c>
      <c r="AJ198" s="501">
        <v>-9.9421270993909992E-3</v>
      </c>
      <c r="AK198" s="501">
        <v>-349699.56144700001</v>
      </c>
      <c r="AL198" s="610">
        <v>3.8730332364837801</v>
      </c>
      <c r="AM198" s="610">
        <v>0.59588781186686302</v>
      </c>
      <c r="AN198" s="501">
        <v>136228194.50286901</v>
      </c>
      <c r="AO198" s="611">
        <v>20959469.175788999</v>
      </c>
    </row>
    <row r="199" spans="1:41" s="502" customFormat="1" ht="12" thickBot="1">
      <c r="A199" s="918"/>
      <c r="B199" s="918"/>
      <c r="C199" s="922"/>
      <c r="D199" s="608" t="s">
        <v>385</v>
      </c>
      <c r="E199" s="608" t="s">
        <v>385</v>
      </c>
      <c r="F199" s="608" t="s">
        <v>385</v>
      </c>
      <c r="G199" s="608" t="s">
        <v>385</v>
      </c>
      <c r="H199" s="609">
        <v>270022</v>
      </c>
      <c r="I199" s="610">
        <v>2700318003.0100002</v>
      </c>
      <c r="J199" s="610">
        <v>5.5002010894536797</v>
      </c>
      <c r="K199" s="778">
        <v>2371900058.8028102</v>
      </c>
      <c r="L199" s="778">
        <v>61611801.830564998</v>
      </c>
      <c r="M199" s="501">
        <v>5.2381968323501198</v>
      </c>
      <c r="N199" s="610">
        <v>3.7961089666938599</v>
      </c>
      <c r="O199" s="610">
        <v>1.4420878656562499</v>
      </c>
      <c r="P199" s="501">
        <v>44649928.375876002</v>
      </c>
      <c r="Q199" s="610">
        <v>16961873.454689</v>
      </c>
      <c r="R199" s="610">
        <v>0</v>
      </c>
      <c r="S199" s="610">
        <v>0</v>
      </c>
      <c r="T199" s="610">
        <v>8.3733542738633995E-2</v>
      </c>
      <c r="U199" s="610">
        <v>984876.01877099997</v>
      </c>
      <c r="V199" s="610">
        <v>0</v>
      </c>
      <c r="W199" s="610">
        <v>0</v>
      </c>
      <c r="X199" s="610">
        <v>-0.15153735231530599</v>
      </c>
      <c r="Y199" s="610">
        <v>-1782386.1186579999</v>
      </c>
      <c r="Z199" s="610">
        <v>0</v>
      </c>
      <c r="AA199" s="610">
        <v>0</v>
      </c>
      <c r="AB199" s="610">
        <v>0</v>
      </c>
      <c r="AC199" s="610">
        <v>0</v>
      </c>
      <c r="AD199" s="610">
        <v>0</v>
      </c>
      <c r="AE199" s="610">
        <v>0</v>
      </c>
      <c r="AF199" s="610">
        <v>0</v>
      </c>
      <c r="AG199" s="610">
        <v>0</v>
      </c>
      <c r="AH199" s="610">
        <v>0</v>
      </c>
      <c r="AI199" s="610">
        <v>0</v>
      </c>
      <c r="AJ199" s="501">
        <v>0</v>
      </c>
      <c r="AK199" s="501">
        <v>0</v>
      </c>
      <c r="AL199" s="610">
        <v>3.7283051571094501</v>
      </c>
      <c r="AM199" s="610">
        <v>1.5098916752406599</v>
      </c>
      <c r="AN199" s="501">
        <v>43852418.275898002</v>
      </c>
      <c r="AO199" s="611">
        <v>17759383.554667</v>
      </c>
    </row>
    <row r="200" spans="1:41" s="502" customFormat="1" ht="12" thickBot="1">
      <c r="A200" s="918"/>
      <c r="B200" s="918"/>
      <c r="C200" s="920" t="s">
        <v>386</v>
      </c>
      <c r="D200" s="920" t="s">
        <v>387</v>
      </c>
      <c r="E200" s="920" t="s">
        <v>387</v>
      </c>
      <c r="F200" s="920" t="s">
        <v>387</v>
      </c>
      <c r="G200" s="608" t="s">
        <v>387</v>
      </c>
      <c r="H200" s="609">
        <v>270031</v>
      </c>
      <c r="I200" s="610">
        <v>24870695293.560001</v>
      </c>
      <c r="J200" s="610">
        <v>4.89373076407459</v>
      </c>
      <c r="K200" s="778">
        <v>22604292896.930698</v>
      </c>
      <c r="L200" s="778">
        <v>523831561.57695401</v>
      </c>
      <c r="M200" s="501">
        <v>4.67320707197704</v>
      </c>
      <c r="N200" s="610">
        <v>3.4958746288713698</v>
      </c>
      <c r="O200" s="610">
        <v>1.17733244310567</v>
      </c>
      <c r="P200" s="501">
        <v>391861400.043679</v>
      </c>
      <c r="Q200" s="610">
        <v>131970161.53327499</v>
      </c>
      <c r="R200" s="610">
        <v>0</v>
      </c>
      <c r="S200" s="610">
        <v>0</v>
      </c>
      <c r="T200" s="610">
        <v>4.4149272006449997E-3</v>
      </c>
      <c r="U200" s="610">
        <v>494880.31969099998</v>
      </c>
      <c r="V200" s="610">
        <v>0</v>
      </c>
      <c r="W200" s="610">
        <v>0</v>
      </c>
      <c r="X200" s="610">
        <v>-6.9272937414147001E-2</v>
      </c>
      <c r="Y200" s="610">
        <v>-7764978.1877360102</v>
      </c>
      <c r="Z200" s="610">
        <v>0</v>
      </c>
      <c r="AA200" s="610">
        <v>0</v>
      </c>
      <c r="AB200" s="610">
        <v>0</v>
      </c>
      <c r="AC200" s="610">
        <v>0</v>
      </c>
      <c r="AD200" s="610">
        <v>-3.2564677677516002E-2</v>
      </c>
      <c r="AE200" s="610">
        <v>-3650256.8145019999</v>
      </c>
      <c r="AF200" s="610">
        <v>0</v>
      </c>
      <c r="AG200" s="610">
        <v>0</v>
      </c>
      <c r="AH200" s="610">
        <v>0</v>
      </c>
      <c r="AI200" s="610">
        <v>0</v>
      </c>
      <c r="AJ200" s="501">
        <v>-1.8902617525715999E-2</v>
      </c>
      <c r="AK200" s="501">
        <v>-2118842.0508400002</v>
      </c>
      <c r="AL200" s="610">
        <v>3.37245930877797</v>
      </c>
      <c r="AM200" s="610">
        <v>1.30074776319907</v>
      </c>
      <c r="AN200" s="501">
        <v>378027465.69167602</v>
      </c>
      <c r="AO200" s="611">
        <v>145804095.88527799</v>
      </c>
    </row>
    <row r="201" spans="1:41" s="502" customFormat="1" ht="12" thickBot="1">
      <c r="A201" s="918"/>
      <c r="B201" s="918"/>
      <c r="C201" s="921"/>
      <c r="D201" s="922"/>
      <c r="E201" s="922"/>
      <c r="F201" s="922"/>
      <c r="G201" s="608" t="s">
        <v>4185</v>
      </c>
      <c r="H201" s="609">
        <v>270035</v>
      </c>
      <c r="I201" s="610">
        <v>407470000</v>
      </c>
      <c r="J201" s="610">
        <v>5.0244490195597198</v>
      </c>
      <c r="K201" s="778">
        <v>404062737.23270601</v>
      </c>
      <c r="L201" s="778">
        <v>9672968.7074970007</v>
      </c>
      <c r="M201" s="501">
        <v>4.8275332184245903</v>
      </c>
      <c r="N201" s="610">
        <v>3.4426399847931601</v>
      </c>
      <c r="O201" s="610">
        <v>1.3848932336314199</v>
      </c>
      <c r="P201" s="501">
        <v>6898046.5462130001</v>
      </c>
      <c r="Q201" s="610">
        <v>2774922.1612840001</v>
      </c>
      <c r="R201" s="610">
        <v>0</v>
      </c>
      <c r="S201" s="610">
        <v>0</v>
      </c>
      <c r="T201" s="610">
        <v>0</v>
      </c>
      <c r="U201" s="610">
        <v>0</v>
      </c>
      <c r="V201" s="610">
        <v>0</v>
      </c>
      <c r="W201" s="610">
        <v>0</v>
      </c>
      <c r="X201" s="610">
        <v>-2.8151607375784E-2</v>
      </c>
      <c r="Y201" s="610">
        <v>-56407.611277000004</v>
      </c>
      <c r="Z201" s="610">
        <v>0</v>
      </c>
      <c r="AA201" s="610">
        <v>0</v>
      </c>
      <c r="AB201" s="610">
        <v>0</v>
      </c>
      <c r="AC201" s="610">
        <v>0</v>
      </c>
      <c r="AD201" s="610">
        <v>-1.6866003704139999E-3</v>
      </c>
      <c r="AE201" s="610">
        <v>-3379.4552760000001</v>
      </c>
      <c r="AF201" s="610">
        <v>0</v>
      </c>
      <c r="AG201" s="610">
        <v>0</v>
      </c>
      <c r="AH201" s="610">
        <v>0</v>
      </c>
      <c r="AI201" s="610">
        <v>0</v>
      </c>
      <c r="AJ201" s="501">
        <v>0</v>
      </c>
      <c r="AK201" s="501">
        <v>0</v>
      </c>
      <c r="AL201" s="610">
        <v>3.4125448576972301</v>
      </c>
      <c r="AM201" s="610">
        <v>1.4149883607273399</v>
      </c>
      <c r="AN201" s="501">
        <v>6837744.688209</v>
      </c>
      <c r="AO201" s="611">
        <v>2835224.0192880002</v>
      </c>
    </row>
    <row r="202" spans="1:41" s="502" customFormat="1" ht="12" thickBot="1">
      <c r="A202" s="918"/>
      <c r="B202" s="918"/>
      <c r="C202" s="921"/>
      <c r="D202" s="920" t="s">
        <v>389</v>
      </c>
      <c r="E202" s="920" t="s">
        <v>389</v>
      </c>
      <c r="F202" s="920" t="s">
        <v>389</v>
      </c>
      <c r="G202" s="608" t="s">
        <v>389</v>
      </c>
      <c r="H202" s="609">
        <v>270032</v>
      </c>
      <c r="I202" s="610">
        <v>64124994134.239899</v>
      </c>
      <c r="J202" s="610">
        <v>5.3777245934189999</v>
      </c>
      <c r="K202" s="778">
        <v>59140923313.4244</v>
      </c>
      <c r="L202" s="778">
        <v>1465442808.3281</v>
      </c>
      <c r="M202" s="501">
        <v>4.9968356231356799</v>
      </c>
      <c r="N202" s="610">
        <v>3.4529666346356001</v>
      </c>
      <c r="O202" s="610">
        <v>1.54386898850007</v>
      </c>
      <c r="P202" s="501">
        <v>1012665915.7437299</v>
      </c>
      <c r="Q202" s="610">
        <v>452776892.58435702</v>
      </c>
      <c r="R202" s="610">
        <v>0</v>
      </c>
      <c r="S202" s="610">
        <v>0</v>
      </c>
      <c r="T202" s="610">
        <v>0.16391732298817399</v>
      </c>
      <c r="U202" s="610">
        <v>48072716.465039901</v>
      </c>
      <c r="V202" s="610">
        <v>0</v>
      </c>
      <c r="W202" s="610">
        <v>0</v>
      </c>
      <c r="X202" s="610">
        <v>-4.1373406374329999E-2</v>
      </c>
      <c r="Y202" s="610">
        <v>-12133751.317849001</v>
      </c>
      <c r="Z202" s="610">
        <v>0</v>
      </c>
      <c r="AA202" s="610">
        <v>0</v>
      </c>
      <c r="AB202" s="610">
        <v>0</v>
      </c>
      <c r="AC202" s="610">
        <v>0</v>
      </c>
      <c r="AD202" s="610">
        <v>-2.5618475742030002E-2</v>
      </c>
      <c r="AE202" s="610">
        <v>-7513237.1500599999</v>
      </c>
      <c r="AF202" s="610">
        <v>0</v>
      </c>
      <c r="AG202" s="610">
        <v>0</v>
      </c>
      <c r="AH202" s="610">
        <v>0</v>
      </c>
      <c r="AI202" s="610">
        <v>0</v>
      </c>
      <c r="AJ202" s="501">
        <v>-2.2648187045544999E-2</v>
      </c>
      <c r="AK202" s="501">
        <v>-6642128.2048770003</v>
      </c>
      <c r="AL202" s="610">
        <v>3.5199290847386999</v>
      </c>
      <c r="AM202" s="610">
        <v>1.4769065383969699</v>
      </c>
      <c r="AN202" s="501">
        <v>1032304272.5624501</v>
      </c>
      <c r="AO202" s="611">
        <v>433138535.76564002</v>
      </c>
    </row>
    <row r="203" spans="1:41" s="502" customFormat="1" ht="12" thickBot="1">
      <c r="A203" s="918"/>
      <c r="B203" s="918"/>
      <c r="C203" s="922"/>
      <c r="D203" s="922"/>
      <c r="E203" s="922"/>
      <c r="F203" s="922"/>
      <c r="G203" s="608" t="s">
        <v>4186</v>
      </c>
      <c r="H203" s="609">
        <v>270036</v>
      </c>
      <c r="I203" s="610">
        <v>179332155.47</v>
      </c>
      <c r="J203" s="610">
        <v>5.6418605251285001</v>
      </c>
      <c r="K203" s="778">
        <v>198353227.30419701</v>
      </c>
      <c r="L203" s="778">
        <v>5292193.5464260001</v>
      </c>
      <c r="M203" s="501">
        <v>5.3803525927104099</v>
      </c>
      <c r="N203" s="610">
        <v>3.4263520413112301</v>
      </c>
      <c r="O203" s="610">
        <v>1.9540005513991301</v>
      </c>
      <c r="P203" s="501">
        <v>3370210.0091690002</v>
      </c>
      <c r="Q203" s="610">
        <v>1921983.5372570001</v>
      </c>
      <c r="R203" s="610">
        <v>0</v>
      </c>
      <c r="S203" s="610">
        <v>0</v>
      </c>
      <c r="T203" s="610">
        <v>0</v>
      </c>
      <c r="U203" s="610">
        <v>0</v>
      </c>
      <c r="V203" s="610">
        <v>0</v>
      </c>
      <c r="W203" s="610">
        <v>0</v>
      </c>
      <c r="X203" s="610">
        <v>-2.2052525093235999E-2</v>
      </c>
      <c r="Y203" s="610">
        <v>-21691.186398999998</v>
      </c>
      <c r="Z203" s="610">
        <v>0</v>
      </c>
      <c r="AA203" s="610">
        <v>0</v>
      </c>
      <c r="AB203" s="610">
        <v>0</v>
      </c>
      <c r="AC203" s="610">
        <v>0</v>
      </c>
      <c r="AD203" s="610">
        <v>0</v>
      </c>
      <c r="AE203" s="610">
        <v>0</v>
      </c>
      <c r="AF203" s="610">
        <v>0</v>
      </c>
      <c r="AG203" s="610">
        <v>0</v>
      </c>
      <c r="AH203" s="610">
        <v>0</v>
      </c>
      <c r="AI203" s="610">
        <v>0</v>
      </c>
      <c r="AJ203" s="501">
        <v>0</v>
      </c>
      <c r="AK203" s="501">
        <v>0</v>
      </c>
      <c r="AL203" s="610">
        <v>3.40429951676597</v>
      </c>
      <c r="AM203" s="610">
        <v>1.9760530759443899</v>
      </c>
      <c r="AN203" s="501">
        <v>3348518.8233090001</v>
      </c>
      <c r="AO203" s="611">
        <v>1943674.723117</v>
      </c>
    </row>
    <row r="204" spans="1:41" s="502" customFormat="1" ht="12" thickBot="1">
      <c r="A204" s="918"/>
      <c r="B204" s="918"/>
      <c r="C204" s="920" t="s">
        <v>390</v>
      </c>
      <c r="D204" s="608" t="s">
        <v>391</v>
      </c>
      <c r="E204" s="608" t="s">
        <v>391</v>
      </c>
      <c r="F204" s="608" t="s">
        <v>391</v>
      </c>
      <c r="G204" s="608" t="s">
        <v>391</v>
      </c>
      <c r="H204" s="609">
        <v>270041</v>
      </c>
      <c r="I204" s="610">
        <v>278832856.12</v>
      </c>
      <c r="J204" s="610">
        <v>5.8473832384365698</v>
      </c>
      <c r="K204" s="778">
        <v>284221468.09895098</v>
      </c>
      <c r="L204" s="778">
        <v>7866271.4338400001</v>
      </c>
      <c r="M204" s="501">
        <v>5.58118398419803</v>
      </c>
      <c r="N204" s="610">
        <v>3.4871176325493498</v>
      </c>
      <c r="O204" s="610">
        <v>2.0940663516486899</v>
      </c>
      <c r="P204" s="501">
        <v>4914837.7650739998</v>
      </c>
      <c r="Q204" s="610">
        <v>2951433.6687659998</v>
      </c>
      <c r="R204" s="610">
        <v>0</v>
      </c>
      <c r="S204" s="610">
        <v>0</v>
      </c>
      <c r="T204" s="610">
        <v>0.40687081517435703</v>
      </c>
      <c r="U204" s="610">
        <v>573454.71493699995</v>
      </c>
      <c r="V204" s="610">
        <v>0</v>
      </c>
      <c r="W204" s="610">
        <v>0</v>
      </c>
      <c r="X204" s="610">
        <v>-6.2863534989693007E-2</v>
      </c>
      <c r="Y204" s="610">
        <v>-88601.563918999993</v>
      </c>
      <c r="Z204" s="610">
        <v>0</v>
      </c>
      <c r="AA204" s="610">
        <v>0</v>
      </c>
      <c r="AB204" s="610">
        <v>0</v>
      </c>
      <c r="AC204" s="610">
        <v>0</v>
      </c>
      <c r="AD204" s="610">
        <v>-1.6077701427949999E-3</v>
      </c>
      <c r="AE204" s="610">
        <v>-2266.0346589999999</v>
      </c>
      <c r="AF204" s="610">
        <v>0</v>
      </c>
      <c r="AG204" s="610">
        <v>0</v>
      </c>
      <c r="AH204" s="610">
        <v>0</v>
      </c>
      <c r="AI204" s="610">
        <v>0</v>
      </c>
      <c r="AJ204" s="501">
        <v>0</v>
      </c>
      <c r="AK204" s="501">
        <v>0</v>
      </c>
      <c r="AL204" s="610">
        <v>3.8287985316035198</v>
      </c>
      <c r="AM204" s="610">
        <v>1.7523854525945199</v>
      </c>
      <c r="AN204" s="501">
        <v>5396412.0516999997</v>
      </c>
      <c r="AO204" s="611">
        <v>2469859.3821399999</v>
      </c>
    </row>
    <row r="205" spans="1:41" s="502" customFormat="1" ht="12" thickBot="1">
      <c r="A205" s="918"/>
      <c r="B205" s="918"/>
      <c r="C205" s="922"/>
      <c r="D205" s="608" t="s">
        <v>392</v>
      </c>
      <c r="E205" s="608" t="s">
        <v>392</v>
      </c>
      <c r="F205" s="608" t="s">
        <v>392</v>
      </c>
      <c r="G205" s="608" t="s">
        <v>392</v>
      </c>
      <c r="H205" s="609">
        <v>270043</v>
      </c>
      <c r="I205" s="610">
        <v>2651295.1</v>
      </c>
      <c r="J205" s="610">
        <v>6.2825565309979998</v>
      </c>
      <c r="K205" s="778">
        <v>3941025.0646970002</v>
      </c>
      <c r="L205" s="778">
        <v>116086.88684399999</v>
      </c>
      <c r="M205" s="501">
        <v>5.9400247877676602</v>
      </c>
      <c r="N205" s="610">
        <v>3.3714336441640902</v>
      </c>
      <c r="O205" s="610">
        <v>2.5685911436048698</v>
      </c>
      <c r="P205" s="501">
        <v>65888.485306999995</v>
      </c>
      <c r="Q205" s="610">
        <v>50198.401536999998</v>
      </c>
      <c r="R205" s="610">
        <v>0</v>
      </c>
      <c r="S205" s="610">
        <v>0</v>
      </c>
      <c r="T205" s="610">
        <v>0.177494637122424</v>
      </c>
      <c r="U205" s="610">
        <v>3468.807049</v>
      </c>
      <c r="V205" s="610">
        <v>0</v>
      </c>
      <c r="W205" s="610">
        <v>0</v>
      </c>
      <c r="X205" s="610">
        <v>0</v>
      </c>
      <c r="Y205" s="610">
        <v>0</v>
      </c>
      <c r="Z205" s="610">
        <v>0</v>
      </c>
      <c r="AA205" s="610">
        <v>0</v>
      </c>
      <c r="AB205" s="610">
        <v>0</v>
      </c>
      <c r="AC205" s="610">
        <v>0</v>
      </c>
      <c r="AD205" s="610">
        <v>-0.11273719784434701</v>
      </c>
      <c r="AE205" s="610">
        <v>-2203.2417030000001</v>
      </c>
      <c r="AF205" s="610">
        <v>0</v>
      </c>
      <c r="AG205" s="610">
        <v>0</v>
      </c>
      <c r="AH205" s="610">
        <v>0</v>
      </c>
      <c r="AI205" s="610">
        <v>0</v>
      </c>
      <c r="AJ205" s="501">
        <v>0</v>
      </c>
      <c r="AK205" s="501">
        <v>0</v>
      </c>
      <c r="AL205" s="610">
        <v>3.41061626441754</v>
      </c>
      <c r="AM205" s="610">
        <v>2.5294085233514201</v>
      </c>
      <c r="AN205" s="501">
        <v>66654.237735000002</v>
      </c>
      <c r="AO205" s="611">
        <v>49432.649108999998</v>
      </c>
    </row>
    <row r="206" spans="1:41" s="528" customFormat="1" ht="12" thickBot="1">
      <c r="A206" s="918"/>
      <c r="B206" s="918"/>
      <c r="C206" s="926" t="s">
        <v>393</v>
      </c>
      <c r="D206" s="926" t="s">
        <v>394</v>
      </c>
      <c r="E206" s="926" t="s">
        <v>394</v>
      </c>
      <c r="F206" s="926" t="s">
        <v>394</v>
      </c>
      <c r="G206" s="664" t="s">
        <v>394</v>
      </c>
      <c r="H206" s="665">
        <v>270051</v>
      </c>
      <c r="I206" s="666">
        <v>2730492865.2399998</v>
      </c>
      <c r="J206" s="666">
        <v>13.6973442750384</v>
      </c>
      <c r="K206" s="779">
        <v>3223648602.8867998</v>
      </c>
      <c r="L206" s="779">
        <v>164056469.482961</v>
      </c>
      <c r="M206" s="667">
        <v>10.2626603492744</v>
      </c>
      <c r="N206" s="666">
        <v>4.5682667582142997</v>
      </c>
      <c r="O206" s="666">
        <v>5.69439359106011</v>
      </c>
      <c r="P206" s="667">
        <v>73027235.677929997</v>
      </c>
      <c r="Q206" s="666">
        <v>91029233.805031002</v>
      </c>
      <c r="R206" s="666">
        <v>0</v>
      </c>
      <c r="S206" s="666">
        <v>0</v>
      </c>
      <c r="T206" s="666">
        <v>0</v>
      </c>
      <c r="U206" s="666">
        <v>0</v>
      </c>
      <c r="V206" s="666">
        <v>0</v>
      </c>
      <c r="W206" s="666">
        <v>0</v>
      </c>
      <c r="X206" s="666">
        <v>-2.0657456516629999E-3</v>
      </c>
      <c r="Y206" s="666">
        <v>-33022.523100999999</v>
      </c>
      <c r="Z206" s="666">
        <v>0</v>
      </c>
      <c r="AA206" s="666">
        <v>0</v>
      </c>
      <c r="AB206" s="666">
        <v>0</v>
      </c>
      <c r="AC206" s="666">
        <v>0</v>
      </c>
      <c r="AD206" s="666">
        <v>-0.54968960462009298</v>
      </c>
      <c r="AE206" s="666">
        <v>-8787208.4602150004</v>
      </c>
      <c r="AF206" s="666">
        <v>0</v>
      </c>
      <c r="AG206" s="666">
        <v>0</v>
      </c>
      <c r="AH206" s="666">
        <v>0</v>
      </c>
      <c r="AI206" s="666">
        <v>0</v>
      </c>
      <c r="AJ206" s="667">
        <v>-6.1648479864214997E-2</v>
      </c>
      <c r="AK206" s="667">
        <v>-985498.06885399995</v>
      </c>
      <c r="AL206" s="666">
        <v>3.8470542345102401</v>
      </c>
      <c r="AM206" s="666">
        <v>6.4156061147641799</v>
      </c>
      <c r="AN206" s="667">
        <v>61498102.26038</v>
      </c>
      <c r="AO206" s="668">
        <v>102558367.222581</v>
      </c>
    </row>
    <row r="207" spans="1:41" s="528" customFormat="1" ht="12" thickBot="1">
      <c r="A207" s="918"/>
      <c r="B207" s="918"/>
      <c r="C207" s="927"/>
      <c r="D207" s="928"/>
      <c r="E207" s="928"/>
      <c r="F207" s="928"/>
      <c r="G207" s="664" t="s">
        <v>4187</v>
      </c>
      <c r="H207" s="665">
        <v>270053</v>
      </c>
      <c r="I207" s="666">
        <v>684150.65</v>
      </c>
      <c r="J207" s="666">
        <v>18</v>
      </c>
      <c r="K207" s="779">
        <v>1711026.3282860001</v>
      </c>
      <c r="L207" s="779">
        <v>76730.528315999996</v>
      </c>
      <c r="M207" s="667">
        <v>9.0432760026212904</v>
      </c>
      <c r="N207" s="666">
        <v>4.5390293034701603</v>
      </c>
      <c r="O207" s="666">
        <v>4.5042466991442902</v>
      </c>
      <c r="P207" s="667">
        <v>38512.826148</v>
      </c>
      <c r="Q207" s="666">
        <v>38217.702168000003</v>
      </c>
      <c r="R207" s="666">
        <v>0</v>
      </c>
      <c r="S207" s="666">
        <v>0</v>
      </c>
      <c r="T207" s="666">
        <v>0</v>
      </c>
      <c r="U207" s="666">
        <v>0</v>
      </c>
      <c r="V207" s="666">
        <v>0</v>
      </c>
      <c r="W207" s="666">
        <v>0</v>
      </c>
      <c r="X207" s="666">
        <v>0</v>
      </c>
      <c r="Y207" s="666">
        <v>0</v>
      </c>
      <c r="Z207" s="666">
        <v>0</v>
      </c>
      <c r="AA207" s="666">
        <v>0</v>
      </c>
      <c r="AB207" s="666">
        <v>0</v>
      </c>
      <c r="AC207" s="666">
        <v>0</v>
      </c>
      <c r="AD207" s="666">
        <v>-0.64342544841632299</v>
      </c>
      <c r="AE207" s="666">
        <v>-5459.3462120000004</v>
      </c>
      <c r="AF207" s="666">
        <v>0</v>
      </c>
      <c r="AG207" s="666">
        <v>0</v>
      </c>
      <c r="AH207" s="666">
        <v>0</v>
      </c>
      <c r="AI207" s="666">
        <v>0</v>
      </c>
      <c r="AJ207" s="667">
        <v>-1.8733612554023001E-2</v>
      </c>
      <c r="AK207" s="667">
        <v>-158.951246</v>
      </c>
      <c r="AL207" s="666">
        <v>3.7739414346865399</v>
      </c>
      <c r="AM207" s="666">
        <v>5.2693345679279098</v>
      </c>
      <c r="AN207" s="667">
        <v>32021.196747000002</v>
      </c>
      <c r="AO207" s="668">
        <v>44709.331569000002</v>
      </c>
    </row>
    <row r="208" spans="1:41" s="528" customFormat="1" ht="12" thickBot="1">
      <c r="A208" s="918"/>
      <c r="B208" s="918"/>
      <c r="C208" s="927"/>
      <c r="D208" s="926" t="s">
        <v>395</v>
      </c>
      <c r="E208" s="926" t="s">
        <v>395</v>
      </c>
      <c r="F208" s="926" t="s">
        <v>395</v>
      </c>
      <c r="G208" s="664" t="s">
        <v>395</v>
      </c>
      <c r="H208" s="665">
        <v>270052</v>
      </c>
      <c r="I208" s="666">
        <v>2324291340.0700002</v>
      </c>
      <c r="J208" s="666">
        <v>7.7271950563684104</v>
      </c>
      <c r="K208" s="779">
        <v>3005612298.1038699</v>
      </c>
      <c r="L208" s="779">
        <v>99757784.801449001</v>
      </c>
      <c r="M208" s="667">
        <v>6.6931125373952298</v>
      </c>
      <c r="N208" s="666">
        <v>3.8277431653135201</v>
      </c>
      <c r="O208" s="666">
        <v>2.8653693720817301</v>
      </c>
      <c r="P208" s="667">
        <v>57050763.277493998</v>
      </c>
      <c r="Q208" s="666">
        <v>42707021.523955002</v>
      </c>
      <c r="R208" s="666">
        <v>0</v>
      </c>
      <c r="S208" s="666">
        <v>0</v>
      </c>
      <c r="T208" s="666">
        <v>2.1666152961033001E-2</v>
      </c>
      <c r="U208" s="666">
        <v>322924.11228499998</v>
      </c>
      <c r="V208" s="666">
        <v>0</v>
      </c>
      <c r="W208" s="666">
        <v>0</v>
      </c>
      <c r="X208" s="666">
        <v>-1.5376633488655001E-2</v>
      </c>
      <c r="Y208" s="666">
        <v>-229181.697747</v>
      </c>
      <c r="Z208" s="666">
        <v>0</v>
      </c>
      <c r="AA208" s="666">
        <v>0</v>
      </c>
      <c r="AB208" s="666">
        <v>0</v>
      </c>
      <c r="AC208" s="666">
        <v>0</v>
      </c>
      <c r="AD208" s="666">
        <v>-0.26362265111748301</v>
      </c>
      <c r="AE208" s="666">
        <v>-3929175.1859889999</v>
      </c>
      <c r="AF208" s="666">
        <v>0</v>
      </c>
      <c r="AG208" s="666">
        <v>0</v>
      </c>
      <c r="AH208" s="666">
        <v>0</v>
      </c>
      <c r="AI208" s="666">
        <v>0</v>
      </c>
      <c r="AJ208" s="667">
        <v>-3.8389590104971998E-2</v>
      </c>
      <c r="AK208" s="667">
        <v>-572179.30326299998</v>
      </c>
      <c r="AL208" s="666">
        <v>3.4862158180817899</v>
      </c>
      <c r="AM208" s="666">
        <v>3.2068967193134599</v>
      </c>
      <c r="AN208" s="667">
        <v>51960454.184587002</v>
      </c>
      <c r="AO208" s="668">
        <v>47797330.616861999</v>
      </c>
    </row>
    <row r="209" spans="1:41" s="528" customFormat="1" ht="12" thickBot="1">
      <c r="A209" s="918"/>
      <c r="B209" s="918"/>
      <c r="C209" s="928"/>
      <c r="D209" s="928"/>
      <c r="E209" s="928"/>
      <c r="F209" s="928"/>
      <c r="G209" s="664" t="s">
        <v>4188</v>
      </c>
      <c r="H209" s="665">
        <v>270054</v>
      </c>
      <c r="I209" s="666">
        <v>11108662.779999999</v>
      </c>
      <c r="J209" s="666">
        <v>8.2933505454740306</v>
      </c>
      <c r="K209" s="779">
        <v>16267560.002816999</v>
      </c>
      <c r="L209" s="779">
        <v>351069.848811</v>
      </c>
      <c r="M209" s="667">
        <v>4.3519651058457196</v>
      </c>
      <c r="N209" s="666">
        <v>4.0055062719959302</v>
      </c>
      <c r="O209" s="666">
        <v>0.34645883384960502</v>
      </c>
      <c r="P209" s="667">
        <v>323121.26754700002</v>
      </c>
      <c r="Q209" s="666">
        <v>27948.581264</v>
      </c>
      <c r="R209" s="666">
        <v>0</v>
      </c>
      <c r="S209" s="666">
        <v>0</v>
      </c>
      <c r="T209" s="666">
        <v>2.8495063184509999E-3</v>
      </c>
      <c r="U209" s="666">
        <v>229.86759499999999</v>
      </c>
      <c r="V209" s="666">
        <v>0</v>
      </c>
      <c r="W209" s="666">
        <v>0</v>
      </c>
      <c r="X209" s="666">
        <v>-4.4764394090100003E-4</v>
      </c>
      <c r="Y209" s="666">
        <v>-36.111109999999996</v>
      </c>
      <c r="Z209" s="666">
        <v>0</v>
      </c>
      <c r="AA209" s="666">
        <v>0</v>
      </c>
      <c r="AB209" s="666">
        <v>0</v>
      </c>
      <c r="AC209" s="666">
        <v>0</v>
      </c>
      <c r="AD209" s="666">
        <v>-0.450787224254659</v>
      </c>
      <c r="AE209" s="666">
        <v>-36364.676374000002</v>
      </c>
      <c r="AF209" s="666">
        <v>0</v>
      </c>
      <c r="AG209" s="666">
        <v>0</v>
      </c>
      <c r="AH209" s="666">
        <v>0</v>
      </c>
      <c r="AI209" s="666">
        <v>0</v>
      </c>
      <c r="AJ209" s="667">
        <v>-7.6336622960349997E-3</v>
      </c>
      <c r="AK209" s="667">
        <v>-615.80196599999999</v>
      </c>
      <c r="AL209" s="666">
        <v>3.4590498169975401</v>
      </c>
      <c r="AM209" s="666">
        <v>0.89291528884798999</v>
      </c>
      <c r="AN209" s="667">
        <v>279039.02415299998</v>
      </c>
      <c r="AO209" s="668">
        <v>72030.824657999998</v>
      </c>
    </row>
    <row r="210" spans="1:41" s="502" customFormat="1" ht="12" thickBot="1">
      <c r="A210" s="918"/>
      <c r="B210" s="918"/>
      <c r="C210" s="920" t="s">
        <v>396</v>
      </c>
      <c r="D210" s="608" t="s">
        <v>397</v>
      </c>
      <c r="E210" s="608" t="s">
        <v>397</v>
      </c>
      <c r="F210" s="608" t="s">
        <v>397</v>
      </c>
      <c r="G210" s="608" t="s">
        <v>397</v>
      </c>
      <c r="H210" s="609">
        <v>270061</v>
      </c>
      <c r="I210" s="610">
        <v>0</v>
      </c>
      <c r="J210" s="610">
        <v>0</v>
      </c>
      <c r="K210" s="778">
        <v>0</v>
      </c>
      <c r="L210" s="778">
        <v>0</v>
      </c>
      <c r="M210" s="501">
        <v>0</v>
      </c>
      <c r="N210" s="610">
        <v>0</v>
      </c>
      <c r="O210" s="610">
        <v>0</v>
      </c>
      <c r="P210" s="501">
        <v>0</v>
      </c>
      <c r="Q210" s="610">
        <v>0</v>
      </c>
      <c r="R210" s="610">
        <v>0</v>
      </c>
      <c r="S210" s="610">
        <v>0</v>
      </c>
      <c r="T210" s="610">
        <v>0</v>
      </c>
      <c r="U210" s="610">
        <v>0</v>
      </c>
      <c r="V210" s="610">
        <v>0</v>
      </c>
      <c r="W210" s="610">
        <v>0</v>
      </c>
      <c r="X210" s="610">
        <v>0</v>
      </c>
      <c r="Y210" s="610">
        <v>0</v>
      </c>
      <c r="Z210" s="610">
        <v>0</v>
      </c>
      <c r="AA210" s="610">
        <v>0</v>
      </c>
      <c r="AB210" s="610">
        <v>0</v>
      </c>
      <c r="AC210" s="610">
        <v>0</v>
      </c>
      <c r="AD210" s="610">
        <v>0</v>
      </c>
      <c r="AE210" s="610">
        <v>0</v>
      </c>
      <c r="AF210" s="610">
        <v>0</v>
      </c>
      <c r="AG210" s="610">
        <v>0</v>
      </c>
      <c r="AH210" s="610">
        <v>0</v>
      </c>
      <c r="AI210" s="610">
        <v>0</v>
      </c>
      <c r="AJ210" s="501">
        <v>0</v>
      </c>
      <c r="AK210" s="501">
        <v>0</v>
      </c>
      <c r="AL210" s="610">
        <v>0</v>
      </c>
      <c r="AM210" s="610">
        <v>0</v>
      </c>
      <c r="AN210" s="501">
        <v>0</v>
      </c>
      <c r="AO210" s="611">
        <v>0</v>
      </c>
    </row>
    <row r="211" spans="1:41" s="502" customFormat="1" ht="12" thickBot="1">
      <c r="A211" s="918"/>
      <c r="B211" s="918"/>
      <c r="C211" s="921"/>
      <c r="D211" s="608" t="s">
        <v>398</v>
      </c>
      <c r="E211" s="608" t="s">
        <v>398</v>
      </c>
      <c r="F211" s="608" t="s">
        <v>398</v>
      </c>
      <c r="G211" s="608" t="s">
        <v>398</v>
      </c>
      <c r="H211" s="609">
        <v>270062</v>
      </c>
      <c r="I211" s="610">
        <v>690509700.50999999</v>
      </c>
      <c r="J211" s="610">
        <v>6.5702533992952903</v>
      </c>
      <c r="K211" s="778">
        <v>690343954.65364599</v>
      </c>
      <c r="L211" s="778">
        <v>794271.30177400005</v>
      </c>
      <c r="M211" s="501">
        <v>0.232015839417404</v>
      </c>
      <c r="N211" s="610">
        <v>3.8236150274893999</v>
      </c>
      <c r="O211" s="610">
        <v>-3.5915991880720002</v>
      </c>
      <c r="P211" s="501">
        <v>13089570.492224</v>
      </c>
      <c r="Q211" s="610">
        <v>-12295299.19045</v>
      </c>
      <c r="R211" s="610">
        <v>0</v>
      </c>
      <c r="S211" s="610">
        <v>0</v>
      </c>
      <c r="T211" s="610">
        <v>0</v>
      </c>
      <c r="U211" s="610">
        <v>0</v>
      </c>
      <c r="V211" s="610">
        <v>0</v>
      </c>
      <c r="W211" s="610">
        <v>0</v>
      </c>
      <c r="X211" s="610">
        <v>-2.4504915493720001E-3</v>
      </c>
      <c r="Y211" s="610">
        <v>-8388.8889560000007</v>
      </c>
      <c r="Z211" s="610">
        <v>0</v>
      </c>
      <c r="AA211" s="610">
        <v>0</v>
      </c>
      <c r="AB211" s="610">
        <v>0</v>
      </c>
      <c r="AC211" s="610">
        <v>0</v>
      </c>
      <c r="AD211" s="610">
        <v>-1.4690363126069099</v>
      </c>
      <c r="AE211" s="610">
        <v>-5029024.6876999997</v>
      </c>
      <c r="AF211" s="610">
        <v>0</v>
      </c>
      <c r="AG211" s="610">
        <v>0</v>
      </c>
      <c r="AH211" s="610">
        <v>0</v>
      </c>
      <c r="AI211" s="610">
        <v>0</v>
      </c>
      <c r="AJ211" s="501">
        <v>0</v>
      </c>
      <c r="AK211" s="501">
        <v>0</v>
      </c>
      <c r="AL211" s="610">
        <v>2.0934715562538</v>
      </c>
      <c r="AM211" s="610">
        <v>-1.8614557168364001</v>
      </c>
      <c r="AN211" s="501">
        <v>7166684.7504369998</v>
      </c>
      <c r="AO211" s="611">
        <v>-6372413.448663</v>
      </c>
    </row>
    <row r="212" spans="1:41" s="502" customFormat="1" ht="12" thickBot="1">
      <c r="A212" s="918"/>
      <c r="B212" s="918"/>
      <c r="C212" s="921"/>
      <c r="D212" s="608" t="s">
        <v>399</v>
      </c>
      <c r="E212" s="608" t="s">
        <v>399</v>
      </c>
      <c r="F212" s="608" t="s">
        <v>399</v>
      </c>
      <c r="G212" s="608" t="s">
        <v>399</v>
      </c>
      <c r="H212" s="609">
        <v>270063</v>
      </c>
      <c r="I212" s="610">
        <v>0</v>
      </c>
      <c r="J212" s="610">
        <v>0</v>
      </c>
      <c r="K212" s="778">
        <v>1338674.03315</v>
      </c>
      <c r="L212" s="778">
        <v>33144.811314999999</v>
      </c>
      <c r="M212" s="501">
        <v>4.9929245274319101</v>
      </c>
      <c r="N212" s="610">
        <v>3.1685690565765601</v>
      </c>
      <c r="O212" s="610">
        <v>1.82435547085844</v>
      </c>
      <c r="P212" s="501">
        <v>21034.089929000002</v>
      </c>
      <c r="Q212" s="610">
        <v>12110.721385999999</v>
      </c>
      <c r="R212" s="610">
        <v>0</v>
      </c>
      <c r="S212" s="610">
        <v>0</v>
      </c>
      <c r="T212" s="610">
        <v>0</v>
      </c>
      <c r="U212" s="610">
        <v>0</v>
      </c>
      <c r="V212" s="610">
        <v>0</v>
      </c>
      <c r="W212" s="610">
        <v>0</v>
      </c>
      <c r="X212" s="610">
        <v>0</v>
      </c>
      <c r="Y212" s="610">
        <v>0</v>
      </c>
      <c r="Z212" s="610">
        <v>0</v>
      </c>
      <c r="AA212" s="610">
        <v>0</v>
      </c>
      <c r="AB212" s="610">
        <v>0</v>
      </c>
      <c r="AC212" s="610">
        <v>0</v>
      </c>
      <c r="AD212" s="610">
        <v>0</v>
      </c>
      <c r="AE212" s="610">
        <v>0</v>
      </c>
      <c r="AF212" s="610">
        <v>0</v>
      </c>
      <c r="AG212" s="610">
        <v>0</v>
      </c>
      <c r="AH212" s="610">
        <v>0</v>
      </c>
      <c r="AI212" s="610">
        <v>0</v>
      </c>
      <c r="AJ212" s="501">
        <v>0</v>
      </c>
      <c r="AK212" s="501">
        <v>0</v>
      </c>
      <c r="AL212" s="610">
        <v>3.1685690565765601</v>
      </c>
      <c r="AM212" s="610">
        <v>1.82435547085844</v>
      </c>
      <c r="AN212" s="501">
        <v>21034.089929000002</v>
      </c>
      <c r="AO212" s="611">
        <v>12110.721385999999</v>
      </c>
    </row>
    <row r="213" spans="1:41" s="502" customFormat="1" ht="12" thickBot="1">
      <c r="A213" s="918"/>
      <c r="B213" s="918"/>
      <c r="C213" s="921"/>
      <c r="D213" s="608" t="s">
        <v>400</v>
      </c>
      <c r="E213" s="608" t="s">
        <v>400</v>
      </c>
      <c r="F213" s="608" t="s">
        <v>400</v>
      </c>
      <c r="G213" s="608" t="s">
        <v>400</v>
      </c>
      <c r="H213" s="609">
        <v>270064</v>
      </c>
      <c r="I213" s="610">
        <v>36000000</v>
      </c>
      <c r="J213" s="610">
        <v>4.7500799999999996</v>
      </c>
      <c r="K213" s="778">
        <v>36000000</v>
      </c>
      <c r="L213" s="778">
        <v>401419.45297500002</v>
      </c>
      <c r="M213" s="501">
        <v>2.2485896306917601</v>
      </c>
      <c r="N213" s="610">
        <v>4.7529744635415101</v>
      </c>
      <c r="O213" s="610">
        <v>-2.5043848328497602</v>
      </c>
      <c r="P213" s="501">
        <v>848503.60560100002</v>
      </c>
      <c r="Q213" s="610">
        <v>-447084.152626</v>
      </c>
      <c r="R213" s="610">
        <v>0</v>
      </c>
      <c r="S213" s="610">
        <v>0</v>
      </c>
      <c r="T213" s="610">
        <v>0</v>
      </c>
      <c r="U213" s="610">
        <v>0</v>
      </c>
      <c r="V213" s="610">
        <v>0</v>
      </c>
      <c r="W213" s="610">
        <v>0</v>
      </c>
      <c r="X213" s="610">
        <v>0</v>
      </c>
      <c r="Y213" s="610">
        <v>0</v>
      </c>
      <c r="Z213" s="610">
        <v>0</v>
      </c>
      <c r="AA213" s="610">
        <v>0</v>
      </c>
      <c r="AB213" s="610">
        <v>0</v>
      </c>
      <c r="AC213" s="610">
        <v>0</v>
      </c>
      <c r="AD213" s="610">
        <v>-0.99680436665822603</v>
      </c>
      <c r="AE213" s="610">
        <v>-177950.06172999999</v>
      </c>
      <c r="AF213" s="610">
        <v>0</v>
      </c>
      <c r="AG213" s="610">
        <v>0</v>
      </c>
      <c r="AH213" s="610">
        <v>0</v>
      </c>
      <c r="AI213" s="610">
        <v>0</v>
      </c>
      <c r="AJ213" s="501">
        <v>0</v>
      </c>
      <c r="AK213" s="501">
        <v>0</v>
      </c>
      <c r="AL213" s="610">
        <v>3.5713322010903199</v>
      </c>
      <c r="AM213" s="610">
        <v>-1.32274257039856</v>
      </c>
      <c r="AN213" s="501">
        <v>637556.18143300002</v>
      </c>
      <c r="AO213" s="611">
        <v>-236136.728458</v>
      </c>
    </row>
    <row r="214" spans="1:41" s="502" customFormat="1" ht="12" thickBot="1">
      <c r="A214" s="918"/>
      <c r="B214" s="918"/>
      <c r="C214" s="922"/>
      <c r="D214" s="608" t="s">
        <v>401</v>
      </c>
      <c r="E214" s="608" t="s">
        <v>401</v>
      </c>
      <c r="F214" s="608" t="s">
        <v>401</v>
      </c>
      <c r="G214" s="608" t="s">
        <v>401</v>
      </c>
      <c r="H214" s="609">
        <v>270066</v>
      </c>
      <c r="I214" s="610">
        <v>221227302.86000001</v>
      </c>
      <c r="J214" s="610">
        <v>5.0767776792744401</v>
      </c>
      <c r="K214" s="778">
        <v>249371337.14922699</v>
      </c>
      <c r="L214" s="778">
        <v>5540477.4337860001</v>
      </c>
      <c r="M214" s="501">
        <v>4.4803809904476397</v>
      </c>
      <c r="N214" s="610">
        <v>3.54558992664747</v>
      </c>
      <c r="O214" s="610">
        <v>0.93479106380017396</v>
      </c>
      <c r="P214" s="501">
        <v>4384506.8131330004</v>
      </c>
      <c r="Q214" s="610">
        <v>1155970.620653</v>
      </c>
      <c r="R214" s="610">
        <v>0</v>
      </c>
      <c r="S214" s="610">
        <v>0</v>
      </c>
      <c r="T214" s="610">
        <v>0.12583671834372501</v>
      </c>
      <c r="U214" s="610">
        <v>155610.76163200001</v>
      </c>
      <c r="V214" s="610">
        <v>0</v>
      </c>
      <c r="W214" s="610">
        <v>0</v>
      </c>
      <c r="X214" s="610">
        <v>-9.9589136399810003E-3</v>
      </c>
      <c r="Y214" s="610">
        <v>-12315.277742</v>
      </c>
      <c r="Z214" s="610">
        <v>0</v>
      </c>
      <c r="AA214" s="610">
        <v>0</v>
      </c>
      <c r="AB214" s="610">
        <v>0</v>
      </c>
      <c r="AC214" s="610">
        <v>0</v>
      </c>
      <c r="AD214" s="610">
        <v>-5.3704261266044002E-2</v>
      </c>
      <c r="AE214" s="610">
        <v>-66411.148577999993</v>
      </c>
      <c r="AF214" s="610">
        <v>0</v>
      </c>
      <c r="AG214" s="610">
        <v>0</v>
      </c>
      <c r="AH214" s="610">
        <v>0</v>
      </c>
      <c r="AI214" s="610">
        <v>0</v>
      </c>
      <c r="AJ214" s="501">
        <v>-2.3361385416295E-2</v>
      </c>
      <c r="AK214" s="501">
        <v>-28888.888912999999</v>
      </c>
      <c r="AL214" s="610">
        <v>3.5674477146302102</v>
      </c>
      <c r="AM214" s="610">
        <v>0.91293327581744099</v>
      </c>
      <c r="AN214" s="501">
        <v>4411536.3406060003</v>
      </c>
      <c r="AO214" s="611">
        <v>1128941.0931800001</v>
      </c>
    </row>
    <row r="215" spans="1:41" s="555" customFormat="1" ht="12" thickBot="1">
      <c r="A215" s="918"/>
      <c r="B215" s="918"/>
      <c r="C215" s="917" t="s">
        <v>402</v>
      </c>
      <c r="D215" s="917" t="s">
        <v>403</v>
      </c>
      <c r="E215" s="600" t="s">
        <v>404</v>
      </c>
      <c r="F215" s="600" t="s">
        <v>404</v>
      </c>
      <c r="G215" s="600" t="s">
        <v>404</v>
      </c>
      <c r="H215" s="601">
        <v>270071</v>
      </c>
      <c r="I215" s="602">
        <v>0</v>
      </c>
      <c r="J215" s="602">
        <v>0</v>
      </c>
      <c r="K215" s="776">
        <v>0</v>
      </c>
      <c r="L215" s="776">
        <v>0</v>
      </c>
      <c r="M215" s="498">
        <v>0</v>
      </c>
      <c r="N215" s="602">
        <v>0</v>
      </c>
      <c r="O215" s="602">
        <v>0</v>
      </c>
      <c r="P215" s="498">
        <v>0</v>
      </c>
      <c r="Q215" s="602">
        <v>0</v>
      </c>
      <c r="R215" s="602">
        <v>0</v>
      </c>
      <c r="S215" s="602">
        <v>0</v>
      </c>
      <c r="T215" s="602">
        <v>0</v>
      </c>
      <c r="U215" s="602">
        <v>0</v>
      </c>
      <c r="V215" s="602">
        <v>0</v>
      </c>
      <c r="W215" s="602">
        <v>0</v>
      </c>
      <c r="X215" s="602">
        <v>0</v>
      </c>
      <c r="Y215" s="602">
        <v>0</v>
      </c>
      <c r="Z215" s="602">
        <v>0</v>
      </c>
      <c r="AA215" s="602">
        <v>0</v>
      </c>
      <c r="AB215" s="602">
        <v>0</v>
      </c>
      <c r="AC215" s="602">
        <v>0</v>
      </c>
      <c r="AD215" s="602">
        <v>0</v>
      </c>
      <c r="AE215" s="602">
        <v>0</v>
      </c>
      <c r="AF215" s="602">
        <v>0</v>
      </c>
      <c r="AG215" s="602">
        <v>0</v>
      </c>
      <c r="AH215" s="602">
        <v>0</v>
      </c>
      <c r="AI215" s="602">
        <v>0</v>
      </c>
      <c r="AJ215" s="498">
        <v>0</v>
      </c>
      <c r="AK215" s="498">
        <v>0</v>
      </c>
      <c r="AL215" s="602">
        <v>0</v>
      </c>
      <c r="AM215" s="602">
        <v>0</v>
      </c>
      <c r="AN215" s="498">
        <v>0</v>
      </c>
      <c r="AO215" s="603">
        <v>0</v>
      </c>
    </row>
    <row r="216" spans="1:41" s="555" customFormat="1" ht="12" thickBot="1">
      <c r="A216" s="918"/>
      <c r="B216" s="918"/>
      <c r="C216" s="918"/>
      <c r="D216" s="919"/>
      <c r="E216" s="600" t="s">
        <v>405</v>
      </c>
      <c r="F216" s="600" t="s">
        <v>405</v>
      </c>
      <c r="G216" s="600" t="s">
        <v>405</v>
      </c>
      <c r="H216" s="601">
        <v>270072</v>
      </c>
      <c r="I216" s="602">
        <v>0</v>
      </c>
      <c r="J216" s="602">
        <v>0</v>
      </c>
      <c r="K216" s="776">
        <v>178453.03867400001</v>
      </c>
      <c r="L216" s="776">
        <v>0</v>
      </c>
      <c r="M216" s="498">
        <v>0</v>
      </c>
      <c r="N216" s="602">
        <v>2.67982392382353</v>
      </c>
      <c r="O216" s="602">
        <v>-2.67982392382353</v>
      </c>
      <c r="P216" s="498">
        <v>2371.4606229999999</v>
      </c>
      <c r="Q216" s="602">
        <v>-2371.4606229999999</v>
      </c>
      <c r="R216" s="602">
        <v>0</v>
      </c>
      <c r="S216" s="602">
        <v>0</v>
      </c>
      <c r="T216" s="602">
        <v>0</v>
      </c>
      <c r="U216" s="602">
        <v>0</v>
      </c>
      <c r="V216" s="602">
        <v>0</v>
      </c>
      <c r="W216" s="602">
        <v>0</v>
      </c>
      <c r="X216" s="602">
        <v>0</v>
      </c>
      <c r="Y216" s="602">
        <v>0</v>
      </c>
      <c r="Z216" s="602">
        <v>0</v>
      </c>
      <c r="AA216" s="602">
        <v>0</v>
      </c>
      <c r="AB216" s="602">
        <v>0</v>
      </c>
      <c r="AC216" s="602">
        <v>0</v>
      </c>
      <c r="AD216" s="602">
        <v>0</v>
      </c>
      <c r="AE216" s="602">
        <v>0</v>
      </c>
      <c r="AF216" s="602">
        <v>0</v>
      </c>
      <c r="AG216" s="602">
        <v>0</v>
      </c>
      <c r="AH216" s="602">
        <v>0</v>
      </c>
      <c r="AI216" s="602">
        <v>0</v>
      </c>
      <c r="AJ216" s="498">
        <v>0</v>
      </c>
      <c r="AK216" s="498">
        <v>0</v>
      </c>
      <c r="AL216" s="602">
        <v>2.67982392382353</v>
      </c>
      <c r="AM216" s="602">
        <v>-2.67982392382353</v>
      </c>
      <c r="AN216" s="498">
        <v>2371.4606229999999</v>
      </c>
      <c r="AO216" s="603">
        <v>-2371.4606229999999</v>
      </c>
    </row>
    <row r="217" spans="1:41" s="555" customFormat="1" ht="12" thickBot="1">
      <c r="A217" s="918"/>
      <c r="B217" s="918"/>
      <c r="C217" s="918"/>
      <c r="D217" s="600" t="s">
        <v>406</v>
      </c>
      <c r="E217" s="600" t="s">
        <v>406</v>
      </c>
      <c r="F217" s="600" t="s">
        <v>406</v>
      </c>
      <c r="G217" s="600" t="s">
        <v>406</v>
      </c>
      <c r="H217" s="601">
        <v>270081</v>
      </c>
      <c r="I217" s="602">
        <v>0</v>
      </c>
      <c r="J217" s="602">
        <v>0</v>
      </c>
      <c r="K217" s="776">
        <v>0</v>
      </c>
      <c r="L217" s="776">
        <v>0</v>
      </c>
      <c r="M217" s="498">
        <v>0</v>
      </c>
      <c r="N217" s="602">
        <v>0</v>
      </c>
      <c r="O217" s="602">
        <v>0</v>
      </c>
      <c r="P217" s="498">
        <v>0</v>
      </c>
      <c r="Q217" s="602">
        <v>0</v>
      </c>
      <c r="R217" s="602">
        <v>0</v>
      </c>
      <c r="S217" s="602">
        <v>0</v>
      </c>
      <c r="T217" s="602">
        <v>0</v>
      </c>
      <c r="U217" s="602">
        <v>0</v>
      </c>
      <c r="V217" s="602">
        <v>0</v>
      </c>
      <c r="W217" s="602">
        <v>0</v>
      </c>
      <c r="X217" s="602">
        <v>0</v>
      </c>
      <c r="Y217" s="602">
        <v>0</v>
      </c>
      <c r="Z217" s="602">
        <v>0</v>
      </c>
      <c r="AA217" s="602">
        <v>0</v>
      </c>
      <c r="AB217" s="602">
        <v>0</v>
      </c>
      <c r="AC217" s="602">
        <v>0</v>
      </c>
      <c r="AD217" s="602">
        <v>0</v>
      </c>
      <c r="AE217" s="602">
        <v>0</v>
      </c>
      <c r="AF217" s="602">
        <v>0</v>
      </c>
      <c r="AG217" s="602">
        <v>0</v>
      </c>
      <c r="AH217" s="602">
        <v>0</v>
      </c>
      <c r="AI217" s="602">
        <v>0</v>
      </c>
      <c r="AJ217" s="498">
        <v>0</v>
      </c>
      <c r="AK217" s="498">
        <v>0</v>
      </c>
      <c r="AL217" s="602">
        <v>0</v>
      </c>
      <c r="AM217" s="602">
        <v>0</v>
      </c>
      <c r="AN217" s="498">
        <v>0</v>
      </c>
      <c r="AO217" s="603">
        <v>0</v>
      </c>
    </row>
    <row r="218" spans="1:41" s="555" customFormat="1" ht="12" thickBot="1">
      <c r="A218" s="918"/>
      <c r="B218" s="918"/>
      <c r="C218" s="919"/>
      <c r="D218" s="600" t="s">
        <v>407</v>
      </c>
      <c r="E218" s="600" t="s">
        <v>407</v>
      </c>
      <c r="F218" s="600" t="s">
        <v>407</v>
      </c>
      <c r="G218" s="600" t="s">
        <v>407</v>
      </c>
      <c r="H218" s="601">
        <v>270091</v>
      </c>
      <c r="I218" s="602">
        <v>0</v>
      </c>
      <c r="J218" s="602">
        <v>0</v>
      </c>
      <c r="K218" s="776">
        <v>0</v>
      </c>
      <c r="L218" s="776">
        <v>0</v>
      </c>
      <c r="M218" s="498">
        <v>0</v>
      </c>
      <c r="N218" s="602">
        <v>0</v>
      </c>
      <c r="O218" s="602">
        <v>0</v>
      </c>
      <c r="P218" s="498">
        <v>0</v>
      </c>
      <c r="Q218" s="602">
        <v>0</v>
      </c>
      <c r="R218" s="602">
        <v>0</v>
      </c>
      <c r="S218" s="602">
        <v>0</v>
      </c>
      <c r="T218" s="602">
        <v>0</v>
      </c>
      <c r="U218" s="602">
        <v>0</v>
      </c>
      <c r="V218" s="602">
        <v>0</v>
      </c>
      <c r="W218" s="602">
        <v>0</v>
      </c>
      <c r="X218" s="602">
        <v>0</v>
      </c>
      <c r="Y218" s="602">
        <v>0</v>
      </c>
      <c r="Z218" s="602">
        <v>0</v>
      </c>
      <c r="AA218" s="602">
        <v>0</v>
      </c>
      <c r="AB218" s="602">
        <v>0</v>
      </c>
      <c r="AC218" s="602">
        <v>0</v>
      </c>
      <c r="AD218" s="602">
        <v>0</v>
      </c>
      <c r="AE218" s="602">
        <v>0</v>
      </c>
      <c r="AF218" s="602">
        <v>0</v>
      </c>
      <c r="AG218" s="602">
        <v>0</v>
      </c>
      <c r="AH218" s="602">
        <v>0</v>
      </c>
      <c r="AI218" s="602">
        <v>0</v>
      </c>
      <c r="AJ218" s="498">
        <v>0</v>
      </c>
      <c r="AK218" s="498">
        <v>0</v>
      </c>
      <c r="AL218" s="602">
        <v>0</v>
      </c>
      <c r="AM218" s="602">
        <v>0</v>
      </c>
      <c r="AN218" s="498">
        <v>0</v>
      </c>
      <c r="AO218" s="603">
        <v>0</v>
      </c>
    </row>
    <row r="219" spans="1:41" s="502" customFormat="1" ht="12" thickBot="1">
      <c r="A219" s="918"/>
      <c r="B219" s="918"/>
      <c r="C219" s="920" t="s">
        <v>408</v>
      </c>
      <c r="D219" s="608" t="s">
        <v>411</v>
      </c>
      <c r="E219" s="608" t="s">
        <v>411</v>
      </c>
      <c r="F219" s="608" t="s">
        <v>411</v>
      </c>
      <c r="G219" s="608" t="s">
        <v>411</v>
      </c>
      <c r="H219" s="609">
        <v>270104</v>
      </c>
      <c r="I219" s="610">
        <v>0</v>
      </c>
      <c r="J219" s="610">
        <v>0</v>
      </c>
      <c r="K219" s="778">
        <v>0</v>
      </c>
      <c r="L219" s="778">
        <v>0</v>
      </c>
      <c r="M219" s="501">
        <v>0</v>
      </c>
      <c r="N219" s="610">
        <v>0</v>
      </c>
      <c r="O219" s="610">
        <v>0</v>
      </c>
      <c r="P219" s="501">
        <v>0</v>
      </c>
      <c r="Q219" s="610">
        <v>0</v>
      </c>
      <c r="R219" s="610">
        <v>0</v>
      </c>
      <c r="S219" s="610">
        <v>0</v>
      </c>
      <c r="T219" s="610">
        <v>0</v>
      </c>
      <c r="U219" s="610">
        <v>0</v>
      </c>
      <c r="V219" s="610">
        <v>0</v>
      </c>
      <c r="W219" s="610">
        <v>0</v>
      </c>
      <c r="X219" s="610">
        <v>0</v>
      </c>
      <c r="Y219" s="610">
        <v>0</v>
      </c>
      <c r="Z219" s="610">
        <v>0</v>
      </c>
      <c r="AA219" s="610">
        <v>0</v>
      </c>
      <c r="AB219" s="610">
        <v>0</v>
      </c>
      <c r="AC219" s="610">
        <v>0</v>
      </c>
      <c r="AD219" s="610">
        <v>0</v>
      </c>
      <c r="AE219" s="610">
        <v>0</v>
      </c>
      <c r="AF219" s="610">
        <v>0</v>
      </c>
      <c r="AG219" s="610">
        <v>0</v>
      </c>
      <c r="AH219" s="610">
        <v>0</v>
      </c>
      <c r="AI219" s="610">
        <v>0</v>
      </c>
      <c r="AJ219" s="501">
        <v>0</v>
      </c>
      <c r="AK219" s="501">
        <v>0</v>
      </c>
      <c r="AL219" s="610">
        <v>0</v>
      </c>
      <c r="AM219" s="610">
        <v>0</v>
      </c>
      <c r="AN219" s="501">
        <v>0</v>
      </c>
      <c r="AO219" s="611">
        <v>0</v>
      </c>
    </row>
    <row r="220" spans="1:41" s="502" customFormat="1" ht="12" thickBot="1">
      <c r="A220" s="918"/>
      <c r="B220" s="918"/>
      <c r="C220" s="921"/>
      <c r="D220" s="608" t="s">
        <v>412</v>
      </c>
      <c r="E220" s="608" t="s">
        <v>412</v>
      </c>
      <c r="F220" s="608" t="s">
        <v>412</v>
      </c>
      <c r="G220" s="608" t="s">
        <v>412</v>
      </c>
      <c r="H220" s="609">
        <v>270108</v>
      </c>
      <c r="I220" s="610">
        <v>90352373.667071998</v>
      </c>
      <c r="J220" s="610">
        <v>3.36138068903381</v>
      </c>
      <c r="K220" s="778">
        <v>73620343.203485996</v>
      </c>
      <c r="L220" s="778">
        <v>1144383.477495</v>
      </c>
      <c r="M220" s="501">
        <v>3.1346425954017501</v>
      </c>
      <c r="N220" s="610">
        <v>1.28403458680173</v>
      </c>
      <c r="O220" s="610">
        <v>1.85060800860004</v>
      </c>
      <c r="P220" s="501">
        <v>468770.49645899999</v>
      </c>
      <c r="Q220" s="610">
        <v>675612.98103599995</v>
      </c>
      <c r="R220" s="610">
        <v>0</v>
      </c>
      <c r="S220" s="610">
        <v>0</v>
      </c>
      <c r="T220" s="610">
        <v>0</v>
      </c>
      <c r="U220" s="610">
        <v>0</v>
      </c>
      <c r="V220" s="610">
        <v>0</v>
      </c>
      <c r="W220" s="610">
        <v>0</v>
      </c>
      <c r="X220" s="610">
        <v>0</v>
      </c>
      <c r="Y220" s="610">
        <v>0</v>
      </c>
      <c r="Z220" s="610">
        <v>0</v>
      </c>
      <c r="AA220" s="610">
        <v>0</v>
      </c>
      <c r="AB220" s="610">
        <v>0</v>
      </c>
      <c r="AC220" s="610">
        <v>0</v>
      </c>
      <c r="AD220" s="610">
        <v>0</v>
      </c>
      <c r="AE220" s="610">
        <v>0</v>
      </c>
      <c r="AF220" s="610">
        <v>0</v>
      </c>
      <c r="AG220" s="610">
        <v>0</v>
      </c>
      <c r="AH220" s="610">
        <v>0</v>
      </c>
      <c r="AI220" s="610">
        <v>0</v>
      </c>
      <c r="AJ220" s="501">
        <v>0</v>
      </c>
      <c r="AK220" s="501">
        <v>0</v>
      </c>
      <c r="AL220" s="610">
        <v>1.28403458680173</v>
      </c>
      <c r="AM220" s="610">
        <v>1.85060800860004</v>
      </c>
      <c r="AN220" s="501">
        <v>468770.49645899999</v>
      </c>
      <c r="AO220" s="611">
        <v>675612.98103599995</v>
      </c>
    </row>
    <row r="221" spans="1:41" s="502" customFormat="1" ht="12" thickBot="1">
      <c r="A221" s="918"/>
      <c r="B221" s="918"/>
      <c r="C221" s="921"/>
      <c r="D221" s="608" t="s">
        <v>413</v>
      </c>
      <c r="E221" s="608" t="s">
        <v>413</v>
      </c>
      <c r="F221" s="608" t="s">
        <v>413</v>
      </c>
      <c r="G221" s="608" t="s">
        <v>413</v>
      </c>
      <c r="H221" s="609">
        <v>270109</v>
      </c>
      <c r="I221" s="610">
        <v>10485949.194304001</v>
      </c>
      <c r="J221" s="610">
        <v>3.9000000000000399</v>
      </c>
      <c r="K221" s="778">
        <v>11740176.561891001</v>
      </c>
      <c r="L221" s="778">
        <v>208374.535565</v>
      </c>
      <c r="M221" s="501">
        <v>3.5791863137556401</v>
      </c>
      <c r="N221" s="610">
        <v>1.41039832035931</v>
      </c>
      <c r="O221" s="610">
        <v>2.1687879933962302</v>
      </c>
      <c r="P221" s="501">
        <v>82111.147396</v>
      </c>
      <c r="Q221" s="610">
        <v>126263.388169</v>
      </c>
      <c r="R221" s="610">
        <v>0</v>
      </c>
      <c r="S221" s="610">
        <v>0</v>
      </c>
      <c r="T221" s="610">
        <v>0</v>
      </c>
      <c r="U221" s="610">
        <v>0</v>
      </c>
      <c r="V221" s="610">
        <v>0</v>
      </c>
      <c r="W221" s="610">
        <v>0</v>
      </c>
      <c r="X221" s="610">
        <v>0</v>
      </c>
      <c r="Y221" s="610">
        <v>0</v>
      </c>
      <c r="Z221" s="610">
        <v>0</v>
      </c>
      <c r="AA221" s="610">
        <v>0</v>
      </c>
      <c r="AB221" s="610">
        <v>0</v>
      </c>
      <c r="AC221" s="610">
        <v>0</v>
      </c>
      <c r="AD221" s="610">
        <v>0</v>
      </c>
      <c r="AE221" s="610">
        <v>0</v>
      </c>
      <c r="AF221" s="610">
        <v>0</v>
      </c>
      <c r="AG221" s="610">
        <v>0</v>
      </c>
      <c r="AH221" s="610">
        <v>0</v>
      </c>
      <c r="AI221" s="610">
        <v>0</v>
      </c>
      <c r="AJ221" s="501">
        <v>0</v>
      </c>
      <c r="AK221" s="501">
        <v>0</v>
      </c>
      <c r="AL221" s="610">
        <v>1.41039832035931</v>
      </c>
      <c r="AM221" s="610">
        <v>2.1687879933962302</v>
      </c>
      <c r="AN221" s="501">
        <v>82111.147396</v>
      </c>
      <c r="AO221" s="611">
        <v>126263.388169</v>
      </c>
    </row>
    <row r="222" spans="1:41" s="502" customFormat="1" ht="12" thickBot="1">
      <c r="A222" s="918"/>
      <c r="B222" s="918"/>
      <c r="C222" s="922"/>
      <c r="D222" s="608" t="s">
        <v>414</v>
      </c>
      <c r="E222" s="608" t="s">
        <v>414</v>
      </c>
      <c r="F222" s="608" t="s">
        <v>414</v>
      </c>
      <c r="G222" s="608" t="s">
        <v>414</v>
      </c>
      <c r="H222" s="609">
        <v>270111</v>
      </c>
      <c r="I222" s="610">
        <v>15335749.673888</v>
      </c>
      <c r="J222" s="610">
        <v>3.8999999999999901</v>
      </c>
      <c r="K222" s="778">
        <v>13463632.505942</v>
      </c>
      <c r="L222" s="778">
        <v>240364.53064800001</v>
      </c>
      <c r="M222" s="501">
        <v>3.6001651380413602</v>
      </c>
      <c r="N222" s="610">
        <v>1.4809137435825299</v>
      </c>
      <c r="O222" s="610">
        <v>2.1192513944588498</v>
      </c>
      <c r="P222" s="501">
        <v>98873.002559</v>
      </c>
      <c r="Q222" s="610">
        <v>141491.528089</v>
      </c>
      <c r="R222" s="610">
        <v>0</v>
      </c>
      <c r="S222" s="610">
        <v>0</v>
      </c>
      <c r="T222" s="610">
        <v>0</v>
      </c>
      <c r="U222" s="610">
        <v>0</v>
      </c>
      <c r="V222" s="610">
        <v>0</v>
      </c>
      <c r="W222" s="610">
        <v>0</v>
      </c>
      <c r="X222" s="610">
        <v>0</v>
      </c>
      <c r="Y222" s="610">
        <v>0</v>
      </c>
      <c r="Z222" s="610">
        <v>0</v>
      </c>
      <c r="AA222" s="610">
        <v>0</v>
      </c>
      <c r="AB222" s="610">
        <v>0</v>
      </c>
      <c r="AC222" s="610">
        <v>0</v>
      </c>
      <c r="AD222" s="610">
        <v>0</v>
      </c>
      <c r="AE222" s="610">
        <v>0</v>
      </c>
      <c r="AF222" s="610">
        <v>0</v>
      </c>
      <c r="AG222" s="610">
        <v>0</v>
      </c>
      <c r="AH222" s="610">
        <v>0</v>
      </c>
      <c r="AI222" s="610">
        <v>0</v>
      </c>
      <c r="AJ222" s="501">
        <v>0</v>
      </c>
      <c r="AK222" s="501">
        <v>0</v>
      </c>
      <c r="AL222" s="610">
        <v>1.4809137435825299</v>
      </c>
      <c r="AM222" s="610">
        <v>2.1192513944588498</v>
      </c>
      <c r="AN222" s="501">
        <v>98873.002559</v>
      </c>
      <c r="AO222" s="611">
        <v>141491.528089</v>
      </c>
    </row>
    <row r="223" spans="1:41" s="502" customFormat="1" ht="12" thickBot="1">
      <c r="A223" s="918"/>
      <c r="B223" s="918"/>
      <c r="C223" s="920" t="s">
        <v>415</v>
      </c>
      <c r="D223" s="608" t="s">
        <v>416</v>
      </c>
      <c r="E223" s="608" t="s">
        <v>416</v>
      </c>
      <c r="F223" s="608" t="s">
        <v>416</v>
      </c>
      <c r="G223" s="608" t="s">
        <v>416</v>
      </c>
      <c r="H223" s="609">
        <v>270132</v>
      </c>
      <c r="I223" s="610">
        <v>57454462.640000001</v>
      </c>
      <c r="J223" s="610">
        <v>4.3717476579291903</v>
      </c>
      <c r="K223" s="778">
        <v>65210919.015137002</v>
      </c>
      <c r="L223" s="778">
        <v>5801173.4245769996</v>
      </c>
      <c r="M223" s="501">
        <v>17.939478651036499</v>
      </c>
      <c r="N223" s="610">
        <v>4.4045323860282704</v>
      </c>
      <c r="O223" s="610">
        <v>13.5349462650079</v>
      </c>
      <c r="P223" s="501">
        <v>1424314.313841</v>
      </c>
      <c r="Q223" s="610">
        <v>4376859.1107360004</v>
      </c>
      <c r="R223" s="610">
        <v>0</v>
      </c>
      <c r="S223" s="610">
        <v>0</v>
      </c>
      <c r="T223" s="610">
        <v>0</v>
      </c>
      <c r="U223" s="610">
        <v>0</v>
      </c>
      <c r="V223" s="610">
        <v>0</v>
      </c>
      <c r="W223" s="610">
        <v>0</v>
      </c>
      <c r="X223" s="610">
        <v>-3.6680797400946E-2</v>
      </c>
      <c r="Y223" s="610">
        <v>-11861.641646</v>
      </c>
      <c r="Z223" s="610">
        <v>0</v>
      </c>
      <c r="AA223" s="610">
        <v>0</v>
      </c>
      <c r="AB223" s="610">
        <v>0</v>
      </c>
      <c r="AC223" s="610">
        <v>0</v>
      </c>
      <c r="AD223" s="610">
        <v>-0.97437117620680203</v>
      </c>
      <c r="AE223" s="610">
        <v>-315086.98123500001</v>
      </c>
      <c r="AF223" s="610">
        <v>0</v>
      </c>
      <c r="AG223" s="610">
        <v>0</v>
      </c>
      <c r="AH223" s="610">
        <v>0</v>
      </c>
      <c r="AI223" s="610">
        <v>0</v>
      </c>
      <c r="AJ223" s="501">
        <v>0</v>
      </c>
      <c r="AK223" s="501">
        <v>0</v>
      </c>
      <c r="AL223" s="610">
        <v>3.24108093144519</v>
      </c>
      <c r="AM223" s="610">
        <v>14.698397719591</v>
      </c>
      <c r="AN223" s="501">
        <v>1048083.555389</v>
      </c>
      <c r="AO223" s="611">
        <v>4753089.8691880004</v>
      </c>
    </row>
    <row r="224" spans="1:41" s="502" customFormat="1" ht="12" thickBot="1">
      <c r="A224" s="918"/>
      <c r="B224" s="918"/>
      <c r="C224" s="922"/>
      <c r="D224" s="608" t="s">
        <v>2714</v>
      </c>
      <c r="E224" s="608" t="s">
        <v>2714</v>
      </c>
      <c r="F224" s="608" t="s">
        <v>2714</v>
      </c>
      <c r="G224" s="608" t="s">
        <v>2714</v>
      </c>
      <c r="H224" s="609">
        <v>270137</v>
      </c>
      <c r="I224" s="610">
        <v>0</v>
      </c>
      <c r="J224" s="610">
        <v>0</v>
      </c>
      <c r="K224" s="778">
        <v>112687396.60221</v>
      </c>
      <c r="L224" s="778">
        <v>521799.80199000001</v>
      </c>
      <c r="M224" s="501">
        <v>0.93377631501867597</v>
      </c>
      <c r="N224" s="610">
        <v>3.96937500002013</v>
      </c>
      <c r="O224" s="610">
        <v>-3.0355986850014598</v>
      </c>
      <c r="P224" s="501">
        <v>2218110.5428800001</v>
      </c>
      <c r="Q224" s="610">
        <v>-1696310.74089</v>
      </c>
      <c r="R224" s="610">
        <v>0</v>
      </c>
      <c r="S224" s="610">
        <v>0</v>
      </c>
      <c r="T224" s="610">
        <v>0</v>
      </c>
      <c r="U224" s="610">
        <v>0</v>
      </c>
      <c r="V224" s="610">
        <v>0</v>
      </c>
      <c r="W224" s="610">
        <v>0</v>
      </c>
      <c r="X224" s="610">
        <v>-0.14316238713844401</v>
      </c>
      <c r="Y224" s="610">
        <v>-80000.000064000007</v>
      </c>
      <c r="Z224" s="610">
        <v>0</v>
      </c>
      <c r="AA224" s="610">
        <v>0</v>
      </c>
      <c r="AB224" s="610">
        <v>0</v>
      </c>
      <c r="AC224" s="610">
        <v>0</v>
      </c>
      <c r="AD224" s="610">
        <v>0</v>
      </c>
      <c r="AE224" s="610">
        <v>0</v>
      </c>
      <c r="AF224" s="610">
        <v>0</v>
      </c>
      <c r="AG224" s="610">
        <v>0</v>
      </c>
      <c r="AH224" s="610">
        <v>0</v>
      </c>
      <c r="AI224" s="610">
        <v>0</v>
      </c>
      <c r="AJ224" s="501">
        <v>0</v>
      </c>
      <c r="AK224" s="501">
        <v>0</v>
      </c>
      <c r="AL224" s="610">
        <v>3.8262126128816898</v>
      </c>
      <c r="AM224" s="610">
        <v>-2.8924362978630098</v>
      </c>
      <c r="AN224" s="501">
        <v>2138110.5428160001</v>
      </c>
      <c r="AO224" s="611">
        <v>-1616310.740826</v>
      </c>
    </row>
    <row r="225" spans="1:41" s="502" customFormat="1" ht="12" thickBot="1">
      <c r="A225" s="918"/>
      <c r="B225" s="919"/>
      <c r="C225" s="608" t="s">
        <v>3566</v>
      </c>
      <c r="D225" s="608" t="s">
        <v>3567</v>
      </c>
      <c r="E225" s="608" t="s">
        <v>3567</v>
      </c>
      <c r="F225" s="608" t="s">
        <v>3567</v>
      </c>
      <c r="G225" s="608" t="s">
        <v>3567</v>
      </c>
      <c r="H225" s="609">
        <v>270141</v>
      </c>
      <c r="I225" s="610">
        <v>5026123.2</v>
      </c>
      <c r="J225" s="610">
        <v>5.5447487415350301</v>
      </c>
      <c r="K225" s="778">
        <v>14890201.933258999</v>
      </c>
      <c r="L225" s="778">
        <v>380748.86800399999</v>
      </c>
      <c r="M225" s="501">
        <v>5.1564679523338697</v>
      </c>
      <c r="N225" s="610">
        <v>0</v>
      </c>
      <c r="O225" s="610">
        <v>5.1564679523336396</v>
      </c>
      <c r="P225" s="501">
        <v>0</v>
      </c>
      <c r="Q225" s="610">
        <v>380748.86800399999</v>
      </c>
      <c r="R225" s="610">
        <v>0</v>
      </c>
      <c r="S225" s="610">
        <v>0</v>
      </c>
      <c r="T225" s="610">
        <v>0</v>
      </c>
      <c r="U225" s="610">
        <v>0</v>
      </c>
      <c r="V225" s="610">
        <v>0</v>
      </c>
      <c r="W225" s="610">
        <v>0</v>
      </c>
      <c r="X225" s="610">
        <v>-1.4914273280671001E-2</v>
      </c>
      <c r="Y225" s="610">
        <v>-1101.256271</v>
      </c>
      <c r="Z225" s="610">
        <v>0</v>
      </c>
      <c r="AA225" s="610">
        <v>0</v>
      </c>
      <c r="AB225" s="610">
        <v>0</v>
      </c>
      <c r="AC225" s="610">
        <v>0</v>
      </c>
      <c r="AD225" s="610">
        <v>0</v>
      </c>
      <c r="AE225" s="610">
        <v>0</v>
      </c>
      <c r="AF225" s="610">
        <v>0</v>
      </c>
      <c r="AG225" s="610">
        <v>0</v>
      </c>
      <c r="AH225" s="610">
        <v>0</v>
      </c>
      <c r="AI225" s="610">
        <v>0</v>
      </c>
      <c r="AJ225" s="501">
        <v>0</v>
      </c>
      <c r="AK225" s="501">
        <v>0</v>
      </c>
      <c r="AL225" s="610">
        <v>-1.4914273280671001E-2</v>
      </c>
      <c r="AM225" s="610">
        <v>5.1713822256143098</v>
      </c>
      <c r="AN225" s="501">
        <v>-1101.256271</v>
      </c>
      <c r="AO225" s="611">
        <v>381850.12427500001</v>
      </c>
    </row>
    <row r="226" spans="1:41" s="555" customFormat="1" ht="12" thickBot="1">
      <c r="A226" s="918"/>
      <c r="B226" s="600" t="s">
        <v>2873</v>
      </c>
      <c r="C226" s="600" t="s">
        <v>443</v>
      </c>
      <c r="D226" s="600" t="s">
        <v>443</v>
      </c>
      <c r="E226" s="600" t="s">
        <v>443</v>
      </c>
      <c r="F226" s="600" t="s">
        <v>443</v>
      </c>
      <c r="G226" s="600" t="s">
        <v>444</v>
      </c>
      <c r="H226" s="601">
        <v>271070</v>
      </c>
      <c r="I226" s="602">
        <v>895513.73</v>
      </c>
      <c r="J226" s="602">
        <v>0</v>
      </c>
      <c r="K226" s="776">
        <v>895513.73</v>
      </c>
      <c r="L226" s="776">
        <v>0</v>
      </c>
      <c r="M226" s="498">
        <v>0</v>
      </c>
      <c r="N226" s="602">
        <v>3.6926630517027799</v>
      </c>
      <c r="O226" s="602">
        <v>-3.6926630517027799</v>
      </c>
      <c r="P226" s="498">
        <v>16398.255173000001</v>
      </c>
      <c r="Q226" s="602">
        <v>-16398.255173000001</v>
      </c>
      <c r="R226" s="602">
        <v>0</v>
      </c>
      <c r="S226" s="602">
        <v>0</v>
      </c>
      <c r="T226" s="602">
        <v>0</v>
      </c>
      <c r="U226" s="602">
        <v>0</v>
      </c>
      <c r="V226" s="602">
        <v>0</v>
      </c>
      <c r="W226" s="602">
        <v>0</v>
      </c>
      <c r="X226" s="602">
        <v>-0.20165744933089599</v>
      </c>
      <c r="Y226" s="602">
        <v>-895.513689</v>
      </c>
      <c r="Z226" s="602">
        <v>0</v>
      </c>
      <c r="AA226" s="602">
        <v>0</v>
      </c>
      <c r="AB226" s="602">
        <v>0</v>
      </c>
      <c r="AC226" s="602">
        <v>0</v>
      </c>
      <c r="AD226" s="602">
        <v>0</v>
      </c>
      <c r="AE226" s="602">
        <v>0</v>
      </c>
      <c r="AF226" s="602">
        <v>0</v>
      </c>
      <c r="AG226" s="602">
        <v>0</v>
      </c>
      <c r="AH226" s="602">
        <v>0</v>
      </c>
      <c r="AI226" s="602">
        <v>0</v>
      </c>
      <c r="AJ226" s="498">
        <v>0</v>
      </c>
      <c r="AK226" s="498">
        <v>0</v>
      </c>
      <c r="AL226" s="602">
        <v>3.4910055814295502</v>
      </c>
      <c r="AM226" s="602">
        <v>-3.4910055814295502</v>
      </c>
      <c r="AN226" s="498">
        <v>15502.741391</v>
      </c>
      <c r="AO226" s="603">
        <v>-15502.741391</v>
      </c>
    </row>
    <row r="227" spans="1:41" s="555" customFormat="1" ht="12" thickBot="1">
      <c r="A227" s="918"/>
      <c r="B227" s="917" t="s">
        <v>418</v>
      </c>
      <c r="C227" s="923" t="s">
        <v>419</v>
      </c>
      <c r="D227" s="923" t="s">
        <v>420</v>
      </c>
      <c r="E227" s="612" t="s">
        <v>421</v>
      </c>
      <c r="F227" s="612" t="s">
        <v>421</v>
      </c>
      <c r="G227" s="612" t="s">
        <v>421</v>
      </c>
      <c r="H227" s="613">
        <v>271001</v>
      </c>
      <c r="I227" s="614">
        <v>30381216087.93</v>
      </c>
      <c r="J227" s="614">
        <v>4.54391859519174</v>
      </c>
      <c r="K227" s="780">
        <v>28515041371.7015</v>
      </c>
      <c r="L227" s="780">
        <v>607537171.30675006</v>
      </c>
      <c r="M227" s="554">
        <v>4.2964834015700504</v>
      </c>
      <c r="N227" s="614">
        <v>3.42621456402963</v>
      </c>
      <c r="O227" s="614">
        <v>0.87026883754042095</v>
      </c>
      <c r="P227" s="554">
        <v>484478237.19274598</v>
      </c>
      <c r="Q227" s="614">
        <v>123058934.114004</v>
      </c>
      <c r="R227" s="614">
        <v>0</v>
      </c>
      <c r="S227" s="614">
        <v>0</v>
      </c>
      <c r="T227" s="614">
        <v>0.45967972869682799</v>
      </c>
      <c r="U227" s="614">
        <v>65000256.250837997</v>
      </c>
      <c r="V227" s="614">
        <v>0</v>
      </c>
      <c r="W227" s="614">
        <v>0</v>
      </c>
      <c r="X227" s="614">
        <v>-0.67445136182865695</v>
      </c>
      <c r="Y227" s="614">
        <v>-95369685.91561</v>
      </c>
      <c r="Z227" s="614">
        <v>-0.191495559086373</v>
      </c>
      <c r="AA227" s="614">
        <v>-27078114.683889002</v>
      </c>
      <c r="AB227" s="614">
        <v>0</v>
      </c>
      <c r="AC227" s="614">
        <v>0</v>
      </c>
      <c r="AD227" s="614">
        <v>-3.822608222766E-3</v>
      </c>
      <c r="AE227" s="614">
        <v>-540529.63077299995</v>
      </c>
      <c r="AF227" s="614">
        <v>0</v>
      </c>
      <c r="AG227" s="614">
        <v>0</v>
      </c>
      <c r="AH227" s="614">
        <v>0</v>
      </c>
      <c r="AI227" s="614">
        <v>0</v>
      </c>
      <c r="AJ227" s="554">
        <v>-7.0410535609999995E-5</v>
      </c>
      <c r="AK227" s="554">
        <v>-9956.2860220000002</v>
      </c>
      <c r="AL227" s="614">
        <v>3.01319921163326</v>
      </c>
      <c r="AM227" s="614">
        <v>1.2832841899367899</v>
      </c>
      <c r="AN227" s="554">
        <v>426076480.34912401</v>
      </c>
      <c r="AO227" s="615">
        <v>181460690.95762599</v>
      </c>
    </row>
    <row r="228" spans="1:41" s="555" customFormat="1" ht="12" thickBot="1">
      <c r="A228" s="918"/>
      <c r="B228" s="918"/>
      <c r="C228" s="924"/>
      <c r="D228" s="924"/>
      <c r="E228" s="612" t="s">
        <v>422</v>
      </c>
      <c r="F228" s="612" t="s">
        <v>422</v>
      </c>
      <c r="G228" s="612" t="s">
        <v>422</v>
      </c>
      <c r="H228" s="613">
        <v>271004</v>
      </c>
      <c r="I228" s="614">
        <v>703673049.01999998</v>
      </c>
      <c r="J228" s="614">
        <v>4.5062105545987698</v>
      </c>
      <c r="K228" s="780">
        <v>722981046.92226398</v>
      </c>
      <c r="L228" s="780">
        <v>15501591.907330001</v>
      </c>
      <c r="M228" s="554">
        <v>4.3237808806035796</v>
      </c>
      <c r="N228" s="614">
        <v>3.3854354663069302</v>
      </c>
      <c r="O228" s="614">
        <v>0.93834541429664098</v>
      </c>
      <c r="P228" s="554">
        <v>12137441.853891</v>
      </c>
      <c r="Q228" s="614">
        <v>3364150.0534390002</v>
      </c>
      <c r="R228" s="614">
        <v>0</v>
      </c>
      <c r="S228" s="614">
        <v>0</v>
      </c>
      <c r="T228" s="614">
        <v>0.52086204036046801</v>
      </c>
      <c r="U228" s="614">
        <v>1867391.2977199999</v>
      </c>
      <c r="V228" s="614">
        <v>0</v>
      </c>
      <c r="W228" s="614">
        <v>0</v>
      </c>
      <c r="X228" s="614">
        <v>-0.17982386135469</v>
      </c>
      <c r="Y228" s="614">
        <v>-644703.37209399999</v>
      </c>
      <c r="Z228" s="614">
        <v>-0.346697238327279</v>
      </c>
      <c r="AA228" s="614">
        <v>-1242976.7493670001</v>
      </c>
      <c r="AB228" s="614">
        <v>0</v>
      </c>
      <c r="AC228" s="614">
        <v>0</v>
      </c>
      <c r="AD228" s="614">
        <v>-3.7516815103350002E-3</v>
      </c>
      <c r="AE228" s="614">
        <v>-13450.504858</v>
      </c>
      <c r="AF228" s="614">
        <v>0</v>
      </c>
      <c r="AG228" s="614">
        <v>0</v>
      </c>
      <c r="AH228" s="614">
        <v>0</v>
      </c>
      <c r="AI228" s="614">
        <v>0</v>
      </c>
      <c r="AJ228" s="554">
        <v>0</v>
      </c>
      <c r="AK228" s="554">
        <v>0</v>
      </c>
      <c r="AL228" s="614">
        <v>3.3708816801915198</v>
      </c>
      <c r="AM228" s="614">
        <v>0.952899200412053</v>
      </c>
      <c r="AN228" s="554">
        <v>12085263.711820999</v>
      </c>
      <c r="AO228" s="615">
        <v>3416328.1955090002</v>
      </c>
    </row>
    <row r="229" spans="1:41" s="555" customFormat="1" ht="12" thickBot="1">
      <c r="A229" s="918"/>
      <c r="B229" s="918"/>
      <c r="C229" s="924"/>
      <c r="D229" s="925"/>
      <c r="E229" s="612" t="s">
        <v>423</v>
      </c>
      <c r="F229" s="612" t="s">
        <v>423</v>
      </c>
      <c r="G229" s="612" t="s">
        <v>423</v>
      </c>
      <c r="H229" s="613">
        <v>271005</v>
      </c>
      <c r="I229" s="614">
        <v>4258146.38</v>
      </c>
      <c r="J229" s="614">
        <v>4.1494244266140097</v>
      </c>
      <c r="K229" s="780">
        <v>4512105.9844749998</v>
      </c>
      <c r="L229" s="780">
        <v>88973.622535000002</v>
      </c>
      <c r="M229" s="554">
        <v>3.9764568166913499</v>
      </c>
      <c r="N229" s="614">
        <v>3.51622722681202</v>
      </c>
      <c r="O229" s="614">
        <v>0.46022958987920998</v>
      </c>
      <c r="P229" s="554">
        <v>78675.939020000005</v>
      </c>
      <c r="Q229" s="614">
        <v>10297.683515000001</v>
      </c>
      <c r="R229" s="614">
        <v>0</v>
      </c>
      <c r="S229" s="614">
        <v>0</v>
      </c>
      <c r="T229" s="614">
        <v>0.39906871835749602</v>
      </c>
      <c r="U229" s="614">
        <v>8929.2028429999991</v>
      </c>
      <c r="V229" s="614">
        <v>0</v>
      </c>
      <c r="W229" s="614">
        <v>0</v>
      </c>
      <c r="X229" s="614">
        <v>0</v>
      </c>
      <c r="Y229" s="614">
        <v>0</v>
      </c>
      <c r="Z229" s="614">
        <v>-0.69646929196696195</v>
      </c>
      <c r="AA229" s="614">
        <v>-15583.570688</v>
      </c>
      <c r="AB229" s="614">
        <v>0</v>
      </c>
      <c r="AC229" s="614">
        <v>0</v>
      </c>
      <c r="AD229" s="614">
        <v>0</v>
      </c>
      <c r="AE229" s="614">
        <v>0</v>
      </c>
      <c r="AF229" s="614">
        <v>0</v>
      </c>
      <c r="AG229" s="614">
        <v>0</v>
      </c>
      <c r="AH229" s="614">
        <v>0</v>
      </c>
      <c r="AI229" s="614">
        <v>0</v>
      </c>
      <c r="AJ229" s="554">
        <v>0</v>
      </c>
      <c r="AK229" s="554">
        <v>0</v>
      </c>
      <c r="AL229" s="614">
        <v>3.21882665682265</v>
      </c>
      <c r="AM229" s="614">
        <v>0.75763015986858095</v>
      </c>
      <c r="AN229" s="554">
        <v>72021.571255999996</v>
      </c>
      <c r="AO229" s="615">
        <v>16952.051278999999</v>
      </c>
    </row>
    <row r="230" spans="1:41" s="555" customFormat="1" ht="12" thickBot="1">
      <c r="A230" s="918"/>
      <c r="B230" s="918"/>
      <c r="C230" s="924"/>
      <c r="D230" s="923" t="s">
        <v>424</v>
      </c>
      <c r="E230" s="612" t="s">
        <v>425</v>
      </c>
      <c r="F230" s="612" t="s">
        <v>425</v>
      </c>
      <c r="G230" s="612" t="s">
        <v>425</v>
      </c>
      <c r="H230" s="613">
        <v>271011</v>
      </c>
      <c r="I230" s="614">
        <v>7100507148.46</v>
      </c>
      <c r="J230" s="614">
        <v>4.19898570027524</v>
      </c>
      <c r="K230" s="780">
        <v>6178174406.74856</v>
      </c>
      <c r="L230" s="780">
        <v>120872068.59641001</v>
      </c>
      <c r="M230" s="554">
        <v>3.94530043338438</v>
      </c>
      <c r="N230" s="614">
        <v>3.4628681417726401</v>
      </c>
      <c r="O230" s="614">
        <v>0.482432291611743</v>
      </c>
      <c r="P230" s="554">
        <v>106091802.80184899</v>
      </c>
      <c r="Q230" s="614">
        <v>14780265.794561001</v>
      </c>
      <c r="R230" s="614">
        <v>0</v>
      </c>
      <c r="S230" s="614">
        <v>0</v>
      </c>
      <c r="T230" s="614">
        <v>0.43832146831546498</v>
      </c>
      <c r="U230" s="614">
        <v>13428843.628027</v>
      </c>
      <c r="V230" s="614">
        <v>0</v>
      </c>
      <c r="W230" s="614">
        <v>0</v>
      </c>
      <c r="X230" s="614">
        <v>-0.66083764694028102</v>
      </c>
      <c r="Y230" s="614">
        <v>-20246066.108465001</v>
      </c>
      <c r="Z230" s="614">
        <v>-0.37488691513057898</v>
      </c>
      <c r="AA230" s="614">
        <v>-11485400.842513001</v>
      </c>
      <c r="AB230" s="614">
        <v>0</v>
      </c>
      <c r="AC230" s="614">
        <v>0</v>
      </c>
      <c r="AD230" s="614">
        <v>-1.0276563539082999E-2</v>
      </c>
      <c r="AE230" s="614">
        <v>-314842.81463600002</v>
      </c>
      <c r="AF230" s="614">
        <v>0</v>
      </c>
      <c r="AG230" s="614">
        <v>0</v>
      </c>
      <c r="AH230" s="614">
        <v>0</v>
      </c>
      <c r="AI230" s="614">
        <v>0</v>
      </c>
      <c r="AJ230" s="554">
        <v>-1.60586592425E-4</v>
      </c>
      <c r="AK230" s="554">
        <v>-4919.8873299999996</v>
      </c>
      <c r="AL230" s="614">
        <v>2.8521204564562099</v>
      </c>
      <c r="AM230" s="614">
        <v>1.09317997692817</v>
      </c>
      <c r="AN230" s="554">
        <v>87380341.568124995</v>
      </c>
      <c r="AO230" s="615">
        <v>33491727.028285</v>
      </c>
    </row>
    <row r="231" spans="1:41" s="555" customFormat="1" ht="12" thickBot="1">
      <c r="A231" s="918"/>
      <c r="B231" s="918"/>
      <c r="C231" s="924"/>
      <c r="D231" s="924"/>
      <c r="E231" s="612" t="s">
        <v>426</v>
      </c>
      <c r="F231" s="612" t="s">
        <v>426</v>
      </c>
      <c r="G231" s="612" t="s">
        <v>426</v>
      </c>
      <c r="H231" s="613">
        <v>271054</v>
      </c>
      <c r="I231" s="614">
        <v>8419449.6899999995</v>
      </c>
      <c r="J231" s="614">
        <v>3.6086369043328799</v>
      </c>
      <c r="K231" s="780">
        <v>9092823.3130389992</v>
      </c>
      <c r="L231" s="780">
        <v>157445.59437199999</v>
      </c>
      <c r="M231" s="554">
        <v>3.4917733832520002</v>
      </c>
      <c r="N231" s="614">
        <v>3.49268609856404</v>
      </c>
      <c r="O231" s="614">
        <v>-9.1271531191000003E-4</v>
      </c>
      <c r="P231" s="554">
        <v>157486.749106</v>
      </c>
      <c r="Q231" s="614">
        <v>-41.154734000000097</v>
      </c>
      <c r="R231" s="614">
        <v>0</v>
      </c>
      <c r="S231" s="614">
        <v>0</v>
      </c>
      <c r="T231" s="614">
        <v>0.433252554018836</v>
      </c>
      <c r="U231" s="614">
        <v>19535.547813000001</v>
      </c>
      <c r="V231" s="614">
        <v>0</v>
      </c>
      <c r="W231" s="614">
        <v>0</v>
      </c>
      <c r="X231" s="614">
        <v>0</v>
      </c>
      <c r="Y231" s="614">
        <v>0</v>
      </c>
      <c r="Z231" s="614">
        <v>-1.2222450969835701</v>
      </c>
      <c r="AA231" s="614">
        <v>-55111.567860000003</v>
      </c>
      <c r="AB231" s="614">
        <v>0</v>
      </c>
      <c r="AC231" s="614">
        <v>0</v>
      </c>
      <c r="AD231" s="614">
        <v>0</v>
      </c>
      <c r="AE231" s="614">
        <v>0</v>
      </c>
      <c r="AF231" s="614">
        <v>0</v>
      </c>
      <c r="AG231" s="614">
        <v>0</v>
      </c>
      <c r="AH231" s="614">
        <v>0</v>
      </c>
      <c r="AI231" s="614">
        <v>0</v>
      </c>
      <c r="AJ231" s="554">
        <v>0</v>
      </c>
      <c r="AK231" s="554">
        <v>0</v>
      </c>
      <c r="AL231" s="614">
        <v>2.7025260836409402</v>
      </c>
      <c r="AM231" s="614">
        <v>0.789247299611191</v>
      </c>
      <c r="AN231" s="554">
        <v>121858.08723600001</v>
      </c>
      <c r="AO231" s="615">
        <v>35587.507136</v>
      </c>
    </row>
    <row r="232" spans="1:41" s="555" customFormat="1" ht="12" thickBot="1">
      <c r="A232" s="918"/>
      <c r="B232" s="918"/>
      <c r="C232" s="924"/>
      <c r="D232" s="924"/>
      <c r="E232" s="612" t="s">
        <v>3704</v>
      </c>
      <c r="F232" s="612" t="s">
        <v>3704</v>
      </c>
      <c r="G232" s="612" t="s">
        <v>3704</v>
      </c>
      <c r="H232" s="613">
        <v>271055</v>
      </c>
      <c r="I232" s="614">
        <v>9198306.5600000005</v>
      </c>
      <c r="J232" s="614">
        <v>4.2784139195513999</v>
      </c>
      <c r="K232" s="780">
        <v>3383911.505746</v>
      </c>
      <c r="L232" s="780">
        <v>64668.217019999996</v>
      </c>
      <c r="M232" s="554">
        <v>3.8537734429356698</v>
      </c>
      <c r="N232" s="614">
        <v>3.4937667838964499</v>
      </c>
      <c r="O232" s="614">
        <v>0.360006659039387</v>
      </c>
      <c r="P232" s="554">
        <v>58627.127915999998</v>
      </c>
      <c r="Q232" s="614">
        <v>6041.0891039999997</v>
      </c>
      <c r="R232" s="614">
        <v>0</v>
      </c>
      <c r="S232" s="614">
        <v>0</v>
      </c>
      <c r="T232" s="614">
        <v>0.39940156233028501</v>
      </c>
      <c r="U232" s="614">
        <v>6702.15499</v>
      </c>
      <c r="V232" s="614">
        <v>0</v>
      </c>
      <c r="W232" s="614">
        <v>0</v>
      </c>
      <c r="X232" s="614">
        <v>-1.22669144261444</v>
      </c>
      <c r="Y232" s="614">
        <v>-20584.486764000001</v>
      </c>
      <c r="Z232" s="614">
        <v>0</v>
      </c>
      <c r="AA232" s="614">
        <v>0</v>
      </c>
      <c r="AB232" s="614">
        <v>0</v>
      </c>
      <c r="AC232" s="614">
        <v>0</v>
      </c>
      <c r="AD232" s="614">
        <v>0</v>
      </c>
      <c r="AE232" s="614">
        <v>0</v>
      </c>
      <c r="AF232" s="614">
        <v>0</v>
      </c>
      <c r="AG232" s="614">
        <v>0</v>
      </c>
      <c r="AH232" s="614">
        <v>0</v>
      </c>
      <c r="AI232" s="614">
        <v>0</v>
      </c>
      <c r="AJ232" s="554">
        <v>0</v>
      </c>
      <c r="AK232" s="554">
        <v>0</v>
      </c>
      <c r="AL232" s="614">
        <v>2.6664769036718901</v>
      </c>
      <c r="AM232" s="614">
        <v>1.1872965392639501</v>
      </c>
      <c r="AN232" s="554">
        <v>44744.796143</v>
      </c>
      <c r="AO232" s="615">
        <v>19923.420877</v>
      </c>
    </row>
    <row r="233" spans="1:41" s="555" customFormat="1" ht="12" thickBot="1">
      <c r="A233" s="918"/>
      <c r="B233" s="918"/>
      <c r="C233" s="924"/>
      <c r="D233" s="924"/>
      <c r="E233" s="612" t="s">
        <v>427</v>
      </c>
      <c r="F233" s="612" t="s">
        <v>427</v>
      </c>
      <c r="G233" s="612" t="s">
        <v>427</v>
      </c>
      <c r="H233" s="613">
        <v>271056</v>
      </c>
      <c r="I233" s="614">
        <v>15843457.67</v>
      </c>
      <c r="J233" s="614">
        <v>4.7899739540801303</v>
      </c>
      <c r="K233" s="780">
        <v>17657081.622099999</v>
      </c>
      <c r="L233" s="780">
        <v>398222.81126699998</v>
      </c>
      <c r="M233" s="554">
        <v>4.54801092167002</v>
      </c>
      <c r="N233" s="614">
        <v>3.5094143677443399</v>
      </c>
      <c r="O233" s="614">
        <v>1.03859655392582</v>
      </c>
      <c r="P233" s="554">
        <v>307283.53108500002</v>
      </c>
      <c r="Q233" s="614">
        <v>90939.280182000002</v>
      </c>
      <c r="R233" s="614">
        <v>0</v>
      </c>
      <c r="S233" s="614">
        <v>0</v>
      </c>
      <c r="T233" s="614">
        <v>0.39926049506234002</v>
      </c>
      <c r="U233" s="614">
        <v>34959.158962000001</v>
      </c>
      <c r="V233" s="614">
        <v>0</v>
      </c>
      <c r="W233" s="614">
        <v>0</v>
      </c>
      <c r="X233" s="614">
        <v>0</v>
      </c>
      <c r="Y233" s="614">
        <v>0</v>
      </c>
      <c r="Z233" s="614">
        <v>-8.9119027714935004E-2</v>
      </c>
      <c r="AA233" s="614">
        <v>-7803.2419810000001</v>
      </c>
      <c r="AB233" s="614">
        <v>0</v>
      </c>
      <c r="AC233" s="614">
        <v>0</v>
      </c>
      <c r="AD233" s="614">
        <v>-1.4896623543E-5</v>
      </c>
      <c r="AE233" s="614">
        <v>-1.3043450000000001</v>
      </c>
      <c r="AF233" s="614">
        <v>0</v>
      </c>
      <c r="AG233" s="614">
        <v>0</v>
      </c>
      <c r="AH233" s="614">
        <v>0</v>
      </c>
      <c r="AI233" s="614">
        <v>0</v>
      </c>
      <c r="AJ233" s="554">
        <v>0</v>
      </c>
      <c r="AK233" s="554">
        <v>0</v>
      </c>
      <c r="AL233" s="614">
        <v>3.8195146507920401</v>
      </c>
      <c r="AM233" s="614">
        <v>0.72849627087812097</v>
      </c>
      <c r="AN233" s="554">
        <v>334435.84197800001</v>
      </c>
      <c r="AO233" s="615">
        <v>63786.969289000001</v>
      </c>
    </row>
    <row r="234" spans="1:41" s="555" customFormat="1" ht="12" thickBot="1">
      <c r="A234" s="918"/>
      <c r="B234" s="918"/>
      <c r="C234" s="924"/>
      <c r="D234" s="924"/>
      <c r="E234" s="612" t="s">
        <v>428</v>
      </c>
      <c r="F234" s="612" t="s">
        <v>428</v>
      </c>
      <c r="G234" s="612" t="s">
        <v>428</v>
      </c>
      <c r="H234" s="613">
        <v>271057</v>
      </c>
      <c r="I234" s="614">
        <v>17009975.530000001</v>
      </c>
      <c r="J234" s="614">
        <v>3.6495448387309399</v>
      </c>
      <c r="K234" s="780">
        <v>18119044.983369999</v>
      </c>
      <c r="L234" s="780">
        <v>312703.72624400002</v>
      </c>
      <c r="M234" s="554">
        <v>3.48026282707447</v>
      </c>
      <c r="N234" s="614">
        <v>3.5219550272332101</v>
      </c>
      <c r="O234" s="614">
        <v>-4.1692200158779003E-2</v>
      </c>
      <c r="P234" s="554">
        <v>316449.79571999999</v>
      </c>
      <c r="Q234" s="614">
        <v>-3746.0694760000001</v>
      </c>
      <c r="R234" s="614">
        <v>0</v>
      </c>
      <c r="S234" s="614">
        <v>0</v>
      </c>
      <c r="T234" s="614">
        <v>0.39909246325646802</v>
      </c>
      <c r="U234" s="614">
        <v>35858.699925000001</v>
      </c>
      <c r="V234" s="614">
        <v>0</v>
      </c>
      <c r="W234" s="614">
        <v>0</v>
      </c>
      <c r="X234" s="614">
        <v>0</v>
      </c>
      <c r="Y234" s="614">
        <v>0</v>
      </c>
      <c r="Z234" s="614">
        <v>-1.2270518968578299</v>
      </c>
      <c r="AA234" s="614">
        <v>-110251.357299</v>
      </c>
      <c r="AB234" s="614">
        <v>0</v>
      </c>
      <c r="AC234" s="614">
        <v>0</v>
      </c>
      <c r="AD234" s="614">
        <v>-3.3740494067989999E-3</v>
      </c>
      <c r="AE234" s="614">
        <v>-303.16038600000002</v>
      </c>
      <c r="AF234" s="614">
        <v>0</v>
      </c>
      <c r="AG234" s="614">
        <v>0</v>
      </c>
      <c r="AH234" s="614">
        <v>0</v>
      </c>
      <c r="AI234" s="614">
        <v>0</v>
      </c>
      <c r="AJ234" s="554">
        <v>0</v>
      </c>
      <c r="AK234" s="554">
        <v>0</v>
      </c>
      <c r="AL234" s="614">
        <v>2.69062154449216</v>
      </c>
      <c r="AM234" s="614">
        <v>0.78964128258226896</v>
      </c>
      <c r="AN234" s="554">
        <v>241753.977984</v>
      </c>
      <c r="AO234" s="615">
        <v>70949.748259999993</v>
      </c>
    </row>
    <row r="235" spans="1:41" s="555" customFormat="1" ht="12" thickBot="1">
      <c r="A235" s="918"/>
      <c r="B235" s="918"/>
      <c r="C235" s="924"/>
      <c r="D235" s="925"/>
      <c r="E235" s="612" t="s">
        <v>429</v>
      </c>
      <c r="F235" s="612" t="s">
        <v>429</v>
      </c>
      <c r="G235" s="612" t="s">
        <v>429</v>
      </c>
      <c r="H235" s="613">
        <v>271059</v>
      </c>
      <c r="I235" s="614">
        <v>393184.8</v>
      </c>
      <c r="J235" s="614">
        <v>3.4825855628193101</v>
      </c>
      <c r="K235" s="780">
        <v>417405.35618800001</v>
      </c>
      <c r="L235" s="780">
        <v>6836.0282859999998</v>
      </c>
      <c r="M235" s="554">
        <v>3.3026315316430899</v>
      </c>
      <c r="N235" s="614">
        <v>3.5191009592490898</v>
      </c>
      <c r="O235" s="614">
        <v>-0.216469427604773</v>
      </c>
      <c r="P235" s="554">
        <v>7284.0925390000002</v>
      </c>
      <c r="Q235" s="614">
        <v>-448.06425300000001</v>
      </c>
      <c r="R235" s="614">
        <v>0</v>
      </c>
      <c r="S235" s="614">
        <v>0</v>
      </c>
      <c r="T235" s="614">
        <v>0.39907568950370598</v>
      </c>
      <c r="U235" s="614">
        <v>826.03604900000005</v>
      </c>
      <c r="V235" s="614">
        <v>0</v>
      </c>
      <c r="W235" s="614">
        <v>0</v>
      </c>
      <c r="X235" s="614">
        <v>0</v>
      </c>
      <c r="Y235" s="614">
        <v>0</v>
      </c>
      <c r="Z235" s="614">
        <v>-1.4167015339084601</v>
      </c>
      <c r="AA235" s="614">
        <v>-2932.3924470000002</v>
      </c>
      <c r="AB235" s="614">
        <v>0</v>
      </c>
      <c r="AC235" s="614">
        <v>0</v>
      </c>
      <c r="AD235" s="614">
        <v>0</v>
      </c>
      <c r="AE235" s="614">
        <v>0</v>
      </c>
      <c r="AF235" s="614">
        <v>0</v>
      </c>
      <c r="AG235" s="614">
        <v>0</v>
      </c>
      <c r="AH235" s="614">
        <v>0</v>
      </c>
      <c r="AI235" s="614">
        <v>0</v>
      </c>
      <c r="AJ235" s="554">
        <v>0</v>
      </c>
      <c r="AK235" s="554">
        <v>0</v>
      </c>
      <c r="AL235" s="614">
        <v>2.50147511339497</v>
      </c>
      <c r="AM235" s="614">
        <v>0.80115641824934702</v>
      </c>
      <c r="AN235" s="554">
        <v>5177.7361380000002</v>
      </c>
      <c r="AO235" s="615">
        <v>1658.292148</v>
      </c>
    </row>
    <row r="236" spans="1:41" s="555" customFormat="1" ht="12" thickBot="1">
      <c r="A236" s="918"/>
      <c r="B236" s="918"/>
      <c r="C236" s="924"/>
      <c r="D236" s="923" t="s">
        <v>430</v>
      </c>
      <c r="E236" s="612" t="s">
        <v>431</v>
      </c>
      <c r="F236" s="612" t="s">
        <v>431</v>
      </c>
      <c r="G236" s="612" t="s">
        <v>431</v>
      </c>
      <c r="H236" s="613">
        <v>271071</v>
      </c>
      <c r="I236" s="614">
        <v>685092912.30999994</v>
      </c>
      <c r="J236" s="614">
        <v>4.4979363269629102</v>
      </c>
      <c r="K236" s="780">
        <v>694774233.38055694</v>
      </c>
      <c r="L236" s="780">
        <v>14724156.999619</v>
      </c>
      <c r="M236" s="554">
        <v>4.2736704059767403</v>
      </c>
      <c r="N236" s="614">
        <v>3.3891632639621898</v>
      </c>
      <c r="O236" s="614">
        <v>0.88450714201458502</v>
      </c>
      <c r="P236" s="554">
        <v>11676747.913487</v>
      </c>
      <c r="Q236" s="614">
        <v>3047409.0861320002</v>
      </c>
      <c r="R236" s="614">
        <v>0</v>
      </c>
      <c r="S236" s="614">
        <v>0</v>
      </c>
      <c r="T236" s="614">
        <v>0.51053844363784595</v>
      </c>
      <c r="U236" s="614">
        <v>1758967.698574</v>
      </c>
      <c r="V236" s="614">
        <v>0</v>
      </c>
      <c r="W236" s="614">
        <v>0</v>
      </c>
      <c r="X236" s="614">
        <v>-0.38906210122720503</v>
      </c>
      <c r="Y236" s="614">
        <v>-1340442.972172</v>
      </c>
      <c r="Z236" s="614">
        <v>-0.26650924160928402</v>
      </c>
      <c r="AA236" s="614">
        <v>-918209.30079600005</v>
      </c>
      <c r="AB236" s="614">
        <v>0</v>
      </c>
      <c r="AC236" s="614">
        <v>0</v>
      </c>
      <c r="AD236" s="614">
        <v>-1.2499975905200001E-4</v>
      </c>
      <c r="AE236" s="614">
        <v>-430.66401999999999</v>
      </c>
      <c r="AF236" s="614">
        <v>0</v>
      </c>
      <c r="AG236" s="614">
        <v>0</v>
      </c>
      <c r="AH236" s="614">
        <v>0</v>
      </c>
      <c r="AI236" s="614">
        <v>0</v>
      </c>
      <c r="AJ236" s="554">
        <v>-1.66341596838E-4</v>
      </c>
      <c r="AK236" s="554">
        <v>-573.09983099999999</v>
      </c>
      <c r="AL236" s="614">
        <v>3.2399434272025802</v>
      </c>
      <c r="AM236" s="614">
        <v>1.0337269787741901</v>
      </c>
      <c r="AN236" s="554">
        <v>11162638.004395001</v>
      </c>
      <c r="AO236" s="615">
        <v>3561518.995224</v>
      </c>
    </row>
    <row r="237" spans="1:41" s="555" customFormat="1" ht="12" thickBot="1">
      <c r="A237" s="918"/>
      <c r="B237" s="918"/>
      <c r="C237" s="925"/>
      <c r="D237" s="925"/>
      <c r="E237" s="612" t="s">
        <v>432</v>
      </c>
      <c r="F237" s="612" t="s">
        <v>432</v>
      </c>
      <c r="G237" s="612" t="s">
        <v>432</v>
      </c>
      <c r="H237" s="613">
        <v>271072</v>
      </c>
      <c r="I237" s="614">
        <v>57998797.950000003</v>
      </c>
      <c r="J237" s="614">
        <v>4.3845080211418104</v>
      </c>
      <c r="K237" s="780">
        <v>60183540.770939998</v>
      </c>
      <c r="L237" s="780">
        <v>1242404.7360739999</v>
      </c>
      <c r="M237" s="554">
        <v>4.1629352207365997</v>
      </c>
      <c r="N237" s="614">
        <v>3.3967758583319099</v>
      </c>
      <c r="O237" s="614">
        <v>0.76615936240475302</v>
      </c>
      <c r="P237" s="554">
        <v>1013748.758989</v>
      </c>
      <c r="Q237" s="614">
        <v>228655.97708499999</v>
      </c>
      <c r="R237" s="614">
        <v>0</v>
      </c>
      <c r="S237" s="614">
        <v>0</v>
      </c>
      <c r="T237" s="614">
        <v>0.49348055657474199</v>
      </c>
      <c r="U237" s="614">
        <v>147276.51239799999</v>
      </c>
      <c r="V237" s="614">
        <v>0</v>
      </c>
      <c r="W237" s="614">
        <v>0</v>
      </c>
      <c r="X237" s="614">
        <v>-0.371727818062842</v>
      </c>
      <c r="Y237" s="614">
        <v>-110940.088472</v>
      </c>
      <c r="Z237" s="614">
        <v>-0.30928598601713803</v>
      </c>
      <c r="AA237" s="614">
        <v>-92304.672894000003</v>
      </c>
      <c r="AB237" s="614">
        <v>0</v>
      </c>
      <c r="AC237" s="614">
        <v>0</v>
      </c>
      <c r="AD237" s="614">
        <v>0</v>
      </c>
      <c r="AE237" s="614">
        <v>0</v>
      </c>
      <c r="AF237" s="614">
        <v>0</v>
      </c>
      <c r="AG237" s="614">
        <v>0</v>
      </c>
      <c r="AH237" s="614">
        <v>0</v>
      </c>
      <c r="AI237" s="614">
        <v>0</v>
      </c>
      <c r="AJ237" s="554">
        <v>0</v>
      </c>
      <c r="AK237" s="554">
        <v>0</v>
      </c>
      <c r="AL237" s="614">
        <v>3.2056453363914601</v>
      </c>
      <c r="AM237" s="614">
        <v>0.95728988434519402</v>
      </c>
      <c r="AN237" s="554">
        <v>956706.92358299997</v>
      </c>
      <c r="AO237" s="615">
        <v>285697.81249099999</v>
      </c>
    </row>
    <row r="238" spans="1:41" s="555" customFormat="1" ht="12" thickBot="1">
      <c r="A238" s="918"/>
      <c r="B238" s="918"/>
      <c r="C238" s="923" t="s">
        <v>433</v>
      </c>
      <c r="D238" s="612" t="s">
        <v>434</v>
      </c>
      <c r="E238" s="612" t="s">
        <v>434</v>
      </c>
      <c r="F238" s="612" t="s">
        <v>434</v>
      </c>
      <c r="G238" s="612" t="s">
        <v>434</v>
      </c>
      <c r="H238" s="613">
        <v>271063</v>
      </c>
      <c r="I238" s="614">
        <v>280178.27</v>
      </c>
      <c r="J238" s="614">
        <v>4.7866770413708402</v>
      </c>
      <c r="K238" s="780">
        <v>293936.96823300002</v>
      </c>
      <c r="L238" s="780">
        <v>1859.4528580000001</v>
      </c>
      <c r="M238" s="554">
        <v>1.27569029481772</v>
      </c>
      <c r="N238" s="614">
        <v>3.62525150430525</v>
      </c>
      <c r="O238" s="614">
        <v>-2.34956120948338</v>
      </c>
      <c r="P238" s="554">
        <v>5284.1855880000003</v>
      </c>
      <c r="Q238" s="614">
        <v>-3424.7327300000002</v>
      </c>
      <c r="R238" s="614">
        <v>0</v>
      </c>
      <c r="S238" s="614">
        <v>0</v>
      </c>
      <c r="T238" s="614">
        <v>0.109588380753917</v>
      </c>
      <c r="U238" s="614">
        <v>159.73659799999999</v>
      </c>
      <c r="V238" s="614">
        <v>0</v>
      </c>
      <c r="W238" s="614">
        <v>0</v>
      </c>
      <c r="X238" s="614">
        <v>0</v>
      </c>
      <c r="Y238" s="614">
        <v>0</v>
      </c>
      <c r="Z238" s="614">
        <v>0</v>
      </c>
      <c r="AA238" s="614">
        <v>0</v>
      </c>
      <c r="AB238" s="614">
        <v>0</v>
      </c>
      <c r="AC238" s="614">
        <v>0</v>
      </c>
      <c r="AD238" s="614">
        <v>-1.1292508548538001</v>
      </c>
      <c r="AE238" s="614">
        <v>-1646.0019629999999</v>
      </c>
      <c r="AF238" s="614">
        <v>0</v>
      </c>
      <c r="AG238" s="614">
        <v>0</v>
      </c>
      <c r="AH238" s="614">
        <v>0</v>
      </c>
      <c r="AI238" s="614">
        <v>0</v>
      </c>
      <c r="AJ238" s="554">
        <v>0</v>
      </c>
      <c r="AK238" s="554">
        <v>0</v>
      </c>
      <c r="AL238" s="614">
        <v>2.40350463796254</v>
      </c>
      <c r="AM238" s="614">
        <v>-1.12781434314066</v>
      </c>
      <c r="AN238" s="554">
        <v>3503.3609540000002</v>
      </c>
      <c r="AO238" s="615">
        <v>-1643.9080959999999</v>
      </c>
    </row>
    <row r="239" spans="1:41" s="555" customFormat="1" ht="12" thickBot="1">
      <c r="A239" s="918"/>
      <c r="B239" s="918"/>
      <c r="C239" s="924"/>
      <c r="D239" s="612" t="s">
        <v>435</v>
      </c>
      <c r="E239" s="612" t="s">
        <v>435</v>
      </c>
      <c r="F239" s="612" t="s">
        <v>435</v>
      </c>
      <c r="G239" s="612" t="s">
        <v>435</v>
      </c>
      <c r="H239" s="613">
        <v>271064</v>
      </c>
      <c r="I239" s="614">
        <v>162394085.71000001</v>
      </c>
      <c r="J239" s="614">
        <v>5.8405013854443704</v>
      </c>
      <c r="K239" s="780">
        <v>188672400.131107</v>
      </c>
      <c r="L239" s="780">
        <v>5323186.6275159996</v>
      </c>
      <c r="M239" s="554">
        <v>5.68954593262362</v>
      </c>
      <c r="N239" s="614">
        <v>3.35370194011039</v>
      </c>
      <c r="O239" s="614">
        <v>2.3358439925133001</v>
      </c>
      <c r="P239" s="554">
        <v>3137751.5063029998</v>
      </c>
      <c r="Q239" s="614">
        <v>2185435.1212129998</v>
      </c>
      <c r="R239" s="614">
        <v>0</v>
      </c>
      <c r="S239" s="614">
        <v>0</v>
      </c>
      <c r="T239" s="614">
        <v>0.51427023029588403</v>
      </c>
      <c r="U239" s="614">
        <v>481155.516672</v>
      </c>
      <c r="V239" s="614">
        <v>0</v>
      </c>
      <c r="W239" s="614">
        <v>0</v>
      </c>
      <c r="X239" s="614">
        <v>0</v>
      </c>
      <c r="Y239" s="614">
        <v>0</v>
      </c>
      <c r="Z239" s="614">
        <v>0</v>
      </c>
      <c r="AA239" s="614">
        <v>0</v>
      </c>
      <c r="AB239" s="614">
        <v>0</v>
      </c>
      <c r="AC239" s="614">
        <v>0</v>
      </c>
      <c r="AD239" s="614">
        <v>-2.0223240333013998E-2</v>
      </c>
      <c r="AE239" s="614">
        <v>-18921.032325</v>
      </c>
      <c r="AF239" s="614">
        <v>0</v>
      </c>
      <c r="AG239" s="614">
        <v>0</v>
      </c>
      <c r="AH239" s="614">
        <v>0</v>
      </c>
      <c r="AI239" s="614">
        <v>0</v>
      </c>
      <c r="AJ239" s="554">
        <v>-1.5779438962699999E-4</v>
      </c>
      <c r="AK239" s="554">
        <v>-147.633747</v>
      </c>
      <c r="AL239" s="614">
        <v>3.8397204619826599</v>
      </c>
      <c r="AM239" s="614">
        <v>1.84982547064102</v>
      </c>
      <c r="AN239" s="554">
        <v>3592474.4889440001</v>
      </c>
      <c r="AO239" s="615">
        <v>1730712.138572</v>
      </c>
    </row>
    <row r="240" spans="1:41" s="555" customFormat="1" ht="12" thickBot="1">
      <c r="A240" s="918"/>
      <c r="B240" s="918"/>
      <c r="C240" s="924"/>
      <c r="D240" s="923" t="s">
        <v>436</v>
      </c>
      <c r="E240" s="923" t="s">
        <v>436</v>
      </c>
      <c r="F240" s="923" t="s">
        <v>436</v>
      </c>
      <c r="G240" s="612" t="s">
        <v>436</v>
      </c>
      <c r="H240" s="613">
        <v>271065</v>
      </c>
      <c r="I240" s="614">
        <v>9944395080.3899994</v>
      </c>
      <c r="J240" s="614">
        <v>6.3727653540127296</v>
      </c>
      <c r="K240" s="780">
        <v>9273757713.7826996</v>
      </c>
      <c r="L240" s="780">
        <v>277162897.40325302</v>
      </c>
      <c r="M240" s="554">
        <v>6.0268951619664604</v>
      </c>
      <c r="N240" s="614">
        <v>3.4640929326074898</v>
      </c>
      <c r="O240" s="614">
        <v>2.5628022293589598</v>
      </c>
      <c r="P240" s="554">
        <v>159305580.77973199</v>
      </c>
      <c r="Q240" s="614">
        <v>117857316.623521</v>
      </c>
      <c r="R240" s="614">
        <v>0</v>
      </c>
      <c r="S240" s="614">
        <v>0</v>
      </c>
      <c r="T240" s="614">
        <v>0.30128307501962898</v>
      </c>
      <c r="U240" s="614">
        <v>13855308.208772</v>
      </c>
      <c r="V240" s="614">
        <v>0</v>
      </c>
      <c r="W240" s="614">
        <v>0</v>
      </c>
      <c r="X240" s="614">
        <v>-2.9647912702253001E-2</v>
      </c>
      <c r="Y240" s="614">
        <v>-1363438.580842</v>
      </c>
      <c r="Z240" s="614">
        <v>0</v>
      </c>
      <c r="AA240" s="614">
        <v>0</v>
      </c>
      <c r="AB240" s="614">
        <v>0</v>
      </c>
      <c r="AC240" s="614">
        <v>0</v>
      </c>
      <c r="AD240" s="614">
        <v>-1.2331648591290999E-2</v>
      </c>
      <c r="AE240" s="614">
        <v>-567103.85056799999</v>
      </c>
      <c r="AF240" s="614">
        <v>0</v>
      </c>
      <c r="AG240" s="614">
        <v>0</v>
      </c>
      <c r="AH240" s="614">
        <v>0</v>
      </c>
      <c r="AI240" s="614">
        <v>0</v>
      </c>
      <c r="AJ240" s="554">
        <v>-4.1176549332952998E-2</v>
      </c>
      <c r="AK240" s="554">
        <v>-1893613.7781539999</v>
      </c>
      <c r="AL240" s="614">
        <v>3.6802039605975301</v>
      </c>
      <c r="AM240" s="614">
        <v>2.3466912013689099</v>
      </c>
      <c r="AN240" s="554">
        <v>169244024.55033401</v>
      </c>
      <c r="AO240" s="615">
        <v>107918872.852919</v>
      </c>
    </row>
    <row r="241" spans="1:41" s="555" customFormat="1" ht="12" thickBot="1">
      <c r="A241" s="918"/>
      <c r="B241" s="918"/>
      <c r="C241" s="924"/>
      <c r="D241" s="925"/>
      <c r="E241" s="925"/>
      <c r="F241" s="925"/>
      <c r="G241" s="612" t="s">
        <v>4189</v>
      </c>
      <c r="H241" s="613">
        <v>271073</v>
      </c>
      <c r="I241" s="614">
        <v>352738770.04000002</v>
      </c>
      <c r="J241" s="614">
        <v>6.2365293956760404</v>
      </c>
      <c r="K241" s="780">
        <v>394230765.86883599</v>
      </c>
      <c r="L241" s="780">
        <v>11556412.97301</v>
      </c>
      <c r="M241" s="554">
        <v>5.9113521115275702</v>
      </c>
      <c r="N241" s="614">
        <v>3.4288278134710399</v>
      </c>
      <c r="O241" s="614">
        <v>2.4825242980564699</v>
      </c>
      <c r="P241" s="554">
        <v>6703195.7288659997</v>
      </c>
      <c r="Q241" s="614">
        <v>4853217.2441440001</v>
      </c>
      <c r="R241" s="614">
        <v>0</v>
      </c>
      <c r="S241" s="614">
        <v>0</v>
      </c>
      <c r="T241" s="614">
        <v>0.28323799858482102</v>
      </c>
      <c r="U241" s="614">
        <v>553716.85183699999</v>
      </c>
      <c r="V241" s="614">
        <v>0</v>
      </c>
      <c r="W241" s="614">
        <v>0</v>
      </c>
      <c r="X241" s="614">
        <v>-8.346401355807E-3</v>
      </c>
      <c r="Y241" s="614">
        <v>-16316.818739</v>
      </c>
      <c r="Z241" s="614">
        <v>0</v>
      </c>
      <c r="AA241" s="614">
        <v>0</v>
      </c>
      <c r="AB241" s="614">
        <v>0</v>
      </c>
      <c r="AC241" s="614">
        <v>0</v>
      </c>
      <c r="AD241" s="614">
        <v>-1.53270727467E-3</v>
      </c>
      <c r="AE241" s="614">
        <v>-2996.3700180000001</v>
      </c>
      <c r="AF241" s="614">
        <v>0</v>
      </c>
      <c r="AG241" s="614">
        <v>0</v>
      </c>
      <c r="AH241" s="614">
        <v>0</v>
      </c>
      <c r="AI241" s="614">
        <v>0</v>
      </c>
      <c r="AJ241" s="554">
        <v>-6.881405558833E-3</v>
      </c>
      <c r="AK241" s="554">
        <v>-13452.821448000001</v>
      </c>
      <c r="AL241" s="614">
        <v>3.69500116299819</v>
      </c>
      <c r="AM241" s="614">
        <v>2.2163509485293198</v>
      </c>
      <c r="AN241" s="554">
        <v>7223552.0012569996</v>
      </c>
      <c r="AO241" s="615">
        <v>4332860.9717530003</v>
      </c>
    </row>
    <row r="242" spans="1:41" s="555" customFormat="1" ht="12" thickBot="1">
      <c r="A242" s="918"/>
      <c r="B242" s="918"/>
      <c r="C242" s="924"/>
      <c r="D242" s="612" t="s">
        <v>437</v>
      </c>
      <c r="E242" s="612" t="s">
        <v>437</v>
      </c>
      <c r="F242" s="612" t="s">
        <v>437</v>
      </c>
      <c r="G242" s="612" t="s">
        <v>437</v>
      </c>
      <c r="H242" s="613">
        <v>271066</v>
      </c>
      <c r="I242" s="614">
        <v>100371833.42</v>
      </c>
      <c r="J242" s="614">
        <v>6.2269406937223399</v>
      </c>
      <c r="K242" s="780">
        <v>102801550.812038</v>
      </c>
      <c r="L242" s="780">
        <v>3058399.4232700001</v>
      </c>
      <c r="M242" s="554">
        <v>5.99941392028681</v>
      </c>
      <c r="N242" s="614">
        <v>3.3948981859022398</v>
      </c>
      <c r="O242" s="614">
        <v>2.6045157343841998</v>
      </c>
      <c r="P242" s="554">
        <v>1730661.493236</v>
      </c>
      <c r="Q242" s="614">
        <v>1327737.930034</v>
      </c>
      <c r="R242" s="614">
        <v>0</v>
      </c>
      <c r="S242" s="614">
        <v>0</v>
      </c>
      <c r="T242" s="614">
        <v>0.44403444090789002</v>
      </c>
      <c r="U242" s="614">
        <v>226361.22395099999</v>
      </c>
      <c r="V242" s="614">
        <v>0</v>
      </c>
      <c r="W242" s="614">
        <v>0</v>
      </c>
      <c r="X242" s="614">
        <v>-9.9914171232499994E-3</v>
      </c>
      <c r="Y242" s="614">
        <v>-5093.4549230000002</v>
      </c>
      <c r="Z242" s="614">
        <v>0</v>
      </c>
      <c r="AA242" s="614">
        <v>0</v>
      </c>
      <c r="AB242" s="614">
        <v>0</v>
      </c>
      <c r="AC242" s="614">
        <v>0</v>
      </c>
      <c r="AD242" s="614">
        <v>-1.5209361020718E-2</v>
      </c>
      <c r="AE242" s="614">
        <v>-7753.4741880000001</v>
      </c>
      <c r="AF242" s="614">
        <v>0</v>
      </c>
      <c r="AG242" s="614">
        <v>0</v>
      </c>
      <c r="AH242" s="614">
        <v>0</v>
      </c>
      <c r="AI242" s="614">
        <v>0</v>
      </c>
      <c r="AJ242" s="554">
        <v>-4.0568614027133E-2</v>
      </c>
      <c r="AK242" s="554">
        <v>-20681.191094999998</v>
      </c>
      <c r="AL242" s="614">
        <v>3.7675163060266299</v>
      </c>
      <c r="AM242" s="614">
        <v>2.2318976142598101</v>
      </c>
      <c r="AN242" s="554">
        <v>1920615.8885870001</v>
      </c>
      <c r="AO242" s="615">
        <v>1137783.5346830001</v>
      </c>
    </row>
    <row r="243" spans="1:41" s="555" customFormat="1" ht="12" thickBot="1">
      <c r="A243" s="918"/>
      <c r="B243" s="918"/>
      <c r="C243" s="924"/>
      <c r="D243" s="612" t="s">
        <v>438</v>
      </c>
      <c r="E243" s="612" t="s">
        <v>438</v>
      </c>
      <c r="F243" s="612" t="s">
        <v>438</v>
      </c>
      <c r="G243" s="612" t="s">
        <v>438</v>
      </c>
      <c r="H243" s="613">
        <v>271074</v>
      </c>
      <c r="I243" s="614">
        <v>1093688.43</v>
      </c>
      <c r="J243" s="614">
        <v>0.3</v>
      </c>
      <c r="K243" s="780">
        <v>987837.07856399997</v>
      </c>
      <c r="L243" s="780">
        <v>0</v>
      </c>
      <c r="M243" s="554">
        <v>0</v>
      </c>
      <c r="N243" s="614">
        <v>3.17986981125323</v>
      </c>
      <c r="O243" s="614">
        <v>-3.17986981125323</v>
      </c>
      <c r="P243" s="554">
        <v>15576.876387</v>
      </c>
      <c r="Q243" s="614">
        <v>-15576.876387</v>
      </c>
      <c r="R243" s="614">
        <v>0</v>
      </c>
      <c r="S243" s="614">
        <v>0</v>
      </c>
      <c r="T243" s="614">
        <v>0</v>
      </c>
      <c r="U243" s="614">
        <v>0</v>
      </c>
      <c r="V243" s="614">
        <v>0</v>
      </c>
      <c r="W243" s="614">
        <v>0</v>
      </c>
      <c r="X243" s="614">
        <v>0</v>
      </c>
      <c r="Y243" s="614">
        <v>0</v>
      </c>
      <c r="Z243" s="614">
        <v>0</v>
      </c>
      <c r="AA243" s="614">
        <v>0</v>
      </c>
      <c r="AB243" s="614">
        <v>0</v>
      </c>
      <c r="AC243" s="614">
        <v>0</v>
      </c>
      <c r="AD243" s="614">
        <v>0</v>
      </c>
      <c r="AE243" s="614">
        <v>0</v>
      </c>
      <c r="AF243" s="614">
        <v>0</v>
      </c>
      <c r="AG243" s="614">
        <v>0</v>
      </c>
      <c r="AH243" s="614">
        <v>0</v>
      </c>
      <c r="AI243" s="614">
        <v>0</v>
      </c>
      <c r="AJ243" s="554">
        <v>0</v>
      </c>
      <c r="AK243" s="554">
        <v>0</v>
      </c>
      <c r="AL243" s="614">
        <v>3.17986981125323</v>
      </c>
      <c r="AM243" s="614">
        <v>-3.17986981125323</v>
      </c>
      <c r="AN243" s="554">
        <v>15576.876387</v>
      </c>
      <c r="AO243" s="615">
        <v>-15576.876387</v>
      </c>
    </row>
    <row r="244" spans="1:41" s="555" customFormat="1" ht="12" thickBot="1">
      <c r="A244" s="918"/>
      <c r="B244" s="918"/>
      <c r="C244" s="924"/>
      <c r="D244" s="923" t="s">
        <v>439</v>
      </c>
      <c r="E244" s="923" t="s">
        <v>439</v>
      </c>
      <c r="F244" s="923" t="s">
        <v>439</v>
      </c>
      <c r="G244" s="612" t="s">
        <v>439</v>
      </c>
      <c r="H244" s="613">
        <v>271079</v>
      </c>
      <c r="I244" s="614">
        <v>348007616.63999999</v>
      </c>
      <c r="J244" s="614">
        <v>13.1065651990289</v>
      </c>
      <c r="K244" s="780">
        <v>380079741.22016901</v>
      </c>
      <c r="L244" s="780">
        <v>23566956.102694001</v>
      </c>
      <c r="M244" s="554">
        <v>12.5038300081212</v>
      </c>
      <c r="N244" s="614">
        <v>4.4516519410194899</v>
      </c>
      <c r="O244" s="614">
        <v>8.0521780671017993</v>
      </c>
      <c r="P244" s="554">
        <v>8390380.0523790009</v>
      </c>
      <c r="Q244" s="614">
        <v>15176576.050315</v>
      </c>
      <c r="R244" s="614">
        <v>0</v>
      </c>
      <c r="S244" s="614">
        <v>0</v>
      </c>
      <c r="T244" s="614">
        <v>0</v>
      </c>
      <c r="U244" s="614">
        <v>0</v>
      </c>
      <c r="V244" s="614">
        <v>0</v>
      </c>
      <c r="W244" s="614">
        <v>0</v>
      </c>
      <c r="X244" s="614">
        <v>-1.1568837118567E-2</v>
      </c>
      <c r="Y244" s="614">
        <v>-21804.701148</v>
      </c>
      <c r="Z244" s="614">
        <v>0</v>
      </c>
      <c r="AA244" s="614">
        <v>0</v>
      </c>
      <c r="AB244" s="614">
        <v>0</v>
      </c>
      <c r="AC244" s="614">
        <v>0</v>
      </c>
      <c r="AD244" s="614">
        <v>-4.2957166569209997E-2</v>
      </c>
      <c r="AE244" s="614">
        <v>-80964.765050000002</v>
      </c>
      <c r="AF244" s="614">
        <v>0</v>
      </c>
      <c r="AG244" s="614">
        <v>0</v>
      </c>
      <c r="AH244" s="614">
        <v>0</v>
      </c>
      <c r="AI244" s="614">
        <v>0</v>
      </c>
      <c r="AJ244" s="554">
        <v>-3.3844883440168998E-2</v>
      </c>
      <c r="AK244" s="554">
        <v>-63790.125250999998</v>
      </c>
      <c r="AL244" s="614">
        <v>4.3543774555960804</v>
      </c>
      <c r="AM244" s="614">
        <v>8.1494525525252097</v>
      </c>
      <c r="AN244" s="554">
        <v>8207039.1459210003</v>
      </c>
      <c r="AO244" s="615">
        <v>15359916.956773</v>
      </c>
    </row>
    <row r="245" spans="1:41" s="555" customFormat="1" ht="12" thickBot="1">
      <c r="A245" s="918"/>
      <c r="B245" s="918"/>
      <c r="C245" s="924"/>
      <c r="D245" s="924"/>
      <c r="E245" s="924"/>
      <c r="F245" s="924"/>
      <c r="G245" s="612" t="s">
        <v>4171</v>
      </c>
      <c r="H245" s="613">
        <v>271098</v>
      </c>
      <c r="I245" s="614">
        <v>9215000</v>
      </c>
      <c r="J245" s="614">
        <v>5.9980466630493803</v>
      </c>
      <c r="K245" s="780">
        <v>2001569.612158</v>
      </c>
      <c r="L245" s="780">
        <v>56962.443290000003</v>
      </c>
      <c r="M245" s="554">
        <v>5.7389468133692798</v>
      </c>
      <c r="N245" s="614">
        <v>3.7117259657526902</v>
      </c>
      <c r="O245" s="614">
        <v>2.0272208476260598</v>
      </c>
      <c r="P245" s="554">
        <v>36841.076717999997</v>
      </c>
      <c r="Q245" s="614">
        <v>20121.366571999999</v>
      </c>
      <c r="R245" s="614">
        <v>0</v>
      </c>
      <c r="S245" s="614">
        <v>0</v>
      </c>
      <c r="T245" s="614">
        <v>0</v>
      </c>
      <c r="U245" s="614">
        <v>0</v>
      </c>
      <c r="V245" s="614">
        <v>0</v>
      </c>
      <c r="W245" s="614">
        <v>0</v>
      </c>
      <c r="X245" s="614">
        <v>0</v>
      </c>
      <c r="Y245" s="614">
        <v>0</v>
      </c>
      <c r="Z245" s="614">
        <v>0</v>
      </c>
      <c r="AA245" s="614">
        <v>0</v>
      </c>
      <c r="AB245" s="614">
        <v>0</v>
      </c>
      <c r="AC245" s="614">
        <v>0</v>
      </c>
      <c r="AD245" s="614">
        <v>0</v>
      </c>
      <c r="AE245" s="614">
        <v>0</v>
      </c>
      <c r="AF245" s="614">
        <v>0</v>
      </c>
      <c r="AG245" s="614">
        <v>0</v>
      </c>
      <c r="AH245" s="614">
        <v>0</v>
      </c>
      <c r="AI245" s="614">
        <v>0</v>
      </c>
      <c r="AJ245" s="554">
        <v>-1.6277231086750998E-2</v>
      </c>
      <c r="AK245" s="554">
        <v>-161.561151</v>
      </c>
      <c r="AL245" s="614">
        <v>3.6954487348674401</v>
      </c>
      <c r="AM245" s="614">
        <v>2.0434980785113099</v>
      </c>
      <c r="AN245" s="554">
        <v>36679.515569000003</v>
      </c>
      <c r="AO245" s="615">
        <v>20282.927721</v>
      </c>
    </row>
    <row r="246" spans="1:41" s="555" customFormat="1" ht="12" thickBot="1">
      <c r="A246" s="918"/>
      <c r="B246" s="918"/>
      <c r="C246" s="924"/>
      <c r="D246" s="924"/>
      <c r="E246" s="924"/>
      <c r="F246" s="925"/>
      <c r="G246" s="612" t="s">
        <v>4190</v>
      </c>
      <c r="H246" s="613">
        <v>271099</v>
      </c>
      <c r="I246" s="614">
        <v>24387856.57</v>
      </c>
      <c r="J246" s="614">
        <v>8.0621826218162003</v>
      </c>
      <c r="K246" s="780">
        <v>27126172.708342999</v>
      </c>
      <c r="L246" s="780">
        <v>1030995.979275</v>
      </c>
      <c r="M246" s="554">
        <v>7.6644807656878102</v>
      </c>
      <c r="N246" s="614">
        <v>4.1251503885424503</v>
      </c>
      <c r="O246" s="614">
        <v>3.5393303771454798</v>
      </c>
      <c r="P246" s="554">
        <v>554899.09812700003</v>
      </c>
      <c r="Q246" s="614">
        <v>476096.88114800001</v>
      </c>
      <c r="R246" s="614">
        <v>0</v>
      </c>
      <c r="S246" s="614">
        <v>0</v>
      </c>
      <c r="T246" s="614">
        <v>0</v>
      </c>
      <c r="U246" s="614">
        <v>0</v>
      </c>
      <c r="V246" s="614">
        <v>0</v>
      </c>
      <c r="W246" s="614">
        <v>0</v>
      </c>
      <c r="X246" s="614">
        <v>-1.5757814694899001E-2</v>
      </c>
      <c r="Y246" s="614">
        <v>-2119.6796089999998</v>
      </c>
      <c r="Z246" s="614">
        <v>0</v>
      </c>
      <c r="AA246" s="614">
        <v>0</v>
      </c>
      <c r="AB246" s="614">
        <v>0</v>
      </c>
      <c r="AC246" s="614">
        <v>0</v>
      </c>
      <c r="AD246" s="614">
        <v>-2.6716778477169998E-3</v>
      </c>
      <c r="AE246" s="614">
        <v>-359.38365599999997</v>
      </c>
      <c r="AF246" s="614">
        <v>0</v>
      </c>
      <c r="AG246" s="614">
        <v>0</v>
      </c>
      <c r="AH246" s="614">
        <v>0</v>
      </c>
      <c r="AI246" s="614">
        <v>0</v>
      </c>
      <c r="AJ246" s="554">
        <v>-4.5570914289515999E-2</v>
      </c>
      <c r="AK246" s="554">
        <v>-6130.0211769999996</v>
      </c>
      <c r="AL246" s="614">
        <v>4.06083969427028</v>
      </c>
      <c r="AM246" s="614">
        <v>3.6036410714176599</v>
      </c>
      <c r="AN246" s="554">
        <v>546248.27503200003</v>
      </c>
      <c r="AO246" s="615">
        <v>484747.70424300001</v>
      </c>
    </row>
    <row r="247" spans="1:41" s="555" customFormat="1" ht="12" thickBot="1">
      <c r="A247" s="918"/>
      <c r="B247" s="918"/>
      <c r="C247" s="924"/>
      <c r="D247" s="924"/>
      <c r="E247" s="924"/>
      <c r="F247" s="612" t="s">
        <v>3568</v>
      </c>
      <c r="G247" s="612" t="s">
        <v>3569</v>
      </c>
      <c r="H247" s="613">
        <v>271091</v>
      </c>
      <c r="I247" s="614">
        <v>173362765.19999999</v>
      </c>
      <c r="J247" s="614">
        <v>6.9669775391716504</v>
      </c>
      <c r="K247" s="780">
        <v>81801029.943206996</v>
      </c>
      <c r="L247" s="780">
        <v>2758508.7168859998</v>
      </c>
      <c r="M247" s="554">
        <v>6.8003282802038303</v>
      </c>
      <c r="N247" s="614">
        <v>3.8514787200438301</v>
      </c>
      <c r="O247" s="614">
        <v>2.94884956016022</v>
      </c>
      <c r="P247" s="554">
        <v>1562327.167803</v>
      </c>
      <c r="Q247" s="614">
        <v>1196181.549083</v>
      </c>
      <c r="R247" s="614">
        <v>0</v>
      </c>
      <c r="S247" s="614">
        <v>0</v>
      </c>
      <c r="T247" s="614">
        <v>0</v>
      </c>
      <c r="U247" s="614">
        <v>0</v>
      </c>
      <c r="V247" s="614">
        <v>0</v>
      </c>
      <c r="W247" s="614">
        <v>0</v>
      </c>
      <c r="X247" s="614">
        <v>-0.110707615324424</v>
      </c>
      <c r="Y247" s="614">
        <v>-44907.820522000002</v>
      </c>
      <c r="Z247" s="614">
        <v>0</v>
      </c>
      <c r="AA247" s="614">
        <v>0</v>
      </c>
      <c r="AB247" s="614">
        <v>0</v>
      </c>
      <c r="AC247" s="614">
        <v>0</v>
      </c>
      <c r="AD247" s="614">
        <v>0</v>
      </c>
      <c r="AE247" s="614">
        <v>0</v>
      </c>
      <c r="AF247" s="614">
        <v>0</v>
      </c>
      <c r="AG247" s="614">
        <v>0</v>
      </c>
      <c r="AH247" s="614">
        <v>0</v>
      </c>
      <c r="AI247" s="614">
        <v>0</v>
      </c>
      <c r="AJ247" s="554">
        <v>-7.7219778764737998E-2</v>
      </c>
      <c r="AK247" s="554">
        <v>-31323.698512999999</v>
      </c>
      <c r="AL247" s="614">
        <v>3.6635513511492102</v>
      </c>
      <c r="AM247" s="614">
        <v>3.13677692905484</v>
      </c>
      <c r="AN247" s="554">
        <v>1486095.6589879999</v>
      </c>
      <c r="AO247" s="615">
        <v>1272413.0578980001</v>
      </c>
    </row>
    <row r="248" spans="1:41" s="555" customFormat="1" ht="12" thickBot="1">
      <c r="A248" s="918"/>
      <c r="B248" s="918"/>
      <c r="C248" s="924"/>
      <c r="D248" s="925"/>
      <c r="E248" s="925"/>
      <c r="F248" s="612" t="s">
        <v>3570</v>
      </c>
      <c r="G248" s="612" t="s">
        <v>3570</v>
      </c>
      <c r="H248" s="613">
        <v>271092</v>
      </c>
      <c r="I248" s="614">
        <v>475810.35</v>
      </c>
      <c r="J248" s="614">
        <v>9</v>
      </c>
      <c r="K248" s="780">
        <v>270533.57569000003</v>
      </c>
      <c r="L248" s="780">
        <v>11752.073552</v>
      </c>
      <c r="M248" s="554">
        <v>8.7600708315173694</v>
      </c>
      <c r="N248" s="614">
        <v>3.8218912128802001</v>
      </c>
      <c r="O248" s="614">
        <v>4.9381796186174904</v>
      </c>
      <c r="P248" s="554">
        <v>5127.2583869999999</v>
      </c>
      <c r="Q248" s="614">
        <v>6624.815165</v>
      </c>
      <c r="R248" s="614">
        <v>0</v>
      </c>
      <c r="S248" s="614">
        <v>0</v>
      </c>
      <c r="T248" s="614">
        <v>0</v>
      </c>
      <c r="U248" s="614">
        <v>0</v>
      </c>
      <c r="V248" s="614">
        <v>0</v>
      </c>
      <c r="W248" s="614">
        <v>0</v>
      </c>
      <c r="X248" s="614">
        <v>-0.14649380952647001</v>
      </c>
      <c r="Y248" s="614">
        <v>-196.52877899999999</v>
      </c>
      <c r="Z248" s="614">
        <v>0</v>
      </c>
      <c r="AA248" s="614">
        <v>0</v>
      </c>
      <c r="AB248" s="614">
        <v>0</v>
      </c>
      <c r="AC248" s="614">
        <v>0</v>
      </c>
      <c r="AD248" s="614">
        <v>0</v>
      </c>
      <c r="AE248" s="614">
        <v>0</v>
      </c>
      <c r="AF248" s="614">
        <v>0</v>
      </c>
      <c r="AG248" s="614">
        <v>0</v>
      </c>
      <c r="AH248" s="614">
        <v>0</v>
      </c>
      <c r="AI248" s="614">
        <v>0</v>
      </c>
      <c r="AJ248" s="554">
        <v>-5.8943240615152E-2</v>
      </c>
      <c r="AK248" s="554">
        <v>-79.075308000000007</v>
      </c>
      <c r="AL248" s="614">
        <v>3.6164542462240998</v>
      </c>
      <c r="AM248" s="614">
        <v>5.1436165852736</v>
      </c>
      <c r="AN248" s="554">
        <v>4851.6544119999999</v>
      </c>
      <c r="AO248" s="615">
        <v>6900.41914</v>
      </c>
    </row>
    <row r="249" spans="1:41" s="555" customFormat="1" ht="12" thickBot="1">
      <c r="A249" s="918"/>
      <c r="B249" s="918"/>
      <c r="C249" s="924"/>
      <c r="D249" s="612" t="s">
        <v>440</v>
      </c>
      <c r="E249" s="612" t="s">
        <v>440</v>
      </c>
      <c r="F249" s="612" t="s">
        <v>440</v>
      </c>
      <c r="G249" s="612" t="s">
        <v>440</v>
      </c>
      <c r="H249" s="613">
        <v>271082</v>
      </c>
      <c r="I249" s="614">
        <v>0</v>
      </c>
      <c r="J249" s="614">
        <v>0</v>
      </c>
      <c r="K249" s="780">
        <v>6.3950279999999999</v>
      </c>
      <c r="L249" s="780">
        <v>8.5</v>
      </c>
      <c r="M249" s="554">
        <v>268.03454148911601</v>
      </c>
      <c r="N249" s="614">
        <v>3.0665991360691098</v>
      </c>
      <c r="O249" s="614">
        <v>264.96795809935202</v>
      </c>
      <c r="P249" s="554">
        <v>9.7249000000000002E-2</v>
      </c>
      <c r="Q249" s="614">
        <v>8.4027510000000003</v>
      </c>
      <c r="R249" s="614">
        <v>0</v>
      </c>
      <c r="S249" s="614">
        <v>0</v>
      </c>
      <c r="T249" s="614">
        <v>0</v>
      </c>
      <c r="U249" s="614">
        <v>0</v>
      </c>
      <c r="V249" s="614">
        <v>0</v>
      </c>
      <c r="W249" s="614">
        <v>0</v>
      </c>
      <c r="X249" s="614">
        <v>0</v>
      </c>
      <c r="Y249" s="614">
        <v>0</v>
      </c>
      <c r="Z249" s="614">
        <v>0</v>
      </c>
      <c r="AA249" s="614">
        <v>0</v>
      </c>
      <c r="AB249" s="614">
        <v>0</v>
      </c>
      <c r="AC249" s="614">
        <v>0</v>
      </c>
      <c r="AD249" s="614">
        <v>0</v>
      </c>
      <c r="AE249" s="614">
        <v>0</v>
      </c>
      <c r="AF249" s="614">
        <v>0</v>
      </c>
      <c r="AG249" s="614">
        <v>0</v>
      </c>
      <c r="AH249" s="614">
        <v>0</v>
      </c>
      <c r="AI249" s="614">
        <v>0</v>
      </c>
      <c r="AJ249" s="554">
        <v>0</v>
      </c>
      <c r="AK249" s="554">
        <v>0</v>
      </c>
      <c r="AL249" s="614">
        <v>3.0665991360691098</v>
      </c>
      <c r="AM249" s="614">
        <v>264.96795809935202</v>
      </c>
      <c r="AN249" s="554">
        <v>9.7249000000000002E-2</v>
      </c>
      <c r="AO249" s="615">
        <v>8.4027510000000003</v>
      </c>
    </row>
    <row r="250" spans="1:41" s="555" customFormat="1" ht="12" thickBot="1">
      <c r="A250" s="918"/>
      <c r="B250" s="918"/>
      <c r="C250" s="924"/>
      <c r="D250" s="923" t="s">
        <v>3571</v>
      </c>
      <c r="E250" s="923" t="s">
        <v>3571</v>
      </c>
      <c r="F250" s="923" t="s">
        <v>3571</v>
      </c>
      <c r="G250" s="612" t="s">
        <v>3572</v>
      </c>
      <c r="H250" s="613">
        <v>271093</v>
      </c>
      <c r="I250" s="614">
        <v>259388792.71000001</v>
      </c>
      <c r="J250" s="614">
        <v>6.8537827330288801</v>
      </c>
      <c r="K250" s="780">
        <v>185892509.764366</v>
      </c>
      <c r="L250" s="780">
        <v>6014104.9904540004</v>
      </c>
      <c r="M250" s="554">
        <v>6.5241419863906396</v>
      </c>
      <c r="N250" s="614">
        <v>3.4644544407110001</v>
      </c>
      <c r="O250" s="614">
        <v>3.0596875456796901</v>
      </c>
      <c r="P250" s="554">
        <v>3193614.2384000001</v>
      </c>
      <c r="Q250" s="614">
        <v>2820490.7520539998</v>
      </c>
      <c r="R250" s="614">
        <v>0</v>
      </c>
      <c r="S250" s="614">
        <v>0</v>
      </c>
      <c r="T250" s="614">
        <v>0.29302849026425498</v>
      </c>
      <c r="U250" s="614">
        <v>270120.44025400002</v>
      </c>
      <c r="V250" s="614">
        <v>0</v>
      </c>
      <c r="W250" s="614">
        <v>0</v>
      </c>
      <c r="X250" s="614">
        <v>-9.3923657728665996E-2</v>
      </c>
      <c r="Y250" s="614">
        <v>-86581.000205999997</v>
      </c>
      <c r="Z250" s="614">
        <v>0</v>
      </c>
      <c r="AA250" s="614">
        <v>0</v>
      </c>
      <c r="AB250" s="614">
        <v>0</v>
      </c>
      <c r="AC250" s="614">
        <v>0</v>
      </c>
      <c r="AD250" s="614">
        <v>-7.6180317967699997E-4</v>
      </c>
      <c r="AE250" s="614">
        <v>-702.247792</v>
      </c>
      <c r="AF250" s="614">
        <v>0</v>
      </c>
      <c r="AG250" s="614">
        <v>0</v>
      </c>
      <c r="AH250" s="614">
        <v>0</v>
      </c>
      <c r="AI250" s="614">
        <v>0</v>
      </c>
      <c r="AJ250" s="554">
        <v>-6.8526743616249997E-2</v>
      </c>
      <c r="AK250" s="554">
        <v>-63169.537331</v>
      </c>
      <c r="AL250" s="614">
        <v>3.5942707259961302</v>
      </c>
      <c r="AM250" s="614">
        <v>2.92987126039456</v>
      </c>
      <c r="AN250" s="554">
        <v>3313281.8929059999</v>
      </c>
      <c r="AO250" s="615">
        <v>2700823.097548</v>
      </c>
    </row>
    <row r="251" spans="1:41" s="555" customFormat="1" ht="12" thickBot="1">
      <c r="A251" s="918"/>
      <c r="B251" s="918"/>
      <c r="C251" s="925"/>
      <c r="D251" s="925"/>
      <c r="E251" s="925"/>
      <c r="F251" s="925"/>
      <c r="G251" s="612" t="s">
        <v>3705</v>
      </c>
      <c r="H251" s="613">
        <v>271095</v>
      </c>
      <c r="I251" s="614">
        <v>13237577.9</v>
      </c>
      <c r="J251" s="614">
        <v>6.2993104803597797</v>
      </c>
      <c r="K251" s="780">
        <v>9967926.0837009996</v>
      </c>
      <c r="L251" s="780">
        <v>295028.15088500001</v>
      </c>
      <c r="M251" s="554">
        <v>5.9686063693279996</v>
      </c>
      <c r="N251" s="614">
        <v>3.5265044030383002</v>
      </c>
      <c r="O251" s="614">
        <v>2.4421019662893002</v>
      </c>
      <c r="P251" s="554">
        <v>174315.07603900001</v>
      </c>
      <c r="Q251" s="614">
        <v>120713.074846</v>
      </c>
      <c r="R251" s="614">
        <v>0</v>
      </c>
      <c r="S251" s="614">
        <v>0</v>
      </c>
      <c r="T251" s="614">
        <v>0.26436916079318301</v>
      </c>
      <c r="U251" s="614">
        <v>13067.764874</v>
      </c>
      <c r="V251" s="614">
        <v>0</v>
      </c>
      <c r="W251" s="614">
        <v>0</v>
      </c>
      <c r="X251" s="614">
        <v>-0.18160771660911601</v>
      </c>
      <c r="Y251" s="614">
        <v>-8976.8675469999998</v>
      </c>
      <c r="Z251" s="614">
        <v>0</v>
      </c>
      <c r="AA251" s="614">
        <v>0</v>
      </c>
      <c r="AB251" s="614">
        <v>0</v>
      </c>
      <c r="AC251" s="614">
        <v>0</v>
      </c>
      <c r="AD251" s="614">
        <v>0</v>
      </c>
      <c r="AE251" s="614">
        <v>0</v>
      </c>
      <c r="AF251" s="614">
        <v>0</v>
      </c>
      <c r="AG251" s="614">
        <v>0</v>
      </c>
      <c r="AH251" s="614">
        <v>0</v>
      </c>
      <c r="AI251" s="614">
        <v>0</v>
      </c>
      <c r="AJ251" s="554">
        <v>-0.15287621972023899</v>
      </c>
      <c r="AK251" s="554">
        <v>-7556.669954</v>
      </c>
      <c r="AL251" s="614">
        <v>3.4563896276639801</v>
      </c>
      <c r="AM251" s="614">
        <v>2.5122167416636301</v>
      </c>
      <c r="AN251" s="554">
        <v>170849.30342000001</v>
      </c>
      <c r="AO251" s="615">
        <v>124178.847465</v>
      </c>
    </row>
    <row r="252" spans="1:41" s="502" customFormat="1" ht="12" thickBot="1">
      <c r="A252" s="918"/>
      <c r="B252" s="918"/>
      <c r="C252" s="917" t="s">
        <v>441</v>
      </c>
      <c r="D252" s="917" t="s">
        <v>442</v>
      </c>
      <c r="E252" s="917" t="s">
        <v>442</v>
      </c>
      <c r="F252" s="917" t="s">
        <v>442</v>
      </c>
      <c r="G252" s="608" t="s">
        <v>2643</v>
      </c>
      <c r="H252" s="609">
        <v>271067</v>
      </c>
      <c r="I252" s="610">
        <v>390385773.72000003</v>
      </c>
      <c r="J252" s="610">
        <v>5.7925341964749002</v>
      </c>
      <c r="K252" s="778">
        <v>244098414.65950099</v>
      </c>
      <c r="L252" s="778">
        <v>6692815.4440339999</v>
      </c>
      <c r="M252" s="501">
        <v>5.5291475569857704</v>
      </c>
      <c r="N252" s="610">
        <v>3.5205664688615199</v>
      </c>
      <c r="O252" s="610">
        <v>2.0085810881242101</v>
      </c>
      <c r="P252" s="501">
        <v>4261507.1114849998</v>
      </c>
      <c r="Q252" s="610">
        <v>2431308.3325490002</v>
      </c>
      <c r="R252" s="610">
        <v>0</v>
      </c>
      <c r="S252" s="610">
        <v>0</v>
      </c>
      <c r="T252" s="610">
        <v>9.9416709972644998E-2</v>
      </c>
      <c r="U252" s="610">
        <v>120340.01354499999</v>
      </c>
      <c r="V252" s="610">
        <v>0</v>
      </c>
      <c r="W252" s="610">
        <v>0</v>
      </c>
      <c r="X252" s="610">
        <v>-5.9693619879680998E-2</v>
      </c>
      <c r="Y252" s="610">
        <v>-72256.776822</v>
      </c>
      <c r="Z252" s="610">
        <v>0</v>
      </c>
      <c r="AA252" s="610">
        <v>0</v>
      </c>
      <c r="AB252" s="610">
        <v>0</v>
      </c>
      <c r="AC252" s="610">
        <v>0</v>
      </c>
      <c r="AD252" s="610">
        <v>0</v>
      </c>
      <c r="AE252" s="610">
        <v>0</v>
      </c>
      <c r="AF252" s="610">
        <v>0</v>
      </c>
      <c r="AG252" s="610">
        <v>0</v>
      </c>
      <c r="AH252" s="610">
        <v>0</v>
      </c>
      <c r="AI252" s="610">
        <v>0</v>
      </c>
      <c r="AJ252" s="501">
        <v>-3.9892433429417E-2</v>
      </c>
      <c r="AK252" s="501">
        <v>-48288.220164999999</v>
      </c>
      <c r="AL252" s="610">
        <v>3.5203971260438802</v>
      </c>
      <c r="AM252" s="610">
        <v>2.00875043094186</v>
      </c>
      <c r="AN252" s="501">
        <v>4261302.1286709998</v>
      </c>
      <c r="AO252" s="611">
        <v>2431513.3153630001</v>
      </c>
    </row>
    <row r="253" spans="1:41" s="528" customFormat="1" ht="12" thickBot="1">
      <c r="A253" s="918"/>
      <c r="B253" s="918"/>
      <c r="C253" s="918"/>
      <c r="D253" s="918"/>
      <c r="E253" s="918"/>
      <c r="F253" s="918"/>
      <c r="G253" s="664" t="s">
        <v>2644</v>
      </c>
      <c r="H253" s="665">
        <v>271083</v>
      </c>
      <c r="I253" s="666">
        <v>139581977.13</v>
      </c>
      <c r="J253" s="666">
        <v>6.1135197185700099</v>
      </c>
      <c r="K253" s="779">
        <v>135504566.997125</v>
      </c>
      <c r="L253" s="779">
        <v>3911042.915327</v>
      </c>
      <c r="M253" s="667">
        <v>5.8204014234774801</v>
      </c>
      <c r="N253" s="666">
        <v>3.44906792334104</v>
      </c>
      <c r="O253" s="666">
        <v>2.3713335001363398</v>
      </c>
      <c r="P253" s="667">
        <v>2317615.5190349999</v>
      </c>
      <c r="Q253" s="666">
        <v>1593427.3962920001</v>
      </c>
      <c r="R253" s="666">
        <v>0</v>
      </c>
      <c r="S253" s="666">
        <v>0</v>
      </c>
      <c r="T253" s="666">
        <v>0.13823153523096801</v>
      </c>
      <c r="U253" s="666">
        <v>92885.254333000004</v>
      </c>
      <c r="V253" s="666">
        <v>0</v>
      </c>
      <c r="W253" s="666">
        <v>0</v>
      </c>
      <c r="X253" s="666">
        <v>-4.5019453065604002E-2</v>
      </c>
      <c r="Y253" s="666">
        <v>-30251.008505000002</v>
      </c>
      <c r="Z253" s="666">
        <v>0</v>
      </c>
      <c r="AA253" s="666">
        <v>0</v>
      </c>
      <c r="AB253" s="666">
        <v>0</v>
      </c>
      <c r="AC253" s="666">
        <v>0</v>
      </c>
      <c r="AD253" s="666">
        <v>0</v>
      </c>
      <c r="AE253" s="666">
        <v>0</v>
      </c>
      <c r="AF253" s="666">
        <v>0</v>
      </c>
      <c r="AG253" s="666">
        <v>0</v>
      </c>
      <c r="AH253" s="666">
        <v>0</v>
      </c>
      <c r="AI253" s="666">
        <v>0</v>
      </c>
      <c r="AJ253" s="667">
        <v>-3.2048523507138001E-2</v>
      </c>
      <c r="AK253" s="667">
        <v>-21535.138504999999</v>
      </c>
      <c r="AL253" s="666">
        <v>3.51023148291898</v>
      </c>
      <c r="AM253" s="666">
        <v>2.31016994055841</v>
      </c>
      <c r="AN253" s="667">
        <v>2358714.6269760001</v>
      </c>
      <c r="AO253" s="668">
        <v>1552328.2883510001</v>
      </c>
    </row>
    <row r="254" spans="1:41" s="528" customFormat="1" ht="12" thickBot="1">
      <c r="A254" s="918"/>
      <c r="B254" s="918"/>
      <c r="C254" s="919"/>
      <c r="D254" s="919"/>
      <c r="E254" s="919"/>
      <c r="F254" s="919"/>
      <c r="G254" s="664" t="s">
        <v>4191</v>
      </c>
      <c r="H254" s="665">
        <v>271101</v>
      </c>
      <c r="I254" s="666">
        <v>5390000</v>
      </c>
      <c r="J254" s="666">
        <v>5.6477365491651197</v>
      </c>
      <c r="K254" s="779">
        <v>4912541.4364639996</v>
      </c>
      <c r="L254" s="779">
        <v>133891.11336700001</v>
      </c>
      <c r="M254" s="667">
        <v>5.4961656802361603</v>
      </c>
      <c r="N254" s="666">
        <v>3.4869166663011599</v>
      </c>
      <c r="O254" s="666">
        <v>2.0092490139349102</v>
      </c>
      <c r="P254" s="667">
        <v>84944.15595</v>
      </c>
      <c r="Q254" s="666">
        <v>48946.957416999998</v>
      </c>
      <c r="R254" s="666">
        <v>0</v>
      </c>
      <c r="S254" s="666">
        <v>0</v>
      </c>
      <c r="T254" s="666">
        <v>0</v>
      </c>
      <c r="U254" s="666">
        <v>0</v>
      </c>
      <c r="V254" s="666">
        <v>0</v>
      </c>
      <c r="W254" s="666">
        <v>0</v>
      </c>
      <c r="X254" s="666">
        <v>-6.9845753346941999E-2</v>
      </c>
      <c r="Y254" s="666">
        <v>-1701.499959</v>
      </c>
      <c r="Z254" s="666">
        <v>0</v>
      </c>
      <c r="AA254" s="666">
        <v>0</v>
      </c>
      <c r="AB254" s="666">
        <v>0</v>
      </c>
      <c r="AC254" s="666">
        <v>0</v>
      </c>
      <c r="AD254" s="666">
        <v>0</v>
      </c>
      <c r="AE254" s="666">
        <v>0</v>
      </c>
      <c r="AF254" s="666">
        <v>0</v>
      </c>
      <c r="AG254" s="666">
        <v>0</v>
      </c>
      <c r="AH254" s="666">
        <v>0</v>
      </c>
      <c r="AI254" s="666">
        <v>0</v>
      </c>
      <c r="AJ254" s="667">
        <v>-1.6511026736170002E-2</v>
      </c>
      <c r="AK254" s="667">
        <v>-402.22218199999998</v>
      </c>
      <c r="AL254" s="666">
        <v>3.4005598862180499</v>
      </c>
      <c r="AM254" s="666">
        <v>2.0956057940180202</v>
      </c>
      <c r="AN254" s="667">
        <v>82840.433808999995</v>
      </c>
      <c r="AO254" s="668">
        <v>51050.679558000003</v>
      </c>
    </row>
    <row r="255" spans="1:41" s="528" customFormat="1" ht="12" thickBot="1">
      <c r="A255" s="918"/>
      <c r="B255" s="918"/>
      <c r="C255" s="917" t="s">
        <v>445</v>
      </c>
      <c r="D255" s="917" t="s">
        <v>445</v>
      </c>
      <c r="E255" s="664" t="s">
        <v>2715</v>
      </c>
      <c r="F255" s="664" t="s">
        <v>2715</v>
      </c>
      <c r="G255" s="664" t="s">
        <v>2715</v>
      </c>
      <c r="H255" s="665">
        <v>271089</v>
      </c>
      <c r="I255" s="666">
        <v>8669031.9800000004</v>
      </c>
      <c r="J255" s="666">
        <v>6.5369711385007498</v>
      </c>
      <c r="K255" s="779">
        <v>9574777.6179009993</v>
      </c>
      <c r="L255" s="779">
        <v>291322.024645</v>
      </c>
      <c r="M255" s="667">
        <v>6.1356264821921904</v>
      </c>
      <c r="N255" s="666">
        <v>3.47593698315085</v>
      </c>
      <c r="O255" s="666">
        <v>2.65968949904163</v>
      </c>
      <c r="P255" s="667">
        <v>165038.892509</v>
      </c>
      <c r="Q255" s="666">
        <v>126283.132136</v>
      </c>
      <c r="R255" s="666">
        <v>0</v>
      </c>
      <c r="S255" s="666">
        <v>0</v>
      </c>
      <c r="T255" s="666">
        <v>0</v>
      </c>
      <c r="U255" s="666">
        <v>0</v>
      </c>
      <c r="V255" s="666">
        <v>0</v>
      </c>
      <c r="W255" s="666">
        <v>0</v>
      </c>
      <c r="X255" s="666">
        <v>-5.4577386320332003E-2</v>
      </c>
      <c r="Y255" s="666">
        <v>-2591.3563559999998</v>
      </c>
      <c r="Z255" s="666">
        <v>0</v>
      </c>
      <c r="AA255" s="666">
        <v>0</v>
      </c>
      <c r="AB255" s="666">
        <v>0</v>
      </c>
      <c r="AC255" s="666">
        <v>0</v>
      </c>
      <c r="AD255" s="666">
        <v>-6.2928235006249E-2</v>
      </c>
      <c r="AE255" s="666">
        <v>-2987.8580259999999</v>
      </c>
      <c r="AF255" s="666">
        <v>0</v>
      </c>
      <c r="AG255" s="666">
        <v>0</v>
      </c>
      <c r="AH255" s="666">
        <v>0</v>
      </c>
      <c r="AI255" s="666">
        <v>0</v>
      </c>
      <c r="AJ255" s="667">
        <v>-1.354487918734E-2</v>
      </c>
      <c r="AK255" s="667">
        <v>-643.11633700000004</v>
      </c>
      <c r="AL255" s="666">
        <v>3.3340220864714101</v>
      </c>
      <c r="AM255" s="666">
        <v>2.8016043957210699</v>
      </c>
      <c r="AN255" s="667">
        <v>158300.71587000001</v>
      </c>
      <c r="AO255" s="668">
        <v>133021.30877500001</v>
      </c>
    </row>
    <row r="256" spans="1:41" s="502" customFormat="1" ht="12" thickBot="1">
      <c r="A256" s="918"/>
      <c r="B256" s="918"/>
      <c r="C256" s="918"/>
      <c r="D256" s="918"/>
      <c r="E256" s="917" t="s">
        <v>445</v>
      </c>
      <c r="F256" s="917" t="s">
        <v>445</v>
      </c>
      <c r="G256" s="608" t="s">
        <v>2645</v>
      </c>
      <c r="H256" s="609">
        <v>271075</v>
      </c>
      <c r="I256" s="610">
        <v>3461010430.21</v>
      </c>
      <c r="J256" s="610">
        <v>6.01479722940116</v>
      </c>
      <c r="K256" s="778">
        <v>3479869182.7089</v>
      </c>
      <c r="L256" s="778">
        <v>99647535.821041003</v>
      </c>
      <c r="M256" s="501">
        <v>5.7745471943710696</v>
      </c>
      <c r="N256" s="610">
        <v>3.4886354235724601</v>
      </c>
      <c r="O256" s="610">
        <v>2.2859117707986201</v>
      </c>
      <c r="P256" s="501">
        <v>60201070.600974001</v>
      </c>
      <c r="Q256" s="610">
        <v>39446465.220067099</v>
      </c>
      <c r="R256" s="610">
        <v>0</v>
      </c>
      <c r="S256" s="610">
        <v>0</v>
      </c>
      <c r="T256" s="610">
        <v>9.9681781351066007E-2</v>
      </c>
      <c r="U256" s="610">
        <v>1720142.4706629999</v>
      </c>
      <c r="V256" s="610">
        <v>0</v>
      </c>
      <c r="W256" s="610">
        <v>0</v>
      </c>
      <c r="X256" s="610">
        <v>-3.9132427238816998E-2</v>
      </c>
      <c r="Y256" s="610">
        <v>-675282.37518700003</v>
      </c>
      <c r="Z256" s="610">
        <v>0</v>
      </c>
      <c r="AA256" s="610">
        <v>0</v>
      </c>
      <c r="AB256" s="610">
        <v>0</v>
      </c>
      <c r="AC256" s="610">
        <v>0</v>
      </c>
      <c r="AD256" s="610">
        <v>-3.1842041528013003E-2</v>
      </c>
      <c r="AE256" s="610">
        <v>-549477.018193</v>
      </c>
      <c r="AF256" s="610">
        <v>0</v>
      </c>
      <c r="AG256" s="610">
        <v>0</v>
      </c>
      <c r="AH256" s="610">
        <v>0</v>
      </c>
      <c r="AI256" s="610">
        <v>0</v>
      </c>
      <c r="AJ256" s="501">
        <v>-4.9748984887694997E-2</v>
      </c>
      <c r="AK256" s="501">
        <v>-858485.27803000004</v>
      </c>
      <c r="AL256" s="610">
        <v>3.4638986964123801</v>
      </c>
      <c r="AM256" s="610">
        <v>2.3106484979587001</v>
      </c>
      <c r="AN256" s="501">
        <v>59774205.286204003</v>
      </c>
      <c r="AO256" s="611">
        <v>39873330.534837097</v>
      </c>
    </row>
    <row r="257" spans="1:41" s="528" customFormat="1" ht="12" thickBot="1">
      <c r="A257" s="918"/>
      <c r="B257" s="918"/>
      <c r="C257" s="918"/>
      <c r="D257" s="918"/>
      <c r="E257" s="918"/>
      <c r="F257" s="918"/>
      <c r="G257" s="664" t="s">
        <v>2646</v>
      </c>
      <c r="H257" s="665">
        <v>271086</v>
      </c>
      <c r="I257" s="666">
        <v>9065439700.2400093</v>
      </c>
      <c r="J257" s="666">
        <v>6.1372284156354002</v>
      </c>
      <c r="K257" s="779">
        <v>9373289006.6992207</v>
      </c>
      <c r="L257" s="779">
        <v>271751396.74030399</v>
      </c>
      <c r="M257" s="667">
        <v>5.8464745927042401</v>
      </c>
      <c r="N257" s="666">
        <v>3.4641705432944301</v>
      </c>
      <c r="O257" s="666">
        <v>2.38230404940979</v>
      </c>
      <c r="P257" s="667">
        <v>161018947.189412</v>
      </c>
      <c r="Q257" s="666">
        <v>110732449.550892</v>
      </c>
      <c r="R257" s="666">
        <v>0</v>
      </c>
      <c r="S257" s="666">
        <v>0</v>
      </c>
      <c r="T257" s="666">
        <v>9.7996062115579E-2</v>
      </c>
      <c r="U257" s="666">
        <v>4554978.6170610003</v>
      </c>
      <c r="V257" s="666">
        <v>0</v>
      </c>
      <c r="W257" s="666">
        <v>0</v>
      </c>
      <c r="X257" s="666">
        <v>-3.78417805572E-2</v>
      </c>
      <c r="Y257" s="666">
        <v>-1758932.9361650001</v>
      </c>
      <c r="Z257" s="666">
        <v>0</v>
      </c>
      <c r="AA257" s="666">
        <v>0</v>
      </c>
      <c r="AB257" s="666">
        <v>0</v>
      </c>
      <c r="AC257" s="666">
        <v>0</v>
      </c>
      <c r="AD257" s="666">
        <v>-2.1231148854518E-2</v>
      </c>
      <c r="AE257" s="666">
        <v>-986850.15459000005</v>
      </c>
      <c r="AF257" s="666">
        <v>0</v>
      </c>
      <c r="AG257" s="666">
        <v>0</v>
      </c>
      <c r="AH257" s="666">
        <v>0</v>
      </c>
      <c r="AI257" s="666">
        <v>0</v>
      </c>
      <c r="AJ257" s="667">
        <v>-5.0048618220120002E-2</v>
      </c>
      <c r="AK257" s="667">
        <v>-2326321.9040089999</v>
      </c>
      <c r="AL257" s="666">
        <v>3.4497446393181299</v>
      </c>
      <c r="AM257" s="666">
        <v>2.3967299533860902</v>
      </c>
      <c r="AN257" s="667">
        <v>160348413.26462701</v>
      </c>
      <c r="AO257" s="668">
        <v>111402983.475677</v>
      </c>
    </row>
    <row r="258" spans="1:41" s="528" customFormat="1" ht="12" thickBot="1">
      <c r="A258" s="918"/>
      <c r="B258" s="918"/>
      <c r="C258" s="919"/>
      <c r="D258" s="919"/>
      <c r="E258" s="919"/>
      <c r="F258" s="919"/>
      <c r="G258" s="664" t="s">
        <v>4192</v>
      </c>
      <c r="H258" s="665">
        <v>271103</v>
      </c>
      <c r="I258" s="666">
        <v>332187100.06999999</v>
      </c>
      <c r="J258" s="666">
        <v>5.8317261240376297</v>
      </c>
      <c r="K258" s="779">
        <v>327684020.27624202</v>
      </c>
      <c r="L258" s="779">
        <v>9058409.1391139999</v>
      </c>
      <c r="M258" s="667">
        <v>5.5745646799697699</v>
      </c>
      <c r="N258" s="666">
        <v>3.4652202578050999</v>
      </c>
      <c r="O258" s="666">
        <v>2.10934442216465</v>
      </c>
      <c r="P258" s="667">
        <v>5630822.2532839999</v>
      </c>
      <c r="Q258" s="666">
        <v>3427586.88583</v>
      </c>
      <c r="R258" s="666">
        <v>0</v>
      </c>
      <c r="S258" s="666">
        <v>0</v>
      </c>
      <c r="T258" s="666">
        <v>1.7114590823704999E-2</v>
      </c>
      <c r="U258" s="666">
        <v>27810.416567</v>
      </c>
      <c r="V258" s="666">
        <v>0</v>
      </c>
      <c r="W258" s="666">
        <v>0</v>
      </c>
      <c r="X258" s="666">
        <v>-6.2202833371784998E-2</v>
      </c>
      <c r="Y258" s="666">
        <v>-101076.720182</v>
      </c>
      <c r="Z258" s="666">
        <v>0</v>
      </c>
      <c r="AA258" s="666">
        <v>0</v>
      </c>
      <c r="AB258" s="666">
        <v>0</v>
      </c>
      <c r="AC258" s="666">
        <v>0</v>
      </c>
      <c r="AD258" s="666">
        <v>0</v>
      </c>
      <c r="AE258" s="666">
        <v>0</v>
      </c>
      <c r="AF258" s="666">
        <v>0</v>
      </c>
      <c r="AG258" s="666">
        <v>0</v>
      </c>
      <c r="AH258" s="666">
        <v>0</v>
      </c>
      <c r="AI258" s="666">
        <v>0</v>
      </c>
      <c r="AJ258" s="667">
        <v>-2.4374014029642E-2</v>
      </c>
      <c r="AK258" s="667">
        <v>-39606.642692000001</v>
      </c>
      <c r="AL258" s="666">
        <v>3.3957580027357301</v>
      </c>
      <c r="AM258" s="666">
        <v>2.17880667723403</v>
      </c>
      <c r="AN258" s="667">
        <v>5517949.3094279999</v>
      </c>
      <c r="AO258" s="668">
        <v>3540459.829686</v>
      </c>
    </row>
    <row r="259" spans="1:41" s="555" customFormat="1" ht="12" thickBot="1">
      <c r="A259" s="918"/>
      <c r="B259" s="918"/>
      <c r="C259" s="917" t="s">
        <v>447</v>
      </c>
      <c r="D259" s="612" t="s">
        <v>448</v>
      </c>
      <c r="E259" s="612" t="s">
        <v>448</v>
      </c>
      <c r="F259" s="612" t="s">
        <v>448</v>
      </c>
      <c r="G259" s="612" t="s">
        <v>448</v>
      </c>
      <c r="H259" s="613">
        <v>271076</v>
      </c>
      <c r="I259" s="614">
        <v>23786699.25</v>
      </c>
      <c r="J259" s="614">
        <v>4.8142601174193604</v>
      </c>
      <c r="K259" s="780">
        <v>30198829.483922999</v>
      </c>
      <c r="L259" s="780">
        <v>691413.953156</v>
      </c>
      <c r="M259" s="554">
        <v>4.61702599046213</v>
      </c>
      <c r="N259" s="614">
        <v>3.3461365684073399</v>
      </c>
      <c r="O259" s="614">
        <v>1.2708894220548399</v>
      </c>
      <c r="P259" s="554">
        <v>501094.32291300001</v>
      </c>
      <c r="Q259" s="614">
        <v>190319.63024299999</v>
      </c>
      <c r="R259" s="614">
        <v>0</v>
      </c>
      <c r="S259" s="614">
        <v>0</v>
      </c>
      <c r="T259" s="614">
        <v>9.7494941579299998E-4</v>
      </c>
      <c r="U259" s="614">
        <v>146.00169700000001</v>
      </c>
      <c r="V259" s="614">
        <v>0</v>
      </c>
      <c r="W259" s="614">
        <v>0</v>
      </c>
      <c r="X259" s="614">
        <v>-6.5686988216826003E-2</v>
      </c>
      <c r="Y259" s="614">
        <v>-9836.8300909999998</v>
      </c>
      <c r="Z259" s="614">
        <v>0</v>
      </c>
      <c r="AA259" s="614">
        <v>0</v>
      </c>
      <c r="AB259" s="614">
        <v>0</v>
      </c>
      <c r="AC259" s="614">
        <v>0</v>
      </c>
      <c r="AD259" s="614">
        <v>0</v>
      </c>
      <c r="AE259" s="614">
        <v>0</v>
      </c>
      <c r="AF259" s="614">
        <v>0</v>
      </c>
      <c r="AG259" s="614">
        <v>0</v>
      </c>
      <c r="AH259" s="614">
        <v>0</v>
      </c>
      <c r="AI259" s="614">
        <v>0</v>
      </c>
      <c r="AJ259" s="554">
        <v>-1.854906514E-5</v>
      </c>
      <c r="AK259" s="554">
        <v>-2.7777799999999999</v>
      </c>
      <c r="AL259" s="614">
        <v>3.28140598210374</v>
      </c>
      <c r="AM259" s="614">
        <v>1.33562000835845</v>
      </c>
      <c r="AN259" s="554">
        <v>491400.71697299997</v>
      </c>
      <c r="AO259" s="615">
        <v>200013.236183</v>
      </c>
    </row>
    <row r="260" spans="1:41" s="502" customFormat="1" ht="12" thickBot="1">
      <c r="A260" s="918"/>
      <c r="B260" s="918"/>
      <c r="C260" s="918"/>
      <c r="D260" s="917" t="s">
        <v>449</v>
      </c>
      <c r="E260" s="917" t="s">
        <v>449</v>
      </c>
      <c r="F260" s="917" t="s">
        <v>449</v>
      </c>
      <c r="G260" s="608" t="s">
        <v>3514</v>
      </c>
      <c r="H260" s="609">
        <v>271078</v>
      </c>
      <c r="I260" s="610">
        <v>900000</v>
      </c>
      <c r="J260" s="610">
        <v>4.7850000000000001</v>
      </c>
      <c r="K260" s="778">
        <v>902003.15541500004</v>
      </c>
      <c r="L260" s="778">
        <v>20472.603617000001</v>
      </c>
      <c r="M260" s="501">
        <v>4.5769831189597401</v>
      </c>
      <c r="N260" s="610">
        <v>3.5315603802747702</v>
      </c>
      <c r="O260" s="610">
        <v>1.04542273868819</v>
      </c>
      <c r="P260" s="501">
        <v>15796.482953000001</v>
      </c>
      <c r="Q260" s="610">
        <v>4676.120664</v>
      </c>
      <c r="R260" s="610">
        <v>0</v>
      </c>
      <c r="S260" s="610">
        <v>0</v>
      </c>
      <c r="T260" s="610">
        <v>0</v>
      </c>
      <c r="U260" s="610">
        <v>0</v>
      </c>
      <c r="V260" s="610">
        <v>0</v>
      </c>
      <c r="W260" s="610">
        <v>0</v>
      </c>
      <c r="X260" s="610">
        <v>-0.10619396644314</v>
      </c>
      <c r="Y260" s="610">
        <v>-475</v>
      </c>
      <c r="Z260" s="610">
        <v>0</v>
      </c>
      <c r="AA260" s="610">
        <v>0</v>
      </c>
      <c r="AB260" s="610">
        <v>0</v>
      </c>
      <c r="AC260" s="610">
        <v>0</v>
      </c>
      <c r="AD260" s="610">
        <v>0</v>
      </c>
      <c r="AE260" s="610">
        <v>0</v>
      </c>
      <c r="AF260" s="610">
        <v>0</v>
      </c>
      <c r="AG260" s="610">
        <v>0</v>
      </c>
      <c r="AH260" s="610">
        <v>0</v>
      </c>
      <c r="AI260" s="610">
        <v>0</v>
      </c>
      <c r="AJ260" s="501">
        <v>-2.9300721756920002E-3</v>
      </c>
      <c r="AK260" s="501">
        <v>-13.106058000000001</v>
      </c>
      <c r="AL260" s="610">
        <v>3.42243634076168</v>
      </c>
      <c r="AM260" s="610">
        <v>1.1545467782012899</v>
      </c>
      <c r="AN260" s="501">
        <v>15308.376891</v>
      </c>
      <c r="AO260" s="611">
        <v>5164.2267259999999</v>
      </c>
    </row>
    <row r="261" spans="1:41" s="528" customFormat="1" ht="12" thickBot="1">
      <c r="A261" s="919"/>
      <c r="B261" s="919"/>
      <c r="C261" s="919"/>
      <c r="D261" s="919"/>
      <c r="E261" s="919"/>
      <c r="F261" s="919"/>
      <c r="G261" s="664" t="s">
        <v>2647</v>
      </c>
      <c r="H261" s="665">
        <v>271087</v>
      </c>
      <c r="I261" s="666">
        <v>20623541.149999999</v>
      </c>
      <c r="J261" s="666">
        <v>4.7994124632393698</v>
      </c>
      <c r="K261" s="779">
        <v>36374849.781989001</v>
      </c>
      <c r="L261" s="779">
        <v>827258.33482999995</v>
      </c>
      <c r="M261" s="667">
        <v>4.5862131219005802</v>
      </c>
      <c r="N261" s="666">
        <v>3.4084697143275</v>
      </c>
      <c r="O261" s="666">
        <v>1.1777434075730899</v>
      </c>
      <c r="P261" s="667">
        <v>614817.69495799998</v>
      </c>
      <c r="Q261" s="666">
        <v>212440.639872</v>
      </c>
      <c r="R261" s="666">
        <v>0</v>
      </c>
      <c r="S261" s="666">
        <v>0</v>
      </c>
      <c r="T261" s="666">
        <v>0</v>
      </c>
      <c r="U261" s="666">
        <v>0</v>
      </c>
      <c r="V261" s="666">
        <v>0</v>
      </c>
      <c r="W261" s="666">
        <v>0</v>
      </c>
      <c r="X261" s="666">
        <v>-3.8676923760273998E-2</v>
      </c>
      <c r="Y261" s="666">
        <v>-6976.5199949999997</v>
      </c>
      <c r="Z261" s="666">
        <v>0</v>
      </c>
      <c r="AA261" s="666">
        <v>0</v>
      </c>
      <c r="AB261" s="666">
        <v>0</v>
      </c>
      <c r="AC261" s="666">
        <v>0</v>
      </c>
      <c r="AD261" s="666">
        <v>0</v>
      </c>
      <c r="AE261" s="666">
        <v>0</v>
      </c>
      <c r="AF261" s="666">
        <v>0</v>
      </c>
      <c r="AG261" s="666">
        <v>0</v>
      </c>
      <c r="AH261" s="666">
        <v>0</v>
      </c>
      <c r="AI261" s="666">
        <v>0</v>
      </c>
      <c r="AJ261" s="667">
        <v>-7.9763163878770003E-3</v>
      </c>
      <c r="AK261" s="667">
        <v>-1438.763101</v>
      </c>
      <c r="AL261" s="666">
        <v>3.3618164750386499</v>
      </c>
      <c r="AM261" s="666">
        <v>1.2243966468619401</v>
      </c>
      <c r="AN261" s="667">
        <v>606402.41201700002</v>
      </c>
      <c r="AO261" s="668">
        <v>220855.92281300001</v>
      </c>
    </row>
    <row r="262" spans="1:41" ht="12" thickBot="1">
      <c r="A262" s="917" t="s">
        <v>451</v>
      </c>
      <c r="B262" s="917" t="s">
        <v>452</v>
      </c>
      <c r="C262" s="917" t="s">
        <v>452</v>
      </c>
      <c r="D262" s="917" t="s">
        <v>452</v>
      </c>
      <c r="E262" s="917" t="s">
        <v>626</v>
      </c>
      <c r="F262" s="600" t="s">
        <v>2583</v>
      </c>
      <c r="G262" s="600" t="s">
        <v>2716</v>
      </c>
      <c r="H262" s="601">
        <v>470021</v>
      </c>
      <c r="I262" s="602">
        <v>1518125995.0253301</v>
      </c>
      <c r="J262" s="602">
        <v>0.24390353929599501</v>
      </c>
      <c r="K262" s="776">
        <v>1455990392.4231701</v>
      </c>
      <c r="L262" s="776">
        <v>11657218.6</v>
      </c>
      <c r="M262" s="498">
        <v>1.61454710761055</v>
      </c>
      <c r="N262" s="602">
        <v>2.4653648821291898</v>
      </c>
      <c r="O262" s="602">
        <v>-0.85081777451863905</v>
      </c>
      <c r="P262" s="498">
        <v>17800222.256925002</v>
      </c>
      <c r="Q262" s="602">
        <v>-6143003.6569250003</v>
      </c>
      <c r="R262" s="602">
        <v>0</v>
      </c>
      <c r="S262" s="602">
        <v>0</v>
      </c>
      <c r="T262" s="602">
        <v>0</v>
      </c>
      <c r="U262" s="602">
        <v>0</v>
      </c>
      <c r="V262" s="602">
        <v>0</v>
      </c>
      <c r="W262" s="602">
        <v>0</v>
      </c>
      <c r="X262" s="602">
        <v>0</v>
      </c>
      <c r="Y262" s="602">
        <v>0</v>
      </c>
      <c r="Z262" s="602">
        <v>0</v>
      </c>
      <c r="AA262" s="602">
        <v>0</v>
      </c>
      <c r="AB262" s="602">
        <v>0</v>
      </c>
      <c r="AC262" s="602">
        <v>0</v>
      </c>
      <c r="AD262" s="602">
        <v>0</v>
      </c>
      <c r="AE262" s="602">
        <v>0</v>
      </c>
      <c r="AF262" s="602">
        <v>0</v>
      </c>
      <c r="AG262" s="602">
        <v>0</v>
      </c>
      <c r="AH262" s="602">
        <v>0</v>
      </c>
      <c r="AI262" s="602">
        <v>0</v>
      </c>
      <c r="AJ262" s="498">
        <v>0</v>
      </c>
      <c r="AK262" s="498">
        <v>0</v>
      </c>
      <c r="AL262" s="602">
        <v>2.4653648821291898</v>
      </c>
      <c r="AM262" s="602">
        <v>-0.85081777451863905</v>
      </c>
      <c r="AN262" s="498">
        <v>17800222.256925002</v>
      </c>
      <c r="AO262" s="603">
        <v>-6143003.6569250003</v>
      </c>
    </row>
    <row r="263" spans="1:41" ht="12" thickBot="1">
      <c r="A263" s="918"/>
      <c r="B263" s="918"/>
      <c r="C263" s="918"/>
      <c r="D263" s="918"/>
      <c r="E263" s="919"/>
      <c r="F263" s="600" t="s">
        <v>2584</v>
      </c>
      <c r="G263" s="600" t="s">
        <v>2584</v>
      </c>
      <c r="H263" s="601">
        <v>470031</v>
      </c>
      <c r="I263" s="602">
        <v>1310000000</v>
      </c>
      <c r="J263" s="602">
        <v>0</v>
      </c>
      <c r="K263" s="776">
        <v>3573149171.27072</v>
      </c>
      <c r="L263" s="776">
        <v>3655833.33</v>
      </c>
      <c r="M263" s="498">
        <v>0.20632389607106399</v>
      </c>
      <c r="N263" s="602">
        <v>3.32556258833581</v>
      </c>
      <c r="O263" s="602">
        <v>-3.1192386922647501</v>
      </c>
      <c r="P263" s="498">
        <v>58925324.613159001</v>
      </c>
      <c r="Q263" s="602">
        <v>-55269491.283159003</v>
      </c>
      <c r="R263" s="602">
        <v>0</v>
      </c>
      <c r="S263" s="602">
        <v>0</v>
      </c>
      <c r="T263" s="602">
        <v>0</v>
      </c>
      <c r="U263" s="602">
        <v>0</v>
      </c>
      <c r="V263" s="602">
        <v>0</v>
      </c>
      <c r="W263" s="602">
        <v>0</v>
      </c>
      <c r="X263" s="602">
        <v>0</v>
      </c>
      <c r="Y263" s="602">
        <v>0</v>
      </c>
      <c r="Z263" s="602">
        <v>0</v>
      </c>
      <c r="AA263" s="602">
        <v>0</v>
      </c>
      <c r="AB263" s="602">
        <v>0</v>
      </c>
      <c r="AC263" s="602">
        <v>0</v>
      </c>
      <c r="AD263" s="602">
        <v>0</v>
      </c>
      <c r="AE263" s="602">
        <v>0</v>
      </c>
      <c r="AF263" s="602">
        <v>0</v>
      </c>
      <c r="AG263" s="602">
        <v>0</v>
      </c>
      <c r="AH263" s="602">
        <v>0</v>
      </c>
      <c r="AI263" s="602">
        <v>0</v>
      </c>
      <c r="AJ263" s="498">
        <v>0</v>
      </c>
      <c r="AK263" s="498">
        <v>0</v>
      </c>
      <c r="AL263" s="602">
        <v>3.32556258833581</v>
      </c>
      <c r="AM263" s="602">
        <v>-3.1192386922647501</v>
      </c>
      <c r="AN263" s="498">
        <v>58925324.613159001</v>
      </c>
      <c r="AO263" s="603">
        <v>-55269491.283159003</v>
      </c>
    </row>
    <row r="264" spans="1:41" ht="12" thickBot="1">
      <c r="A264" s="918"/>
      <c r="B264" s="918"/>
      <c r="C264" s="918"/>
      <c r="D264" s="918"/>
      <c r="E264" s="600" t="s">
        <v>2717</v>
      </c>
      <c r="F264" s="600" t="s">
        <v>2718</v>
      </c>
      <c r="G264" s="600" t="s">
        <v>2719</v>
      </c>
      <c r="H264" s="601">
        <v>470041</v>
      </c>
      <c r="I264" s="602">
        <v>195558</v>
      </c>
      <c r="J264" s="602">
        <v>0.01</v>
      </c>
      <c r="K264" s="776">
        <v>153126.53038700001</v>
      </c>
      <c r="L264" s="776">
        <v>0</v>
      </c>
      <c r="M264" s="498">
        <v>0</v>
      </c>
      <c r="N264" s="602">
        <v>0</v>
      </c>
      <c r="O264" s="602">
        <v>0</v>
      </c>
      <c r="P264" s="498">
        <v>0</v>
      </c>
      <c r="Q264" s="602">
        <v>0</v>
      </c>
      <c r="R264" s="602">
        <v>0</v>
      </c>
      <c r="S264" s="602">
        <v>0</v>
      </c>
      <c r="T264" s="602">
        <v>0</v>
      </c>
      <c r="U264" s="602">
        <v>0</v>
      </c>
      <c r="V264" s="602">
        <v>0</v>
      </c>
      <c r="W264" s="602">
        <v>0</v>
      </c>
      <c r="X264" s="602">
        <v>0</v>
      </c>
      <c r="Y264" s="602">
        <v>0</v>
      </c>
      <c r="Z264" s="602">
        <v>0</v>
      </c>
      <c r="AA264" s="602">
        <v>0</v>
      </c>
      <c r="AB264" s="602">
        <v>0</v>
      </c>
      <c r="AC264" s="602">
        <v>0</v>
      </c>
      <c r="AD264" s="602">
        <v>0</v>
      </c>
      <c r="AE264" s="602">
        <v>0</v>
      </c>
      <c r="AF264" s="602">
        <v>0</v>
      </c>
      <c r="AG264" s="602">
        <v>0</v>
      </c>
      <c r="AH264" s="602">
        <v>0</v>
      </c>
      <c r="AI264" s="602">
        <v>0</v>
      </c>
      <c r="AJ264" s="498">
        <v>0</v>
      </c>
      <c r="AK264" s="498">
        <v>0</v>
      </c>
      <c r="AL264" s="602">
        <v>0</v>
      </c>
      <c r="AM264" s="602">
        <v>0</v>
      </c>
      <c r="AN264" s="498">
        <v>0</v>
      </c>
      <c r="AO264" s="603">
        <v>0</v>
      </c>
    </row>
    <row r="265" spans="1:41" ht="12" thickBot="1">
      <c r="A265" s="918"/>
      <c r="B265" s="918"/>
      <c r="C265" s="918"/>
      <c r="D265" s="918"/>
      <c r="E265" s="600" t="s">
        <v>453</v>
      </c>
      <c r="F265" s="600" t="s">
        <v>2720</v>
      </c>
      <c r="G265" s="600" t="s">
        <v>454</v>
      </c>
      <c r="H265" s="601">
        <v>470061</v>
      </c>
      <c r="I265" s="602">
        <v>5422093321.6374302</v>
      </c>
      <c r="J265" s="602">
        <v>7.7172728179280004E-3</v>
      </c>
      <c r="K265" s="776">
        <v>831199436.52486503</v>
      </c>
      <c r="L265" s="776">
        <v>0</v>
      </c>
      <c r="M265" s="498">
        <v>0</v>
      </c>
      <c r="N265" s="602">
        <v>0.78303922174708995</v>
      </c>
      <c r="O265" s="602">
        <v>-0.78303922174708995</v>
      </c>
      <c r="P265" s="498">
        <v>3227561.0559080001</v>
      </c>
      <c r="Q265" s="602">
        <v>-3227561.0559080001</v>
      </c>
      <c r="R265" s="602">
        <v>0</v>
      </c>
      <c r="S265" s="602">
        <v>0</v>
      </c>
      <c r="T265" s="602">
        <v>0</v>
      </c>
      <c r="U265" s="602">
        <v>0</v>
      </c>
      <c r="V265" s="602">
        <v>0</v>
      </c>
      <c r="W265" s="602">
        <v>0</v>
      </c>
      <c r="X265" s="602">
        <v>0</v>
      </c>
      <c r="Y265" s="602">
        <v>0</v>
      </c>
      <c r="Z265" s="602">
        <v>0</v>
      </c>
      <c r="AA265" s="602">
        <v>0</v>
      </c>
      <c r="AB265" s="602">
        <v>0</v>
      </c>
      <c r="AC265" s="602">
        <v>0</v>
      </c>
      <c r="AD265" s="602">
        <v>0</v>
      </c>
      <c r="AE265" s="602">
        <v>0</v>
      </c>
      <c r="AF265" s="602">
        <v>0</v>
      </c>
      <c r="AG265" s="602">
        <v>0</v>
      </c>
      <c r="AH265" s="602">
        <v>0</v>
      </c>
      <c r="AI265" s="602">
        <v>0</v>
      </c>
      <c r="AJ265" s="498">
        <v>0</v>
      </c>
      <c r="AK265" s="498">
        <v>0</v>
      </c>
      <c r="AL265" s="602">
        <v>0.78303922174708995</v>
      </c>
      <c r="AM265" s="602">
        <v>-0.78303922174708995</v>
      </c>
      <c r="AN265" s="498">
        <v>3227561.0559080001</v>
      </c>
      <c r="AO265" s="603">
        <v>-3227561.0559080001</v>
      </c>
    </row>
    <row r="266" spans="1:41" ht="12" thickBot="1">
      <c r="A266" s="918"/>
      <c r="B266" s="918"/>
      <c r="C266" s="918"/>
      <c r="D266" s="918"/>
      <c r="E266" s="600" t="s">
        <v>2721</v>
      </c>
      <c r="F266" s="600" t="s">
        <v>2722</v>
      </c>
      <c r="G266" s="600" t="s">
        <v>2723</v>
      </c>
      <c r="H266" s="601">
        <v>470161</v>
      </c>
      <c r="I266" s="602">
        <v>468988709.83999997</v>
      </c>
      <c r="J266" s="602">
        <v>0.72</v>
      </c>
      <c r="K266" s="776">
        <v>564937372.37602198</v>
      </c>
      <c r="L266" s="776">
        <v>7481664.4800000004</v>
      </c>
      <c r="M266" s="498">
        <v>2.67062070706426</v>
      </c>
      <c r="N266" s="602">
        <v>2.57919905107414</v>
      </c>
      <c r="O266" s="602">
        <v>9.1421655990120004E-2</v>
      </c>
      <c r="P266" s="498">
        <v>7225549.4298489997</v>
      </c>
      <c r="Q266" s="602">
        <v>256115.050151</v>
      </c>
      <c r="R266" s="602">
        <v>0</v>
      </c>
      <c r="S266" s="602">
        <v>0</v>
      </c>
      <c r="T266" s="602">
        <v>0</v>
      </c>
      <c r="U266" s="602">
        <v>0</v>
      </c>
      <c r="V266" s="602">
        <v>0</v>
      </c>
      <c r="W266" s="602">
        <v>0</v>
      </c>
      <c r="X266" s="602">
        <v>0</v>
      </c>
      <c r="Y266" s="602">
        <v>0</v>
      </c>
      <c r="Z266" s="602">
        <v>0</v>
      </c>
      <c r="AA266" s="602">
        <v>0</v>
      </c>
      <c r="AB266" s="602">
        <v>0</v>
      </c>
      <c r="AC266" s="602">
        <v>0</v>
      </c>
      <c r="AD266" s="602">
        <v>0</v>
      </c>
      <c r="AE266" s="602">
        <v>0</v>
      </c>
      <c r="AF266" s="602">
        <v>0</v>
      </c>
      <c r="AG266" s="602">
        <v>0</v>
      </c>
      <c r="AH266" s="602">
        <v>0</v>
      </c>
      <c r="AI266" s="602">
        <v>0</v>
      </c>
      <c r="AJ266" s="498">
        <v>0</v>
      </c>
      <c r="AK266" s="498">
        <v>0</v>
      </c>
      <c r="AL266" s="602">
        <v>2.57919905107414</v>
      </c>
      <c r="AM266" s="602">
        <v>9.1421655990120004E-2</v>
      </c>
      <c r="AN266" s="498">
        <v>7225549.4298489997</v>
      </c>
      <c r="AO266" s="603">
        <v>256115.050151</v>
      </c>
    </row>
    <row r="267" spans="1:41" ht="12" thickBot="1">
      <c r="A267" s="918"/>
      <c r="B267" s="919"/>
      <c r="C267" s="919"/>
      <c r="D267" s="919"/>
      <c r="E267" s="600" t="s">
        <v>2874</v>
      </c>
      <c r="F267" s="600" t="s">
        <v>3398</v>
      </c>
      <c r="G267" s="600" t="s">
        <v>3399</v>
      </c>
      <c r="H267" s="601">
        <v>470181</v>
      </c>
      <c r="I267" s="602">
        <v>99512345.180000007</v>
      </c>
      <c r="J267" s="602">
        <v>0.72</v>
      </c>
      <c r="K267" s="776">
        <v>311342657.93773502</v>
      </c>
      <c r="L267" s="776">
        <v>5934398.3899999997</v>
      </c>
      <c r="M267" s="498">
        <v>3.8437254482174699</v>
      </c>
      <c r="N267" s="602">
        <v>2.5492288634313498</v>
      </c>
      <c r="O267" s="602">
        <v>1.2944965847861301</v>
      </c>
      <c r="P267" s="498">
        <v>3935801.3122149999</v>
      </c>
      <c r="Q267" s="602">
        <v>1998597.077785</v>
      </c>
      <c r="R267" s="602">
        <v>0</v>
      </c>
      <c r="S267" s="602">
        <v>0</v>
      </c>
      <c r="T267" s="602">
        <v>0</v>
      </c>
      <c r="U267" s="602">
        <v>0</v>
      </c>
      <c r="V267" s="602">
        <v>0</v>
      </c>
      <c r="W267" s="602">
        <v>0</v>
      </c>
      <c r="X267" s="602">
        <v>0</v>
      </c>
      <c r="Y267" s="602">
        <v>0</v>
      </c>
      <c r="Z267" s="602">
        <v>0</v>
      </c>
      <c r="AA267" s="602">
        <v>0</v>
      </c>
      <c r="AB267" s="602">
        <v>0</v>
      </c>
      <c r="AC267" s="602">
        <v>0</v>
      </c>
      <c r="AD267" s="602">
        <v>0</v>
      </c>
      <c r="AE267" s="602">
        <v>0</v>
      </c>
      <c r="AF267" s="602">
        <v>0</v>
      </c>
      <c r="AG267" s="602">
        <v>0</v>
      </c>
      <c r="AH267" s="602">
        <v>0</v>
      </c>
      <c r="AI267" s="602">
        <v>0</v>
      </c>
      <c r="AJ267" s="498">
        <v>0</v>
      </c>
      <c r="AK267" s="498">
        <v>0</v>
      </c>
      <c r="AL267" s="602">
        <v>2.5492288634313498</v>
      </c>
      <c r="AM267" s="602">
        <v>1.2944965847861301</v>
      </c>
      <c r="AN267" s="498">
        <v>3935801.3122149999</v>
      </c>
      <c r="AO267" s="603">
        <v>1998597.077785</v>
      </c>
    </row>
    <row r="268" spans="1:41" ht="12" thickBot="1">
      <c r="A268" s="918"/>
      <c r="B268" s="917" t="s">
        <v>455</v>
      </c>
      <c r="C268" s="917" t="s">
        <v>455</v>
      </c>
      <c r="D268" s="917" t="s">
        <v>455</v>
      </c>
      <c r="E268" s="917" t="s">
        <v>456</v>
      </c>
      <c r="F268" s="600" t="s">
        <v>457</v>
      </c>
      <c r="G268" s="600" t="s">
        <v>2876</v>
      </c>
      <c r="H268" s="601">
        <v>470501</v>
      </c>
      <c r="I268" s="602">
        <v>0</v>
      </c>
      <c r="J268" s="602">
        <v>0</v>
      </c>
      <c r="K268" s="776">
        <v>0</v>
      </c>
      <c r="L268" s="776">
        <v>0</v>
      </c>
      <c r="M268" s="498">
        <v>0</v>
      </c>
      <c r="N268" s="602">
        <v>0</v>
      </c>
      <c r="O268" s="602">
        <v>0</v>
      </c>
      <c r="P268" s="498">
        <v>0</v>
      </c>
      <c r="Q268" s="602">
        <v>0</v>
      </c>
      <c r="R268" s="602">
        <v>0</v>
      </c>
      <c r="S268" s="602">
        <v>0</v>
      </c>
      <c r="T268" s="602">
        <v>0</v>
      </c>
      <c r="U268" s="602">
        <v>0</v>
      </c>
      <c r="V268" s="602">
        <v>0</v>
      </c>
      <c r="W268" s="602">
        <v>0</v>
      </c>
      <c r="X268" s="602">
        <v>0</v>
      </c>
      <c r="Y268" s="602">
        <v>0</v>
      </c>
      <c r="Z268" s="602">
        <v>0</v>
      </c>
      <c r="AA268" s="602">
        <v>0</v>
      </c>
      <c r="AB268" s="602">
        <v>0</v>
      </c>
      <c r="AC268" s="602">
        <v>0</v>
      </c>
      <c r="AD268" s="602">
        <v>0</v>
      </c>
      <c r="AE268" s="602">
        <v>0</v>
      </c>
      <c r="AF268" s="602">
        <v>0</v>
      </c>
      <c r="AG268" s="602">
        <v>0</v>
      </c>
      <c r="AH268" s="602">
        <v>0</v>
      </c>
      <c r="AI268" s="602">
        <v>0</v>
      </c>
      <c r="AJ268" s="498">
        <v>0</v>
      </c>
      <c r="AK268" s="498">
        <v>0</v>
      </c>
      <c r="AL268" s="602">
        <v>0</v>
      </c>
      <c r="AM268" s="602">
        <v>0</v>
      </c>
      <c r="AN268" s="498">
        <v>0</v>
      </c>
      <c r="AO268" s="603">
        <v>0</v>
      </c>
    </row>
    <row r="269" spans="1:41" ht="12" thickBot="1">
      <c r="A269" s="918"/>
      <c r="B269" s="918"/>
      <c r="C269" s="918"/>
      <c r="D269" s="918"/>
      <c r="E269" s="919"/>
      <c r="F269" s="600" t="s">
        <v>4193</v>
      </c>
      <c r="G269" s="600" t="s">
        <v>4193</v>
      </c>
      <c r="H269" s="601">
        <v>470511</v>
      </c>
      <c r="I269" s="602">
        <v>8300000000</v>
      </c>
      <c r="J269" s="602">
        <v>4.9981927710843399</v>
      </c>
      <c r="K269" s="776">
        <v>1973480662.9834299</v>
      </c>
      <c r="L269" s="776">
        <v>49592777.780000001</v>
      </c>
      <c r="M269" s="498">
        <v>5.0675710777435503</v>
      </c>
      <c r="N269" s="602">
        <v>4.6138865439611996</v>
      </c>
      <c r="O269" s="602">
        <v>-0.45368453378236301</v>
      </c>
      <c r="P269" s="498">
        <v>45152884.205559999</v>
      </c>
      <c r="Q269" s="602">
        <v>-4439893.5744399996</v>
      </c>
      <c r="R269" s="602">
        <v>0</v>
      </c>
      <c r="S269" s="602">
        <v>0</v>
      </c>
      <c r="T269" s="602">
        <v>0</v>
      </c>
      <c r="U269" s="602">
        <v>0</v>
      </c>
      <c r="V269" s="602">
        <v>0</v>
      </c>
      <c r="W269" s="602">
        <v>0</v>
      </c>
      <c r="X269" s="602">
        <v>0</v>
      </c>
      <c r="Y269" s="602">
        <v>0</v>
      </c>
      <c r="Z269" s="602">
        <v>0</v>
      </c>
      <c r="AA269" s="602">
        <v>0</v>
      </c>
      <c r="AB269" s="602">
        <v>0</v>
      </c>
      <c r="AC269" s="602">
        <v>0</v>
      </c>
      <c r="AD269" s="602">
        <v>0</v>
      </c>
      <c r="AE269" s="602">
        <v>0</v>
      </c>
      <c r="AF269" s="602">
        <v>0</v>
      </c>
      <c r="AG269" s="602">
        <v>0</v>
      </c>
      <c r="AH269" s="602">
        <v>0</v>
      </c>
      <c r="AI269" s="602">
        <v>0</v>
      </c>
      <c r="AJ269" s="498">
        <v>0</v>
      </c>
      <c r="AK269" s="498">
        <v>0</v>
      </c>
      <c r="AL269" s="602">
        <v>4.6138865439611996</v>
      </c>
      <c r="AM269" s="602">
        <v>-0.45368453378236301</v>
      </c>
      <c r="AN269" s="498">
        <v>45152884.205559999</v>
      </c>
      <c r="AO269" s="603">
        <v>-4439893.5744399996</v>
      </c>
    </row>
    <row r="270" spans="1:41" ht="12" thickBot="1">
      <c r="A270" s="918"/>
      <c r="B270" s="918"/>
      <c r="C270" s="918"/>
      <c r="D270" s="918"/>
      <c r="E270" s="917" t="s">
        <v>458</v>
      </c>
      <c r="F270" s="600" t="s">
        <v>459</v>
      </c>
      <c r="G270" s="600" t="s">
        <v>2724</v>
      </c>
      <c r="H270" s="601">
        <v>470521</v>
      </c>
      <c r="I270" s="602">
        <v>1551186113.9400001</v>
      </c>
      <c r="J270" s="602">
        <v>0.71525333059770801</v>
      </c>
      <c r="K270" s="776">
        <v>1128491438.7429299</v>
      </c>
      <c r="L270" s="776">
        <v>4043518.15</v>
      </c>
      <c r="M270" s="498">
        <v>0.72256249873977396</v>
      </c>
      <c r="N270" s="602">
        <v>2.57377611485084</v>
      </c>
      <c r="O270" s="602">
        <v>1.8512136161110699</v>
      </c>
      <c r="P270" s="498">
        <v>14403059.185311999</v>
      </c>
      <c r="Q270" s="602">
        <v>10359541.035312001</v>
      </c>
      <c r="R270" s="602">
        <v>0</v>
      </c>
      <c r="S270" s="602">
        <v>0</v>
      </c>
      <c r="T270" s="602">
        <v>0</v>
      </c>
      <c r="U270" s="602">
        <v>0</v>
      </c>
      <c r="V270" s="602">
        <v>0</v>
      </c>
      <c r="W270" s="602">
        <v>0</v>
      </c>
      <c r="X270" s="602">
        <v>0</v>
      </c>
      <c r="Y270" s="602">
        <v>0</v>
      </c>
      <c r="Z270" s="602">
        <v>0</v>
      </c>
      <c r="AA270" s="602">
        <v>0</v>
      </c>
      <c r="AB270" s="602">
        <v>0</v>
      </c>
      <c r="AC270" s="602">
        <v>0</v>
      </c>
      <c r="AD270" s="602">
        <v>0</v>
      </c>
      <c r="AE270" s="602">
        <v>0</v>
      </c>
      <c r="AF270" s="602">
        <v>0</v>
      </c>
      <c r="AG270" s="602">
        <v>0</v>
      </c>
      <c r="AH270" s="602">
        <v>0</v>
      </c>
      <c r="AI270" s="602">
        <v>0</v>
      </c>
      <c r="AJ270" s="498">
        <v>0</v>
      </c>
      <c r="AK270" s="498">
        <v>0</v>
      </c>
      <c r="AL270" s="602">
        <v>2.57377611485084</v>
      </c>
      <c r="AM270" s="602">
        <v>1.8512136161110699</v>
      </c>
      <c r="AN270" s="498">
        <v>14403059.185311999</v>
      </c>
      <c r="AO270" s="603">
        <v>10359541.035312001</v>
      </c>
    </row>
    <row r="271" spans="1:41" ht="12" thickBot="1">
      <c r="A271" s="918"/>
      <c r="B271" s="918"/>
      <c r="C271" s="918"/>
      <c r="D271" s="918"/>
      <c r="E271" s="919"/>
      <c r="F271" s="600" t="s">
        <v>460</v>
      </c>
      <c r="G271" s="600" t="s">
        <v>460</v>
      </c>
      <c r="H271" s="601">
        <v>470531</v>
      </c>
      <c r="I271" s="602">
        <v>2500000000</v>
      </c>
      <c r="J271" s="602">
        <v>4.9480000000000004</v>
      </c>
      <c r="K271" s="776">
        <v>1787016574.58564</v>
      </c>
      <c r="L271" s="776">
        <v>31795416.66</v>
      </c>
      <c r="M271" s="498">
        <v>3.58798178417066</v>
      </c>
      <c r="N271" s="602">
        <v>3.49659711966674</v>
      </c>
      <c r="O271" s="602">
        <v>-9.1384664503915997E-2</v>
      </c>
      <c r="P271" s="498">
        <v>30985598.311129</v>
      </c>
      <c r="Q271" s="602">
        <v>-809818.34887099999</v>
      </c>
      <c r="R271" s="602">
        <v>0</v>
      </c>
      <c r="S271" s="602">
        <v>0</v>
      </c>
      <c r="T271" s="602">
        <v>0</v>
      </c>
      <c r="U271" s="602">
        <v>0</v>
      </c>
      <c r="V271" s="602">
        <v>0</v>
      </c>
      <c r="W271" s="602">
        <v>0</v>
      </c>
      <c r="X271" s="602">
        <v>0</v>
      </c>
      <c r="Y271" s="602">
        <v>0</v>
      </c>
      <c r="Z271" s="602">
        <v>0</v>
      </c>
      <c r="AA271" s="602">
        <v>0</v>
      </c>
      <c r="AB271" s="602">
        <v>0</v>
      </c>
      <c r="AC271" s="602">
        <v>0</v>
      </c>
      <c r="AD271" s="602">
        <v>0</v>
      </c>
      <c r="AE271" s="602">
        <v>0</v>
      </c>
      <c r="AF271" s="602">
        <v>0</v>
      </c>
      <c r="AG271" s="602">
        <v>0</v>
      </c>
      <c r="AH271" s="602">
        <v>0</v>
      </c>
      <c r="AI271" s="602">
        <v>0</v>
      </c>
      <c r="AJ271" s="498">
        <v>0</v>
      </c>
      <c r="AK271" s="498">
        <v>0</v>
      </c>
      <c r="AL271" s="602">
        <v>3.49659711966674</v>
      </c>
      <c r="AM271" s="602">
        <v>-9.1384664503915997E-2</v>
      </c>
      <c r="AN271" s="498">
        <v>30985598.311129</v>
      </c>
      <c r="AO271" s="603">
        <v>-809818.34887099999</v>
      </c>
    </row>
    <row r="272" spans="1:41" ht="12" thickBot="1">
      <c r="A272" s="918"/>
      <c r="B272" s="918"/>
      <c r="C272" s="918"/>
      <c r="D272" s="918"/>
      <c r="E272" s="917" t="s">
        <v>461</v>
      </c>
      <c r="F272" s="600" t="s">
        <v>462</v>
      </c>
      <c r="G272" s="600" t="s">
        <v>2725</v>
      </c>
      <c r="H272" s="601">
        <v>470541</v>
      </c>
      <c r="I272" s="602">
        <v>0</v>
      </c>
      <c r="J272" s="602">
        <v>0</v>
      </c>
      <c r="K272" s="776">
        <v>0</v>
      </c>
      <c r="L272" s="776">
        <v>0</v>
      </c>
      <c r="M272" s="498">
        <v>0</v>
      </c>
      <c r="N272" s="602">
        <v>0</v>
      </c>
      <c r="O272" s="602">
        <v>0</v>
      </c>
      <c r="P272" s="498">
        <v>0</v>
      </c>
      <c r="Q272" s="602">
        <v>0</v>
      </c>
      <c r="R272" s="602">
        <v>0</v>
      </c>
      <c r="S272" s="602">
        <v>0</v>
      </c>
      <c r="T272" s="602">
        <v>0</v>
      </c>
      <c r="U272" s="602">
        <v>0</v>
      </c>
      <c r="V272" s="602">
        <v>0</v>
      </c>
      <c r="W272" s="602">
        <v>0</v>
      </c>
      <c r="X272" s="602">
        <v>0</v>
      </c>
      <c r="Y272" s="602">
        <v>0</v>
      </c>
      <c r="Z272" s="602">
        <v>0</v>
      </c>
      <c r="AA272" s="602">
        <v>0</v>
      </c>
      <c r="AB272" s="602">
        <v>0</v>
      </c>
      <c r="AC272" s="602">
        <v>0</v>
      </c>
      <c r="AD272" s="602">
        <v>0</v>
      </c>
      <c r="AE272" s="602">
        <v>0</v>
      </c>
      <c r="AF272" s="602">
        <v>0</v>
      </c>
      <c r="AG272" s="602">
        <v>0</v>
      </c>
      <c r="AH272" s="602">
        <v>0</v>
      </c>
      <c r="AI272" s="602">
        <v>0</v>
      </c>
      <c r="AJ272" s="498">
        <v>0</v>
      </c>
      <c r="AK272" s="498">
        <v>0</v>
      </c>
      <c r="AL272" s="602">
        <v>0</v>
      </c>
      <c r="AM272" s="602">
        <v>0</v>
      </c>
      <c r="AN272" s="498">
        <v>0</v>
      </c>
      <c r="AO272" s="603">
        <v>0</v>
      </c>
    </row>
    <row r="273" spans="1:41" ht="12" thickBot="1">
      <c r="A273" s="918"/>
      <c r="B273" s="918"/>
      <c r="C273" s="918"/>
      <c r="D273" s="918"/>
      <c r="E273" s="919"/>
      <c r="F273" s="600" t="s">
        <v>4194</v>
      </c>
      <c r="G273" s="600" t="s">
        <v>4194</v>
      </c>
      <c r="H273" s="601">
        <v>470551</v>
      </c>
      <c r="I273" s="602">
        <v>360000000</v>
      </c>
      <c r="J273" s="602">
        <v>4.95</v>
      </c>
      <c r="K273" s="776">
        <v>17900552.486187998</v>
      </c>
      <c r="L273" s="776">
        <v>445500</v>
      </c>
      <c r="M273" s="498">
        <v>5.0187499999999599</v>
      </c>
      <c r="N273" s="602">
        <v>4.7300431111111099</v>
      </c>
      <c r="O273" s="602">
        <v>-0.28870688888888901</v>
      </c>
      <c r="P273" s="498">
        <v>419872.32</v>
      </c>
      <c r="Q273" s="602">
        <v>-25627.68</v>
      </c>
      <c r="R273" s="602">
        <v>0</v>
      </c>
      <c r="S273" s="602">
        <v>0</v>
      </c>
      <c r="T273" s="602">
        <v>0</v>
      </c>
      <c r="U273" s="602">
        <v>0</v>
      </c>
      <c r="V273" s="602">
        <v>0</v>
      </c>
      <c r="W273" s="602">
        <v>0</v>
      </c>
      <c r="X273" s="602">
        <v>0</v>
      </c>
      <c r="Y273" s="602">
        <v>0</v>
      </c>
      <c r="Z273" s="602">
        <v>0</v>
      </c>
      <c r="AA273" s="602">
        <v>0</v>
      </c>
      <c r="AB273" s="602">
        <v>0</v>
      </c>
      <c r="AC273" s="602">
        <v>0</v>
      </c>
      <c r="AD273" s="602">
        <v>0</v>
      </c>
      <c r="AE273" s="602">
        <v>0</v>
      </c>
      <c r="AF273" s="602">
        <v>0</v>
      </c>
      <c r="AG273" s="602">
        <v>0</v>
      </c>
      <c r="AH273" s="602">
        <v>0</v>
      </c>
      <c r="AI273" s="602">
        <v>0</v>
      </c>
      <c r="AJ273" s="498">
        <v>0</v>
      </c>
      <c r="AK273" s="498">
        <v>0</v>
      </c>
      <c r="AL273" s="602">
        <v>4.7300431111111099</v>
      </c>
      <c r="AM273" s="602">
        <v>-0.28870688888888901</v>
      </c>
      <c r="AN273" s="498">
        <v>419872.32</v>
      </c>
      <c r="AO273" s="603">
        <v>-25627.68</v>
      </c>
    </row>
    <row r="274" spans="1:41" ht="12" thickBot="1">
      <c r="A274" s="918"/>
      <c r="B274" s="918"/>
      <c r="C274" s="918"/>
      <c r="D274" s="918"/>
      <c r="E274" s="917" t="s">
        <v>463</v>
      </c>
      <c r="F274" s="600" t="s">
        <v>464</v>
      </c>
      <c r="G274" s="600" t="s">
        <v>2726</v>
      </c>
      <c r="H274" s="601">
        <v>470581</v>
      </c>
      <c r="I274" s="602">
        <v>1683521833.8099999</v>
      </c>
      <c r="J274" s="602">
        <v>0.72</v>
      </c>
      <c r="K274" s="776">
        <v>740253960.59535897</v>
      </c>
      <c r="L274" s="776">
        <v>2679719.2799999998</v>
      </c>
      <c r="M274" s="498">
        <v>0.72999998437549196</v>
      </c>
      <c r="N274" s="602">
        <v>2.5204452692446502</v>
      </c>
      <c r="O274" s="602">
        <v>1.7904452848691601</v>
      </c>
      <c r="P274" s="498">
        <v>9252172.5023839995</v>
      </c>
      <c r="Q274" s="602">
        <v>6572453.2223840002</v>
      </c>
      <c r="R274" s="602">
        <v>0</v>
      </c>
      <c r="S274" s="602">
        <v>0</v>
      </c>
      <c r="T274" s="602">
        <v>0</v>
      </c>
      <c r="U274" s="602">
        <v>0</v>
      </c>
      <c r="V274" s="602">
        <v>0</v>
      </c>
      <c r="W274" s="602">
        <v>0</v>
      </c>
      <c r="X274" s="602">
        <v>0</v>
      </c>
      <c r="Y274" s="602">
        <v>0</v>
      </c>
      <c r="Z274" s="602">
        <v>0</v>
      </c>
      <c r="AA274" s="602">
        <v>0</v>
      </c>
      <c r="AB274" s="602">
        <v>0</v>
      </c>
      <c r="AC274" s="602">
        <v>0</v>
      </c>
      <c r="AD274" s="602">
        <v>0</v>
      </c>
      <c r="AE274" s="602">
        <v>0</v>
      </c>
      <c r="AF274" s="602">
        <v>0</v>
      </c>
      <c r="AG274" s="602">
        <v>0</v>
      </c>
      <c r="AH274" s="602">
        <v>0</v>
      </c>
      <c r="AI274" s="602">
        <v>0</v>
      </c>
      <c r="AJ274" s="498">
        <v>0</v>
      </c>
      <c r="AK274" s="498">
        <v>0</v>
      </c>
      <c r="AL274" s="602">
        <v>2.5204452692446502</v>
      </c>
      <c r="AM274" s="602">
        <v>1.7904452848691601</v>
      </c>
      <c r="AN274" s="498">
        <v>9252172.5023839995</v>
      </c>
      <c r="AO274" s="603">
        <v>6572453.2223840002</v>
      </c>
    </row>
    <row r="275" spans="1:41" ht="12" thickBot="1">
      <c r="A275" s="918"/>
      <c r="B275" s="918"/>
      <c r="C275" s="918"/>
      <c r="D275" s="918"/>
      <c r="E275" s="919"/>
      <c r="F275" s="600" t="s">
        <v>465</v>
      </c>
      <c r="G275" s="600" t="s">
        <v>465</v>
      </c>
      <c r="H275" s="601">
        <v>470591</v>
      </c>
      <c r="I275" s="602">
        <v>1278000000</v>
      </c>
      <c r="J275" s="602">
        <v>4.36927230046948</v>
      </c>
      <c r="K275" s="776">
        <v>1043524861.87845</v>
      </c>
      <c r="L275" s="776">
        <v>21601090.329999998</v>
      </c>
      <c r="M275" s="498">
        <v>4.1743336812386902</v>
      </c>
      <c r="N275" s="602">
        <v>4.27196477013924</v>
      </c>
      <c r="O275" s="602">
        <v>9.7631088900551999E-2</v>
      </c>
      <c r="P275" s="498">
        <v>22106305.804228999</v>
      </c>
      <c r="Q275" s="602">
        <v>505215.47422899998</v>
      </c>
      <c r="R275" s="602">
        <v>0</v>
      </c>
      <c r="S275" s="602">
        <v>0</v>
      </c>
      <c r="T275" s="602">
        <v>0</v>
      </c>
      <c r="U275" s="602">
        <v>0</v>
      </c>
      <c r="V275" s="602">
        <v>0</v>
      </c>
      <c r="W275" s="602">
        <v>0</v>
      </c>
      <c r="X275" s="602">
        <v>0</v>
      </c>
      <c r="Y275" s="602">
        <v>0</v>
      </c>
      <c r="Z275" s="602">
        <v>0</v>
      </c>
      <c r="AA275" s="602">
        <v>0</v>
      </c>
      <c r="AB275" s="602">
        <v>0</v>
      </c>
      <c r="AC275" s="602">
        <v>0</v>
      </c>
      <c r="AD275" s="602">
        <v>0</v>
      </c>
      <c r="AE275" s="602">
        <v>0</v>
      </c>
      <c r="AF275" s="602">
        <v>0</v>
      </c>
      <c r="AG275" s="602">
        <v>0</v>
      </c>
      <c r="AH275" s="602">
        <v>0</v>
      </c>
      <c r="AI275" s="602">
        <v>0</v>
      </c>
      <c r="AJ275" s="498">
        <v>0</v>
      </c>
      <c r="AK275" s="498">
        <v>0</v>
      </c>
      <c r="AL275" s="602">
        <v>4.27196477013924</v>
      </c>
      <c r="AM275" s="602">
        <v>9.7631088900551999E-2</v>
      </c>
      <c r="AN275" s="498">
        <v>22106305.804228999</v>
      </c>
      <c r="AO275" s="603">
        <v>505215.47422899998</v>
      </c>
    </row>
    <row r="276" spans="1:41" ht="12" thickBot="1">
      <c r="A276" s="918"/>
      <c r="B276" s="918"/>
      <c r="C276" s="918"/>
      <c r="D276" s="918"/>
      <c r="E276" s="600" t="s">
        <v>1348</v>
      </c>
      <c r="F276" s="600" t="s">
        <v>2727</v>
      </c>
      <c r="G276" s="600" t="s">
        <v>2728</v>
      </c>
      <c r="H276" s="601">
        <v>470681</v>
      </c>
      <c r="I276" s="602">
        <v>0</v>
      </c>
      <c r="J276" s="602">
        <v>0</v>
      </c>
      <c r="K276" s="776">
        <v>6356.1203869999999</v>
      </c>
      <c r="L276" s="776">
        <v>23.01</v>
      </c>
      <c r="M276" s="498">
        <v>0.730026783482155</v>
      </c>
      <c r="N276" s="602">
        <v>2.2722549064577202</v>
      </c>
      <c r="O276" s="602">
        <v>1.54222812294574</v>
      </c>
      <c r="P276" s="498">
        <v>71.620092</v>
      </c>
      <c r="Q276" s="602">
        <v>48.610092000000002</v>
      </c>
      <c r="R276" s="602">
        <v>0</v>
      </c>
      <c r="S276" s="602">
        <v>0</v>
      </c>
      <c r="T276" s="602">
        <v>0</v>
      </c>
      <c r="U276" s="602">
        <v>0</v>
      </c>
      <c r="V276" s="602">
        <v>0</v>
      </c>
      <c r="W276" s="602">
        <v>0</v>
      </c>
      <c r="X276" s="602">
        <v>0</v>
      </c>
      <c r="Y276" s="602">
        <v>0</v>
      </c>
      <c r="Z276" s="602">
        <v>0</v>
      </c>
      <c r="AA276" s="602">
        <v>0</v>
      </c>
      <c r="AB276" s="602">
        <v>0</v>
      </c>
      <c r="AC276" s="602">
        <v>0</v>
      </c>
      <c r="AD276" s="602">
        <v>0</v>
      </c>
      <c r="AE276" s="602">
        <v>0</v>
      </c>
      <c r="AF276" s="602">
        <v>0</v>
      </c>
      <c r="AG276" s="602">
        <v>0</v>
      </c>
      <c r="AH276" s="602">
        <v>0</v>
      </c>
      <c r="AI276" s="602">
        <v>0</v>
      </c>
      <c r="AJ276" s="498">
        <v>0</v>
      </c>
      <c r="AK276" s="498">
        <v>0</v>
      </c>
      <c r="AL276" s="602">
        <v>2.2722549064577202</v>
      </c>
      <c r="AM276" s="602">
        <v>1.54222812294574</v>
      </c>
      <c r="AN276" s="498">
        <v>71.620092</v>
      </c>
      <c r="AO276" s="603">
        <v>48.610092000000002</v>
      </c>
    </row>
    <row r="277" spans="1:41" ht="12" thickBot="1">
      <c r="A277" s="918"/>
      <c r="B277" s="918"/>
      <c r="C277" s="918"/>
      <c r="D277" s="918"/>
      <c r="E277" s="600" t="s">
        <v>3573</v>
      </c>
      <c r="F277" s="600" t="s">
        <v>3573</v>
      </c>
      <c r="G277" s="600" t="s">
        <v>3574</v>
      </c>
      <c r="H277" s="601">
        <v>470721</v>
      </c>
      <c r="I277" s="602">
        <v>527303.53</v>
      </c>
      <c r="J277" s="602">
        <v>0.49169791561987097</v>
      </c>
      <c r="K277" s="776">
        <v>144452436.68254101</v>
      </c>
      <c r="L277" s="776">
        <v>287722.74</v>
      </c>
      <c r="M277" s="498">
        <v>0.40166464375294098</v>
      </c>
      <c r="N277" s="602">
        <v>2.5202537938260399</v>
      </c>
      <c r="O277" s="602">
        <v>2.1185891500730998</v>
      </c>
      <c r="P277" s="498">
        <v>1805322.7694620001</v>
      </c>
      <c r="Q277" s="602">
        <v>1517600.0294619999</v>
      </c>
      <c r="R277" s="602">
        <v>0</v>
      </c>
      <c r="S277" s="602">
        <v>0</v>
      </c>
      <c r="T277" s="602">
        <v>0</v>
      </c>
      <c r="U277" s="602">
        <v>0</v>
      </c>
      <c r="V277" s="602">
        <v>0</v>
      </c>
      <c r="W277" s="602">
        <v>0</v>
      </c>
      <c r="X277" s="602">
        <v>0</v>
      </c>
      <c r="Y277" s="602">
        <v>0</v>
      </c>
      <c r="Z277" s="602">
        <v>0</v>
      </c>
      <c r="AA277" s="602">
        <v>0</v>
      </c>
      <c r="AB277" s="602">
        <v>0</v>
      </c>
      <c r="AC277" s="602">
        <v>0</v>
      </c>
      <c r="AD277" s="602">
        <v>0</v>
      </c>
      <c r="AE277" s="602">
        <v>0</v>
      </c>
      <c r="AF277" s="602">
        <v>0</v>
      </c>
      <c r="AG277" s="602">
        <v>0</v>
      </c>
      <c r="AH277" s="602">
        <v>0</v>
      </c>
      <c r="AI277" s="602">
        <v>0</v>
      </c>
      <c r="AJ277" s="498">
        <v>0</v>
      </c>
      <c r="AK277" s="498">
        <v>0</v>
      </c>
      <c r="AL277" s="602">
        <v>2.5202537938260399</v>
      </c>
      <c r="AM277" s="602">
        <v>2.1185891500730998</v>
      </c>
      <c r="AN277" s="498">
        <v>1805322.7694620001</v>
      </c>
      <c r="AO277" s="603">
        <v>1517600.0294619999</v>
      </c>
    </row>
    <row r="278" spans="1:41" ht="12" thickBot="1">
      <c r="A278" s="918"/>
      <c r="B278" s="918"/>
      <c r="C278" s="918"/>
      <c r="D278" s="918"/>
      <c r="E278" s="917" t="s">
        <v>3400</v>
      </c>
      <c r="F278" s="917" t="s">
        <v>3400</v>
      </c>
      <c r="G278" s="600" t="s">
        <v>3401</v>
      </c>
      <c r="H278" s="601">
        <v>470741</v>
      </c>
      <c r="I278" s="602">
        <v>5500674909.7200003</v>
      </c>
      <c r="J278" s="602">
        <v>0.544806494128799</v>
      </c>
      <c r="K278" s="776">
        <v>6663390807.5079603</v>
      </c>
      <c r="L278" s="776">
        <v>17018541.789999999</v>
      </c>
      <c r="M278" s="498">
        <v>0.51504046287692196</v>
      </c>
      <c r="N278" s="602">
        <v>2.55638855506866</v>
      </c>
      <c r="O278" s="602">
        <v>2.0413480921917402</v>
      </c>
      <c r="P278" s="498">
        <v>84471043.717414007</v>
      </c>
      <c r="Q278" s="602">
        <v>67452501.927414</v>
      </c>
      <c r="R278" s="602">
        <v>0</v>
      </c>
      <c r="S278" s="602">
        <v>0</v>
      </c>
      <c r="T278" s="602">
        <v>0</v>
      </c>
      <c r="U278" s="602">
        <v>0</v>
      </c>
      <c r="V278" s="602">
        <v>0</v>
      </c>
      <c r="W278" s="602">
        <v>0</v>
      </c>
      <c r="X278" s="602">
        <v>0</v>
      </c>
      <c r="Y278" s="602">
        <v>0</v>
      </c>
      <c r="Z278" s="602">
        <v>0</v>
      </c>
      <c r="AA278" s="602">
        <v>0</v>
      </c>
      <c r="AB278" s="602">
        <v>0</v>
      </c>
      <c r="AC278" s="602">
        <v>0</v>
      </c>
      <c r="AD278" s="602">
        <v>0</v>
      </c>
      <c r="AE278" s="602">
        <v>0</v>
      </c>
      <c r="AF278" s="602">
        <v>0</v>
      </c>
      <c r="AG278" s="602">
        <v>0</v>
      </c>
      <c r="AH278" s="602">
        <v>0</v>
      </c>
      <c r="AI278" s="602">
        <v>0</v>
      </c>
      <c r="AJ278" s="498">
        <v>0</v>
      </c>
      <c r="AK278" s="498">
        <v>0</v>
      </c>
      <c r="AL278" s="602">
        <v>2.55638855506866</v>
      </c>
      <c r="AM278" s="602">
        <v>2.0413480921917402</v>
      </c>
      <c r="AN278" s="498">
        <v>84471043.717414007</v>
      </c>
      <c r="AO278" s="603">
        <v>67452501.927414</v>
      </c>
    </row>
    <row r="279" spans="1:41" ht="12" thickBot="1">
      <c r="A279" s="918"/>
      <c r="B279" s="919"/>
      <c r="C279" s="919"/>
      <c r="D279" s="919"/>
      <c r="E279" s="919"/>
      <c r="F279" s="919"/>
      <c r="G279" s="600" t="s">
        <v>3402</v>
      </c>
      <c r="H279" s="601">
        <v>470751</v>
      </c>
      <c r="I279" s="602">
        <v>6000000000</v>
      </c>
      <c r="J279" s="602">
        <v>4.1500000000000004</v>
      </c>
      <c r="K279" s="776">
        <v>5994640883.9778996</v>
      </c>
      <c r="L279" s="776">
        <v>111752627.75</v>
      </c>
      <c r="M279" s="498">
        <v>3.7593162519699899</v>
      </c>
      <c r="N279" s="602">
        <v>4.23571283377008</v>
      </c>
      <c r="O279" s="602">
        <v>0.47639658180009098</v>
      </c>
      <c r="P279" s="498">
        <v>125914397.15138499</v>
      </c>
      <c r="Q279" s="602">
        <v>14161769.401385</v>
      </c>
      <c r="R279" s="602">
        <v>0</v>
      </c>
      <c r="S279" s="602">
        <v>0</v>
      </c>
      <c r="T279" s="602">
        <v>0</v>
      </c>
      <c r="U279" s="602">
        <v>0</v>
      </c>
      <c r="V279" s="602">
        <v>0</v>
      </c>
      <c r="W279" s="602">
        <v>0</v>
      </c>
      <c r="X279" s="602">
        <v>0</v>
      </c>
      <c r="Y279" s="602">
        <v>0</v>
      </c>
      <c r="Z279" s="602">
        <v>0</v>
      </c>
      <c r="AA279" s="602">
        <v>0</v>
      </c>
      <c r="AB279" s="602">
        <v>0</v>
      </c>
      <c r="AC279" s="602">
        <v>0</v>
      </c>
      <c r="AD279" s="602">
        <v>0</v>
      </c>
      <c r="AE279" s="602">
        <v>0</v>
      </c>
      <c r="AF279" s="602">
        <v>0</v>
      </c>
      <c r="AG279" s="602">
        <v>0</v>
      </c>
      <c r="AH279" s="602">
        <v>0</v>
      </c>
      <c r="AI279" s="602">
        <v>0</v>
      </c>
      <c r="AJ279" s="498">
        <v>0</v>
      </c>
      <c r="AK279" s="498">
        <v>0</v>
      </c>
      <c r="AL279" s="602">
        <v>4.23571283377008</v>
      </c>
      <c r="AM279" s="602">
        <v>0.47639658180009098</v>
      </c>
      <c r="AN279" s="498">
        <v>125914397.15138499</v>
      </c>
      <c r="AO279" s="603">
        <v>14161769.401385</v>
      </c>
    </row>
    <row r="280" spans="1:41" ht="12" thickBot="1">
      <c r="A280" s="918"/>
      <c r="B280" s="917" t="s">
        <v>466</v>
      </c>
      <c r="C280" s="917" t="s">
        <v>467</v>
      </c>
      <c r="D280" s="600" t="s">
        <v>468</v>
      </c>
      <c r="E280" s="600" t="s">
        <v>468</v>
      </c>
      <c r="F280" s="600" t="s">
        <v>468</v>
      </c>
      <c r="G280" s="600" t="s">
        <v>2730</v>
      </c>
      <c r="H280" s="601">
        <v>471002</v>
      </c>
      <c r="I280" s="602">
        <v>17691900000</v>
      </c>
      <c r="J280" s="602">
        <v>2.8731469768651201</v>
      </c>
      <c r="K280" s="776">
        <v>21482578044.198898</v>
      </c>
      <c r="L280" s="776">
        <v>290263718.63</v>
      </c>
      <c r="M280" s="498">
        <v>2.7247122618010602</v>
      </c>
      <c r="N280" s="602">
        <v>2.5011986126086501</v>
      </c>
      <c r="O280" s="602">
        <v>-0.22351364919241701</v>
      </c>
      <c r="P280" s="498">
        <v>266452799.62445799</v>
      </c>
      <c r="Q280" s="602">
        <v>-23810919.005541999</v>
      </c>
      <c r="R280" s="602">
        <v>0</v>
      </c>
      <c r="S280" s="602">
        <v>0</v>
      </c>
      <c r="T280" s="602">
        <v>0</v>
      </c>
      <c r="U280" s="602">
        <v>0</v>
      </c>
      <c r="V280" s="602">
        <v>0</v>
      </c>
      <c r="W280" s="602">
        <v>0</v>
      </c>
      <c r="X280" s="602">
        <v>0</v>
      </c>
      <c r="Y280" s="602">
        <v>0</v>
      </c>
      <c r="Z280" s="602">
        <v>0</v>
      </c>
      <c r="AA280" s="602">
        <v>0</v>
      </c>
      <c r="AB280" s="602">
        <v>0</v>
      </c>
      <c r="AC280" s="602">
        <v>0</v>
      </c>
      <c r="AD280" s="602">
        <v>0</v>
      </c>
      <c r="AE280" s="602">
        <v>0</v>
      </c>
      <c r="AF280" s="602">
        <v>0</v>
      </c>
      <c r="AG280" s="602">
        <v>0</v>
      </c>
      <c r="AH280" s="602">
        <v>0</v>
      </c>
      <c r="AI280" s="602">
        <v>0</v>
      </c>
      <c r="AJ280" s="498">
        <v>0</v>
      </c>
      <c r="AK280" s="498">
        <v>0</v>
      </c>
      <c r="AL280" s="602">
        <v>2.5011986126086501</v>
      </c>
      <c r="AM280" s="602">
        <v>-0.22351364919241701</v>
      </c>
      <c r="AN280" s="498">
        <v>266452799.62445799</v>
      </c>
      <c r="AO280" s="603">
        <v>-23810919.005541999</v>
      </c>
    </row>
    <row r="281" spans="1:41" ht="12" thickBot="1">
      <c r="A281" s="918"/>
      <c r="B281" s="918"/>
      <c r="C281" s="919"/>
      <c r="D281" s="600" t="s">
        <v>469</v>
      </c>
      <c r="E281" s="600" t="s">
        <v>469</v>
      </c>
      <c r="F281" s="600" t="s">
        <v>469</v>
      </c>
      <c r="G281" s="600" t="s">
        <v>2731</v>
      </c>
      <c r="H281" s="601">
        <v>471012</v>
      </c>
      <c r="I281" s="602">
        <v>11369739000</v>
      </c>
      <c r="J281" s="602">
        <v>3.550416882041</v>
      </c>
      <c r="K281" s="776">
        <v>18206260344.2542</v>
      </c>
      <c r="L281" s="776">
        <v>279627794.73000002</v>
      </c>
      <c r="M281" s="498">
        <v>3.0972330046227299</v>
      </c>
      <c r="N281" s="602">
        <v>2.6055444208567802</v>
      </c>
      <c r="O281" s="602">
        <v>0.49168858376595198</v>
      </c>
      <c r="P281" s="498">
        <v>235236625.52601001</v>
      </c>
      <c r="Q281" s="602">
        <v>44391169.203989998</v>
      </c>
      <c r="R281" s="602">
        <v>0</v>
      </c>
      <c r="S281" s="602">
        <v>0</v>
      </c>
      <c r="T281" s="602">
        <v>0</v>
      </c>
      <c r="U281" s="602">
        <v>0</v>
      </c>
      <c r="V281" s="602">
        <v>0</v>
      </c>
      <c r="W281" s="602">
        <v>0</v>
      </c>
      <c r="X281" s="602">
        <v>0</v>
      </c>
      <c r="Y281" s="602">
        <v>0</v>
      </c>
      <c r="Z281" s="602">
        <v>0</v>
      </c>
      <c r="AA281" s="602">
        <v>0</v>
      </c>
      <c r="AB281" s="602">
        <v>0</v>
      </c>
      <c r="AC281" s="602">
        <v>0</v>
      </c>
      <c r="AD281" s="602">
        <v>0</v>
      </c>
      <c r="AE281" s="602">
        <v>0</v>
      </c>
      <c r="AF281" s="602">
        <v>0</v>
      </c>
      <c r="AG281" s="602">
        <v>0</v>
      </c>
      <c r="AH281" s="602">
        <v>0</v>
      </c>
      <c r="AI281" s="602">
        <v>0</v>
      </c>
      <c r="AJ281" s="498">
        <v>0</v>
      </c>
      <c r="AK281" s="498">
        <v>0</v>
      </c>
      <c r="AL281" s="602">
        <v>2.6055444208567802</v>
      </c>
      <c r="AM281" s="602">
        <v>0.49168858376595198</v>
      </c>
      <c r="AN281" s="498">
        <v>235236625.52601001</v>
      </c>
      <c r="AO281" s="603">
        <v>44391169.203989998</v>
      </c>
    </row>
    <row r="282" spans="1:41" ht="12" thickBot="1">
      <c r="A282" s="918"/>
      <c r="B282" s="918"/>
      <c r="C282" s="917" t="s">
        <v>2732</v>
      </c>
      <c r="D282" s="917" t="s">
        <v>2733</v>
      </c>
      <c r="E282" s="917" t="s">
        <v>2733</v>
      </c>
      <c r="F282" s="917" t="s">
        <v>2733</v>
      </c>
      <c r="G282" s="600" t="s">
        <v>3948</v>
      </c>
      <c r="H282" s="601">
        <v>471021</v>
      </c>
      <c r="I282" s="602">
        <v>0</v>
      </c>
      <c r="J282" s="602">
        <v>0</v>
      </c>
      <c r="K282" s="776">
        <v>336807952.511271</v>
      </c>
      <c r="L282" s="776">
        <v>6554671.04</v>
      </c>
      <c r="M282" s="498">
        <v>3.9244866215033198</v>
      </c>
      <c r="N282" s="602">
        <v>2.7515228142728199</v>
      </c>
      <c r="O282" s="602">
        <v>-1.1729638072305</v>
      </c>
      <c r="P282" s="498">
        <v>4595588.8364589997</v>
      </c>
      <c r="Q282" s="602">
        <v>-1959082.2035409999</v>
      </c>
      <c r="R282" s="602">
        <v>0</v>
      </c>
      <c r="S282" s="602">
        <v>0</v>
      </c>
      <c r="T282" s="602">
        <v>0</v>
      </c>
      <c r="U282" s="602">
        <v>0</v>
      </c>
      <c r="V282" s="602">
        <v>0</v>
      </c>
      <c r="W282" s="602">
        <v>0</v>
      </c>
      <c r="X282" s="602">
        <v>0</v>
      </c>
      <c r="Y282" s="602">
        <v>0</v>
      </c>
      <c r="Z282" s="602">
        <v>0</v>
      </c>
      <c r="AA282" s="602">
        <v>0</v>
      </c>
      <c r="AB282" s="602">
        <v>0</v>
      </c>
      <c r="AC282" s="602">
        <v>0</v>
      </c>
      <c r="AD282" s="602">
        <v>0</v>
      </c>
      <c r="AE282" s="602">
        <v>0</v>
      </c>
      <c r="AF282" s="602">
        <v>0</v>
      </c>
      <c r="AG282" s="602">
        <v>0</v>
      </c>
      <c r="AH282" s="602">
        <v>0</v>
      </c>
      <c r="AI282" s="602">
        <v>0</v>
      </c>
      <c r="AJ282" s="498">
        <v>0</v>
      </c>
      <c r="AK282" s="498">
        <v>0</v>
      </c>
      <c r="AL282" s="602">
        <v>2.7515228142728199</v>
      </c>
      <c r="AM282" s="602">
        <v>-1.1729638072305</v>
      </c>
      <c r="AN282" s="498">
        <v>4595588.8364589997</v>
      </c>
      <c r="AO282" s="603">
        <v>-1959082.2035409999</v>
      </c>
    </row>
    <row r="283" spans="1:41" ht="12" thickBot="1">
      <c r="A283" s="918"/>
      <c r="B283" s="918"/>
      <c r="C283" s="918"/>
      <c r="D283" s="918"/>
      <c r="E283" s="918"/>
      <c r="F283" s="918"/>
      <c r="G283" s="600" t="s">
        <v>3706</v>
      </c>
      <c r="H283" s="601">
        <v>471022</v>
      </c>
      <c r="I283" s="602">
        <v>0</v>
      </c>
      <c r="J283" s="602">
        <v>0</v>
      </c>
      <c r="K283" s="776">
        <v>61900768.715302996</v>
      </c>
      <c r="L283" s="776">
        <v>894192.7</v>
      </c>
      <c r="M283" s="498">
        <v>2.9130595805264701</v>
      </c>
      <c r="N283" s="602">
        <v>2.3302682135700801</v>
      </c>
      <c r="O283" s="602">
        <v>-0.58279136695634304</v>
      </c>
      <c r="P283" s="498">
        <v>715299.075771</v>
      </c>
      <c r="Q283" s="602">
        <v>-178893.62422900001</v>
      </c>
      <c r="R283" s="602">
        <v>0</v>
      </c>
      <c r="S283" s="602">
        <v>0</v>
      </c>
      <c r="T283" s="602">
        <v>0</v>
      </c>
      <c r="U283" s="602">
        <v>0</v>
      </c>
      <c r="V283" s="602">
        <v>0</v>
      </c>
      <c r="W283" s="602">
        <v>0</v>
      </c>
      <c r="X283" s="602">
        <v>0</v>
      </c>
      <c r="Y283" s="602">
        <v>0</v>
      </c>
      <c r="Z283" s="602">
        <v>0</v>
      </c>
      <c r="AA283" s="602">
        <v>0</v>
      </c>
      <c r="AB283" s="602">
        <v>0</v>
      </c>
      <c r="AC283" s="602">
        <v>0</v>
      </c>
      <c r="AD283" s="602">
        <v>0</v>
      </c>
      <c r="AE283" s="602">
        <v>0</v>
      </c>
      <c r="AF283" s="602">
        <v>0</v>
      </c>
      <c r="AG283" s="602">
        <v>0</v>
      </c>
      <c r="AH283" s="602">
        <v>0</v>
      </c>
      <c r="AI283" s="602">
        <v>0</v>
      </c>
      <c r="AJ283" s="498">
        <v>0</v>
      </c>
      <c r="AK283" s="498">
        <v>0</v>
      </c>
      <c r="AL283" s="602">
        <v>2.3302682135700801</v>
      </c>
      <c r="AM283" s="602">
        <v>-0.58279136695634304</v>
      </c>
      <c r="AN283" s="498">
        <v>715299.075771</v>
      </c>
      <c r="AO283" s="603">
        <v>-178893.62422900001</v>
      </c>
    </row>
    <row r="284" spans="1:41" ht="12" thickBot="1">
      <c r="A284" s="918"/>
      <c r="B284" s="918"/>
      <c r="C284" s="918"/>
      <c r="D284" s="918"/>
      <c r="E284" s="918"/>
      <c r="F284" s="918"/>
      <c r="G284" s="600" t="s">
        <v>3403</v>
      </c>
      <c r="H284" s="601">
        <v>471023</v>
      </c>
      <c r="I284" s="602">
        <v>200702465.75</v>
      </c>
      <c r="J284" s="602">
        <v>5.0998810000000203</v>
      </c>
      <c r="K284" s="776">
        <v>625761080.37878501</v>
      </c>
      <c r="L284" s="776">
        <v>11147766.619999999</v>
      </c>
      <c r="M284" s="498">
        <v>3.5924737982871102</v>
      </c>
      <c r="N284" s="602">
        <v>2.3271178455975301</v>
      </c>
      <c r="O284" s="602">
        <v>-1.2653559526895799</v>
      </c>
      <c r="P284" s="498">
        <v>7221254.2377699995</v>
      </c>
      <c r="Q284" s="602">
        <v>-3926512.3822300001</v>
      </c>
      <c r="R284" s="602">
        <v>0</v>
      </c>
      <c r="S284" s="602">
        <v>0</v>
      </c>
      <c r="T284" s="602">
        <v>0</v>
      </c>
      <c r="U284" s="602">
        <v>0</v>
      </c>
      <c r="V284" s="602">
        <v>0</v>
      </c>
      <c r="W284" s="602">
        <v>0</v>
      </c>
      <c r="X284" s="602">
        <v>0</v>
      </c>
      <c r="Y284" s="602">
        <v>0</v>
      </c>
      <c r="Z284" s="602">
        <v>0</v>
      </c>
      <c r="AA284" s="602">
        <v>0</v>
      </c>
      <c r="AB284" s="602">
        <v>0</v>
      </c>
      <c r="AC284" s="602">
        <v>0</v>
      </c>
      <c r="AD284" s="602">
        <v>0</v>
      </c>
      <c r="AE284" s="602">
        <v>0</v>
      </c>
      <c r="AF284" s="602">
        <v>0</v>
      </c>
      <c r="AG284" s="602">
        <v>0</v>
      </c>
      <c r="AH284" s="602">
        <v>0</v>
      </c>
      <c r="AI284" s="602">
        <v>0</v>
      </c>
      <c r="AJ284" s="498">
        <v>0</v>
      </c>
      <c r="AK284" s="498">
        <v>0</v>
      </c>
      <c r="AL284" s="602">
        <v>2.3271178455975301</v>
      </c>
      <c r="AM284" s="602">
        <v>-1.2653559526895799</v>
      </c>
      <c r="AN284" s="498">
        <v>7221254.2377699995</v>
      </c>
      <c r="AO284" s="603">
        <v>-3926512.3822300001</v>
      </c>
    </row>
    <row r="285" spans="1:41" ht="12" thickBot="1">
      <c r="A285" s="918"/>
      <c r="B285" s="918"/>
      <c r="C285" s="918"/>
      <c r="D285" s="919"/>
      <c r="E285" s="919"/>
      <c r="F285" s="919"/>
      <c r="G285" s="600" t="s">
        <v>4195</v>
      </c>
      <c r="H285" s="601">
        <v>471024</v>
      </c>
      <c r="I285" s="602">
        <v>2656785226.4000001</v>
      </c>
      <c r="J285" s="602">
        <v>0</v>
      </c>
      <c r="K285" s="776">
        <v>1538366944.22983</v>
      </c>
      <c r="L285" s="776">
        <v>0</v>
      </c>
      <c r="M285" s="498">
        <v>0</v>
      </c>
      <c r="N285" s="602">
        <v>0</v>
      </c>
      <c r="O285" s="602">
        <v>0</v>
      </c>
      <c r="P285" s="498">
        <v>0</v>
      </c>
      <c r="Q285" s="602">
        <v>0</v>
      </c>
      <c r="R285" s="602">
        <v>0</v>
      </c>
      <c r="S285" s="602">
        <v>0</v>
      </c>
      <c r="T285" s="602">
        <v>0</v>
      </c>
      <c r="U285" s="602">
        <v>0</v>
      </c>
      <c r="V285" s="602">
        <v>0</v>
      </c>
      <c r="W285" s="602">
        <v>0</v>
      </c>
      <c r="X285" s="602">
        <v>0</v>
      </c>
      <c r="Y285" s="602">
        <v>0</v>
      </c>
      <c r="Z285" s="602">
        <v>0</v>
      </c>
      <c r="AA285" s="602">
        <v>0</v>
      </c>
      <c r="AB285" s="602">
        <v>0</v>
      </c>
      <c r="AC285" s="602">
        <v>0</v>
      </c>
      <c r="AD285" s="602">
        <v>0</v>
      </c>
      <c r="AE285" s="602">
        <v>0</v>
      </c>
      <c r="AF285" s="602">
        <v>0</v>
      </c>
      <c r="AG285" s="602">
        <v>0</v>
      </c>
      <c r="AH285" s="602">
        <v>0</v>
      </c>
      <c r="AI285" s="602">
        <v>0</v>
      </c>
      <c r="AJ285" s="498">
        <v>0</v>
      </c>
      <c r="AK285" s="498">
        <v>0</v>
      </c>
      <c r="AL285" s="602">
        <v>0</v>
      </c>
      <c r="AM285" s="602">
        <v>0</v>
      </c>
      <c r="AN285" s="498">
        <v>0</v>
      </c>
      <c r="AO285" s="603">
        <v>0</v>
      </c>
    </row>
    <row r="286" spans="1:41" ht="12" thickBot="1">
      <c r="A286" s="918"/>
      <c r="B286" s="918"/>
      <c r="C286" s="918"/>
      <c r="D286" s="917" t="s">
        <v>470</v>
      </c>
      <c r="E286" s="917" t="s">
        <v>470</v>
      </c>
      <c r="F286" s="917" t="s">
        <v>470</v>
      </c>
      <c r="G286" s="600" t="s">
        <v>2735</v>
      </c>
      <c r="H286" s="601">
        <v>471051</v>
      </c>
      <c r="I286" s="602">
        <v>19303347526.130001</v>
      </c>
      <c r="J286" s="602">
        <v>4.6328117562606304</v>
      </c>
      <c r="K286" s="776">
        <v>9069116480.0890694</v>
      </c>
      <c r="L286" s="776">
        <v>187486467.28999999</v>
      </c>
      <c r="M286" s="498">
        <v>4.1688784780483497</v>
      </c>
      <c r="N286" s="602">
        <v>2.6370259879718101</v>
      </c>
      <c r="O286" s="602">
        <v>1.53185249007654</v>
      </c>
      <c r="P286" s="498">
        <v>118594650.633283</v>
      </c>
      <c r="Q286" s="602">
        <v>68891816.656717002</v>
      </c>
      <c r="R286" s="602">
        <v>0</v>
      </c>
      <c r="S286" s="602">
        <v>0</v>
      </c>
      <c r="T286" s="602">
        <v>0</v>
      </c>
      <c r="U286" s="602">
        <v>0</v>
      </c>
      <c r="V286" s="602">
        <v>0</v>
      </c>
      <c r="W286" s="602">
        <v>0</v>
      </c>
      <c r="X286" s="602">
        <v>0</v>
      </c>
      <c r="Y286" s="602">
        <v>0</v>
      </c>
      <c r="Z286" s="602">
        <v>0</v>
      </c>
      <c r="AA286" s="602">
        <v>0</v>
      </c>
      <c r="AB286" s="602">
        <v>0</v>
      </c>
      <c r="AC286" s="602">
        <v>0</v>
      </c>
      <c r="AD286" s="602">
        <v>0</v>
      </c>
      <c r="AE286" s="602">
        <v>0</v>
      </c>
      <c r="AF286" s="602">
        <v>0</v>
      </c>
      <c r="AG286" s="602">
        <v>0</v>
      </c>
      <c r="AH286" s="602">
        <v>0</v>
      </c>
      <c r="AI286" s="602">
        <v>0</v>
      </c>
      <c r="AJ286" s="498">
        <v>0</v>
      </c>
      <c r="AK286" s="498">
        <v>0</v>
      </c>
      <c r="AL286" s="602">
        <v>2.6370259879718101</v>
      </c>
      <c r="AM286" s="602">
        <v>1.53185249007654</v>
      </c>
      <c r="AN286" s="498">
        <v>118594650.633283</v>
      </c>
      <c r="AO286" s="603">
        <v>68891816.656717002</v>
      </c>
    </row>
    <row r="287" spans="1:41" ht="12" thickBot="1">
      <c r="A287" s="918"/>
      <c r="B287" s="918"/>
      <c r="C287" s="918"/>
      <c r="D287" s="918"/>
      <c r="E287" s="918"/>
      <c r="F287" s="918"/>
      <c r="G287" s="600" t="s">
        <v>3404</v>
      </c>
      <c r="H287" s="601">
        <v>471052</v>
      </c>
      <c r="I287" s="602">
        <v>994932134.54999995</v>
      </c>
      <c r="J287" s="602">
        <v>3.7767045625448699</v>
      </c>
      <c r="K287" s="776">
        <v>302524103.19911599</v>
      </c>
      <c r="L287" s="776">
        <v>5792289.9699999997</v>
      </c>
      <c r="M287" s="498">
        <v>3.8610426814304599</v>
      </c>
      <c r="N287" s="602">
        <v>2.4861697445764799</v>
      </c>
      <c r="O287" s="602">
        <v>1.3748729368539701</v>
      </c>
      <c r="P287" s="498">
        <v>3729722.0630290001</v>
      </c>
      <c r="Q287" s="602">
        <v>2062567.9069709999</v>
      </c>
      <c r="R287" s="602">
        <v>0</v>
      </c>
      <c r="S287" s="602">
        <v>0</v>
      </c>
      <c r="T287" s="602">
        <v>0</v>
      </c>
      <c r="U287" s="602">
        <v>0</v>
      </c>
      <c r="V287" s="602">
        <v>0</v>
      </c>
      <c r="W287" s="602">
        <v>0</v>
      </c>
      <c r="X287" s="602">
        <v>0</v>
      </c>
      <c r="Y287" s="602">
        <v>0</v>
      </c>
      <c r="Z287" s="602">
        <v>0</v>
      </c>
      <c r="AA287" s="602">
        <v>0</v>
      </c>
      <c r="AB287" s="602">
        <v>0</v>
      </c>
      <c r="AC287" s="602">
        <v>0</v>
      </c>
      <c r="AD287" s="602">
        <v>0</v>
      </c>
      <c r="AE287" s="602">
        <v>0</v>
      </c>
      <c r="AF287" s="602">
        <v>0</v>
      </c>
      <c r="AG287" s="602">
        <v>0</v>
      </c>
      <c r="AH287" s="602">
        <v>0</v>
      </c>
      <c r="AI287" s="602">
        <v>0</v>
      </c>
      <c r="AJ287" s="498">
        <v>0</v>
      </c>
      <c r="AK287" s="498">
        <v>0</v>
      </c>
      <c r="AL287" s="602">
        <v>2.4861697445764799</v>
      </c>
      <c r="AM287" s="602">
        <v>1.3748729368539701</v>
      </c>
      <c r="AN287" s="498">
        <v>3729722.0630290001</v>
      </c>
      <c r="AO287" s="603">
        <v>2062567.9069709999</v>
      </c>
    </row>
    <row r="288" spans="1:41" ht="12" thickBot="1">
      <c r="A288" s="918"/>
      <c r="B288" s="918"/>
      <c r="C288" s="918"/>
      <c r="D288" s="918"/>
      <c r="E288" s="918"/>
      <c r="F288" s="918"/>
      <c r="G288" s="600" t="s">
        <v>3405</v>
      </c>
      <c r="H288" s="601">
        <v>471053</v>
      </c>
      <c r="I288" s="602">
        <v>1253650784.1500001</v>
      </c>
      <c r="J288" s="602">
        <v>3.7696538957407801</v>
      </c>
      <c r="K288" s="776">
        <v>2093281546.8531001</v>
      </c>
      <c r="L288" s="776">
        <v>41109014.939999998</v>
      </c>
      <c r="M288" s="498">
        <v>3.9602601424129502</v>
      </c>
      <c r="N288" s="602">
        <v>2.3502516951211998</v>
      </c>
      <c r="O288" s="602">
        <v>1.61000844729174</v>
      </c>
      <c r="P288" s="498">
        <v>24396511.484882001</v>
      </c>
      <c r="Q288" s="602">
        <v>16712503.455118001</v>
      </c>
      <c r="R288" s="602">
        <v>0</v>
      </c>
      <c r="S288" s="602">
        <v>0</v>
      </c>
      <c r="T288" s="602">
        <v>0</v>
      </c>
      <c r="U288" s="602">
        <v>0</v>
      </c>
      <c r="V288" s="602">
        <v>0</v>
      </c>
      <c r="W288" s="602">
        <v>0</v>
      </c>
      <c r="X288" s="602">
        <v>0</v>
      </c>
      <c r="Y288" s="602">
        <v>0</v>
      </c>
      <c r="Z288" s="602">
        <v>0</v>
      </c>
      <c r="AA288" s="602">
        <v>0</v>
      </c>
      <c r="AB288" s="602">
        <v>0</v>
      </c>
      <c r="AC288" s="602">
        <v>0</v>
      </c>
      <c r="AD288" s="602">
        <v>0</v>
      </c>
      <c r="AE288" s="602">
        <v>0</v>
      </c>
      <c r="AF288" s="602">
        <v>0</v>
      </c>
      <c r="AG288" s="602">
        <v>0</v>
      </c>
      <c r="AH288" s="602">
        <v>0</v>
      </c>
      <c r="AI288" s="602">
        <v>0</v>
      </c>
      <c r="AJ288" s="498">
        <v>0</v>
      </c>
      <c r="AK288" s="498">
        <v>0</v>
      </c>
      <c r="AL288" s="602">
        <v>2.3502516951211998</v>
      </c>
      <c r="AM288" s="602">
        <v>1.61000844729174</v>
      </c>
      <c r="AN288" s="498">
        <v>24396511.484882001</v>
      </c>
      <c r="AO288" s="603">
        <v>16712503.455118001</v>
      </c>
    </row>
    <row r="289" spans="1:41" ht="12" thickBot="1">
      <c r="A289" s="918"/>
      <c r="B289" s="918"/>
      <c r="C289" s="918"/>
      <c r="D289" s="918"/>
      <c r="E289" s="918"/>
      <c r="F289" s="918"/>
      <c r="G289" s="600" t="s">
        <v>3406</v>
      </c>
      <c r="H289" s="601">
        <v>471054</v>
      </c>
      <c r="I289" s="602">
        <v>0</v>
      </c>
      <c r="J289" s="602">
        <v>0</v>
      </c>
      <c r="K289" s="776">
        <v>363415941.82419902</v>
      </c>
      <c r="L289" s="776">
        <v>5443046.4000000004</v>
      </c>
      <c r="M289" s="498">
        <v>3.0203157801987102</v>
      </c>
      <c r="N289" s="602">
        <v>2.5670413403935499</v>
      </c>
      <c r="O289" s="602">
        <v>0.45327443980515603</v>
      </c>
      <c r="P289" s="498">
        <v>4626180.2219770001</v>
      </c>
      <c r="Q289" s="602">
        <v>816866.17802300001</v>
      </c>
      <c r="R289" s="602">
        <v>0</v>
      </c>
      <c r="S289" s="602">
        <v>0</v>
      </c>
      <c r="T289" s="602">
        <v>0</v>
      </c>
      <c r="U289" s="602">
        <v>0</v>
      </c>
      <c r="V289" s="602">
        <v>0</v>
      </c>
      <c r="W289" s="602">
        <v>0</v>
      </c>
      <c r="X289" s="602">
        <v>0</v>
      </c>
      <c r="Y289" s="602">
        <v>0</v>
      </c>
      <c r="Z289" s="602">
        <v>0</v>
      </c>
      <c r="AA289" s="602">
        <v>0</v>
      </c>
      <c r="AB289" s="602">
        <v>0</v>
      </c>
      <c r="AC289" s="602">
        <v>0</v>
      </c>
      <c r="AD289" s="602">
        <v>0</v>
      </c>
      <c r="AE289" s="602">
        <v>0</v>
      </c>
      <c r="AF289" s="602">
        <v>0</v>
      </c>
      <c r="AG289" s="602">
        <v>0</v>
      </c>
      <c r="AH289" s="602">
        <v>0</v>
      </c>
      <c r="AI289" s="602">
        <v>0</v>
      </c>
      <c r="AJ289" s="498">
        <v>0</v>
      </c>
      <c r="AK289" s="498">
        <v>0</v>
      </c>
      <c r="AL289" s="602">
        <v>2.5670413403935499</v>
      </c>
      <c r="AM289" s="602">
        <v>0.45327443980515603</v>
      </c>
      <c r="AN289" s="498">
        <v>4626180.2219770001</v>
      </c>
      <c r="AO289" s="603">
        <v>816866.17802300001</v>
      </c>
    </row>
    <row r="290" spans="1:41" ht="12" thickBot="1">
      <c r="A290" s="918"/>
      <c r="B290" s="919"/>
      <c r="C290" s="919"/>
      <c r="D290" s="919"/>
      <c r="E290" s="919"/>
      <c r="F290" s="919"/>
      <c r="G290" s="600" t="s">
        <v>2736</v>
      </c>
      <c r="H290" s="601">
        <v>471057</v>
      </c>
      <c r="I290" s="602">
        <v>0</v>
      </c>
      <c r="J290" s="602">
        <v>0</v>
      </c>
      <c r="K290" s="776">
        <v>391402605.862652</v>
      </c>
      <c r="L290" s="776">
        <v>6404144.3399999999</v>
      </c>
      <c r="M290" s="498">
        <v>3.2995270152382101</v>
      </c>
      <c r="N290" s="602">
        <v>2.7280065323269902</v>
      </c>
      <c r="O290" s="602">
        <v>0.57152048291121704</v>
      </c>
      <c r="P290" s="498">
        <v>5294864.2374499999</v>
      </c>
      <c r="Q290" s="602">
        <v>1109280.10255</v>
      </c>
      <c r="R290" s="602">
        <v>0</v>
      </c>
      <c r="S290" s="602">
        <v>0</v>
      </c>
      <c r="T290" s="602">
        <v>0</v>
      </c>
      <c r="U290" s="602">
        <v>0</v>
      </c>
      <c r="V290" s="602">
        <v>0</v>
      </c>
      <c r="W290" s="602">
        <v>0</v>
      </c>
      <c r="X290" s="602">
        <v>0</v>
      </c>
      <c r="Y290" s="602">
        <v>0</v>
      </c>
      <c r="Z290" s="602">
        <v>0</v>
      </c>
      <c r="AA290" s="602">
        <v>0</v>
      </c>
      <c r="AB290" s="602">
        <v>0</v>
      </c>
      <c r="AC290" s="602">
        <v>0</v>
      </c>
      <c r="AD290" s="602">
        <v>0</v>
      </c>
      <c r="AE290" s="602">
        <v>0</v>
      </c>
      <c r="AF290" s="602">
        <v>0</v>
      </c>
      <c r="AG290" s="602">
        <v>0</v>
      </c>
      <c r="AH290" s="602">
        <v>0</v>
      </c>
      <c r="AI290" s="602">
        <v>0</v>
      </c>
      <c r="AJ290" s="498">
        <v>0</v>
      </c>
      <c r="AK290" s="498">
        <v>0</v>
      </c>
      <c r="AL290" s="602">
        <v>2.7280065323269902</v>
      </c>
      <c r="AM290" s="602">
        <v>0.57152048291121704</v>
      </c>
      <c r="AN290" s="498">
        <v>5294864.2374499999</v>
      </c>
      <c r="AO290" s="603">
        <v>1109280.10255</v>
      </c>
    </row>
    <row r="291" spans="1:41" ht="12" thickBot="1">
      <c r="A291" s="918"/>
      <c r="B291" s="917" t="s">
        <v>2737</v>
      </c>
      <c r="C291" s="917" t="s">
        <v>2737</v>
      </c>
      <c r="D291" s="917" t="s">
        <v>2737</v>
      </c>
      <c r="E291" s="917" t="s">
        <v>2737</v>
      </c>
      <c r="F291" s="600" t="s">
        <v>2738</v>
      </c>
      <c r="G291" s="600" t="s">
        <v>2738</v>
      </c>
      <c r="H291" s="601">
        <v>471512</v>
      </c>
      <c r="I291" s="602">
        <v>0</v>
      </c>
      <c r="J291" s="602">
        <v>0</v>
      </c>
      <c r="K291" s="776">
        <v>4640883.9779009996</v>
      </c>
      <c r="L291" s="776">
        <v>63000</v>
      </c>
      <c r="M291" s="498">
        <v>2.73749999999974</v>
      </c>
      <c r="N291" s="602">
        <v>2.5460101851803598</v>
      </c>
      <c r="O291" s="602">
        <v>0.191489814819643</v>
      </c>
      <c r="P291" s="498">
        <v>58593.111110999998</v>
      </c>
      <c r="Q291" s="602">
        <v>4406.8888889999998</v>
      </c>
      <c r="R291" s="602">
        <v>0</v>
      </c>
      <c r="S291" s="602">
        <v>0</v>
      </c>
      <c r="T291" s="602">
        <v>0</v>
      </c>
      <c r="U291" s="602">
        <v>0</v>
      </c>
      <c r="V291" s="602">
        <v>0</v>
      </c>
      <c r="W291" s="602">
        <v>0</v>
      </c>
      <c r="X291" s="602">
        <v>0</v>
      </c>
      <c r="Y291" s="602">
        <v>0</v>
      </c>
      <c r="Z291" s="602">
        <v>0</v>
      </c>
      <c r="AA291" s="602">
        <v>0</v>
      </c>
      <c r="AB291" s="602">
        <v>0</v>
      </c>
      <c r="AC291" s="602">
        <v>0</v>
      </c>
      <c r="AD291" s="602">
        <v>0</v>
      </c>
      <c r="AE291" s="602">
        <v>0</v>
      </c>
      <c r="AF291" s="602">
        <v>0</v>
      </c>
      <c r="AG291" s="602">
        <v>0</v>
      </c>
      <c r="AH291" s="602">
        <v>0</v>
      </c>
      <c r="AI291" s="602">
        <v>0</v>
      </c>
      <c r="AJ291" s="498">
        <v>0</v>
      </c>
      <c r="AK291" s="498">
        <v>0</v>
      </c>
      <c r="AL291" s="602">
        <v>2.5460101851803598</v>
      </c>
      <c r="AM291" s="602">
        <v>0.191489814819643</v>
      </c>
      <c r="AN291" s="498">
        <v>58593.111110999998</v>
      </c>
      <c r="AO291" s="603">
        <v>4406.8888889999998</v>
      </c>
    </row>
    <row r="292" spans="1:41" ht="12" thickBot="1">
      <c r="A292" s="918"/>
      <c r="B292" s="919"/>
      <c r="C292" s="919"/>
      <c r="D292" s="919"/>
      <c r="E292" s="919"/>
      <c r="F292" s="600" t="s">
        <v>2585</v>
      </c>
      <c r="G292" s="600" t="s">
        <v>2585</v>
      </c>
      <c r="H292" s="601">
        <v>471592</v>
      </c>
      <c r="I292" s="602">
        <v>4380000000</v>
      </c>
      <c r="J292" s="602">
        <v>4.4472602739726002</v>
      </c>
      <c r="K292" s="776">
        <v>3245248618.7845302</v>
      </c>
      <c r="L292" s="776">
        <v>555291.67000000004</v>
      </c>
      <c r="M292" s="498">
        <v>3.4505432429901998E-2</v>
      </c>
      <c r="N292" s="602">
        <v>3.7695413540040499</v>
      </c>
      <c r="O292" s="602">
        <v>-3.7350359215741502</v>
      </c>
      <c r="P292" s="498">
        <v>60662764.272012003</v>
      </c>
      <c r="Q292" s="602">
        <v>-60107472.602012001</v>
      </c>
      <c r="R292" s="602">
        <v>0</v>
      </c>
      <c r="S292" s="602">
        <v>0</v>
      </c>
      <c r="T292" s="602">
        <v>0</v>
      </c>
      <c r="U292" s="602">
        <v>0</v>
      </c>
      <c r="V292" s="602">
        <v>0</v>
      </c>
      <c r="W292" s="602">
        <v>0</v>
      </c>
      <c r="X292" s="602">
        <v>0</v>
      </c>
      <c r="Y292" s="602">
        <v>0</v>
      </c>
      <c r="Z292" s="602">
        <v>0</v>
      </c>
      <c r="AA292" s="602">
        <v>0</v>
      </c>
      <c r="AB292" s="602">
        <v>0</v>
      </c>
      <c r="AC292" s="602">
        <v>0</v>
      </c>
      <c r="AD292" s="602">
        <v>0</v>
      </c>
      <c r="AE292" s="602">
        <v>0</v>
      </c>
      <c r="AF292" s="602">
        <v>0</v>
      </c>
      <c r="AG292" s="602">
        <v>0</v>
      </c>
      <c r="AH292" s="602">
        <v>0</v>
      </c>
      <c r="AI292" s="602">
        <v>0</v>
      </c>
      <c r="AJ292" s="498">
        <v>0</v>
      </c>
      <c r="AK292" s="498">
        <v>0</v>
      </c>
      <c r="AL292" s="602">
        <v>3.7695413540040499</v>
      </c>
      <c r="AM292" s="602">
        <v>-3.7350359215741502</v>
      </c>
      <c r="AN292" s="498">
        <v>60662764.272012003</v>
      </c>
      <c r="AO292" s="603">
        <v>-60107472.602012001</v>
      </c>
    </row>
    <row r="293" spans="1:41" ht="12" thickBot="1">
      <c r="A293" s="918"/>
      <c r="B293" s="917" t="s">
        <v>2739</v>
      </c>
      <c r="C293" s="917" t="s">
        <v>2739</v>
      </c>
      <c r="D293" s="917" t="s">
        <v>2739</v>
      </c>
      <c r="E293" s="917" t="s">
        <v>2739</v>
      </c>
      <c r="F293" s="600" t="s">
        <v>2740</v>
      </c>
      <c r="G293" s="600" t="s">
        <v>2740</v>
      </c>
      <c r="H293" s="601">
        <v>472501</v>
      </c>
      <c r="I293" s="602">
        <v>0</v>
      </c>
      <c r="J293" s="602">
        <v>0</v>
      </c>
      <c r="K293" s="776">
        <v>783425414.36464095</v>
      </c>
      <c r="L293" s="776">
        <v>12048888.880000001</v>
      </c>
      <c r="M293" s="498">
        <v>3.1014417779971799</v>
      </c>
      <c r="N293" s="602">
        <v>2.9170393014402598</v>
      </c>
      <c r="O293" s="602">
        <v>-0.184402476556915</v>
      </c>
      <c r="P293" s="498">
        <v>11332497.888883</v>
      </c>
      <c r="Q293" s="602">
        <v>-716390.991117</v>
      </c>
      <c r="R293" s="602">
        <v>0</v>
      </c>
      <c r="S293" s="602">
        <v>0</v>
      </c>
      <c r="T293" s="602">
        <v>0</v>
      </c>
      <c r="U293" s="602">
        <v>0</v>
      </c>
      <c r="V293" s="602">
        <v>0</v>
      </c>
      <c r="W293" s="602">
        <v>0</v>
      </c>
      <c r="X293" s="602">
        <v>0</v>
      </c>
      <c r="Y293" s="602">
        <v>0</v>
      </c>
      <c r="Z293" s="602">
        <v>0</v>
      </c>
      <c r="AA293" s="602">
        <v>0</v>
      </c>
      <c r="AB293" s="602">
        <v>0</v>
      </c>
      <c r="AC293" s="602">
        <v>0</v>
      </c>
      <c r="AD293" s="602">
        <v>0</v>
      </c>
      <c r="AE293" s="602">
        <v>0</v>
      </c>
      <c r="AF293" s="602">
        <v>0</v>
      </c>
      <c r="AG293" s="602">
        <v>0</v>
      </c>
      <c r="AH293" s="602">
        <v>0</v>
      </c>
      <c r="AI293" s="602">
        <v>0</v>
      </c>
      <c r="AJ293" s="498">
        <v>0</v>
      </c>
      <c r="AK293" s="498">
        <v>0</v>
      </c>
      <c r="AL293" s="602">
        <v>2.9170393014402598</v>
      </c>
      <c r="AM293" s="602">
        <v>-0.184402476556915</v>
      </c>
      <c r="AN293" s="498">
        <v>11332497.888883</v>
      </c>
      <c r="AO293" s="603">
        <v>-716390.991117</v>
      </c>
    </row>
    <row r="294" spans="1:41" ht="12" thickBot="1">
      <c r="A294" s="918"/>
      <c r="B294" s="918"/>
      <c r="C294" s="918"/>
      <c r="D294" s="918"/>
      <c r="E294" s="918"/>
      <c r="F294" s="600" t="s">
        <v>2741</v>
      </c>
      <c r="G294" s="600" t="s">
        <v>2741</v>
      </c>
      <c r="H294" s="601">
        <v>472512</v>
      </c>
      <c r="I294" s="602">
        <v>0</v>
      </c>
      <c r="J294" s="602">
        <v>0</v>
      </c>
      <c r="K294" s="776">
        <v>2097348066.2983401</v>
      </c>
      <c r="L294" s="776">
        <v>28233986.07</v>
      </c>
      <c r="M294" s="498">
        <v>2.7146633253121499</v>
      </c>
      <c r="N294" s="602">
        <v>2.68019420757444</v>
      </c>
      <c r="O294" s="602">
        <v>-3.4469117737710997E-2</v>
      </c>
      <c r="P294" s="498">
        <v>27875488.358339999</v>
      </c>
      <c r="Q294" s="602">
        <v>-358497.71165999997</v>
      </c>
      <c r="R294" s="602">
        <v>0</v>
      </c>
      <c r="S294" s="602">
        <v>0</v>
      </c>
      <c r="T294" s="602">
        <v>0</v>
      </c>
      <c r="U294" s="602">
        <v>0</v>
      </c>
      <c r="V294" s="602">
        <v>0</v>
      </c>
      <c r="W294" s="602">
        <v>0</v>
      </c>
      <c r="X294" s="602">
        <v>0</v>
      </c>
      <c r="Y294" s="602">
        <v>0</v>
      </c>
      <c r="Z294" s="602">
        <v>0</v>
      </c>
      <c r="AA294" s="602">
        <v>0</v>
      </c>
      <c r="AB294" s="602">
        <v>0</v>
      </c>
      <c r="AC294" s="602">
        <v>0</v>
      </c>
      <c r="AD294" s="602">
        <v>0</v>
      </c>
      <c r="AE294" s="602">
        <v>0</v>
      </c>
      <c r="AF294" s="602">
        <v>0</v>
      </c>
      <c r="AG294" s="602">
        <v>0</v>
      </c>
      <c r="AH294" s="602">
        <v>0</v>
      </c>
      <c r="AI294" s="602">
        <v>0</v>
      </c>
      <c r="AJ294" s="498">
        <v>0</v>
      </c>
      <c r="AK294" s="498">
        <v>0</v>
      </c>
      <c r="AL294" s="602">
        <v>2.68019420757444</v>
      </c>
      <c r="AM294" s="602">
        <v>-3.4469117737710997E-2</v>
      </c>
      <c r="AN294" s="498">
        <v>27875488.358339999</v>
      </c>
      <c r="AO294" s="603">
        <v>-358497.71165999997</v>
      </c>
    </row>
    <row r="295" spans="1:41" ht="12" thickBot="1">
      <c r="A295" s="918"/>
      <c r="B295" s="919"/>
      <c r="C295" s="919"/>
      <c r="D295" s="919"/>
      <c r="E295" s="919"/>
      <c r="F295" s="600" t="s">
        <v>4196</v>
      </c>
      <c r="G295" s="600" t="s">
        <v>4196</v>
      </c>
      <c r="H295" s="601">
        <v>472522</v>
      </c>
      <c r="I295" s="602">
        <v>100281891.2</v>
      </c>
      <c r="J295" s="602">
        <v>0</v>
      </c>
      <c r="K295" s="776">
        <v>32629888.300551999</v>
      </c>
      <c r="L295" s="776">
        <v>0</v>
      </c>
      <c r="M295" s="498">
        <v>0</v>
      </c>
      <c r="N295" s="602">
        <v>2.50594814207287</v>
      </c>
      <c r="O295" s="602">
        <v>2.50594814207287</v>
      </c>
      <c r="P295" s="498">
        <v>405483.67784299998</v>
      </c>
      <c r="Q295" s="602">
        <v>405483.67784299998</v>
      </c>
      <c r="R295" s="602">
        <v>0</v>
      </c>
      <c r="S295" s="602">
        <v>0</v>
      </c>
      <c r="T295" s="602">
        <v>0</v>
      </c>
      <c r="U295" s="602">
        <v>0</v>
      </c>
      <c r="V295" s="602">
        <v>0</v>
      </c>
      <c r="W295" s="602">
        <v>0</v>
      </c>
      <c r="X295" s="602">
        <v>0</v>
      </c>
      <c r="Y295" s="602">
        <v>0</v>
      </c>
      <c r="Z295" s="602">
        <v>0</v>
      </c>
      <c r="AA295" s="602">
        <v>0</v>
      </c>
      <c r="AB295" s="602">
        <v>0</v>
      </c>
      <c r="AC295" s="602">
        <v>0</v>
      </c>
      <c r="AD295" s="602">
        <v>0</v>
      </c>
      <c r="AE295" s="602">
        <v>0</v>
      </c>
      <c r="AF295" s="602">
        <v>0</v>
      </c>
      <c r="AG295" s="602">
        <v>0</v>
      </c>
      <c r="AH295" s="602">
        <v>0</v>
      </c>
      <c r="AI295" s="602">
        <v>0</v>
      </c>
      <c r="AJ295" s="498">
        <v>0</v>
      </c>
      <c r="AK295" s="498">
        <v>0</v>
      </c>
      <c r="AL295" s="602">
        <v>2.50594814207287</v>
      </c>
      <c r="AM295" s="602">
        <v>2.50594814207287</v>
      </c>
      <c r="AN295" s="498">
        <v>405483.67784299998</v>
      </c>
      <c r="AO295" s="603">
        <v>405483.67784299998</v>
      </c>
    </row>
    <row r="296" spans="1:41" ht="12" thickBot="1">
      <c r="A296" s="918"/>
      <c r="B296" s="917" t="s">
        <v>471</v>
      </c>
      <c r="C296" s="917" t="s">
        <v>472</v>
      </c>
      <c r="D296" s="917" t="s">
        <v>472</v>
      </c>
      <c r="E296" s="917" t="s">
        <v>472</v>
      </c>
      <c r="F296" s="917" t="s">
        <v>472</v>
      </c>
      <c r="G296" s="600" t="s">
        <v>473</v>
      </c>
      <c r="H296" s="601">
        <v>472001</v>
      </c>
      <c r="I296" s="602">
        <v>1430367631.77</v>
      </c>
      <c r="J296" s="602">
        <v>4.8790450817277602</v>
      </c>
      <c r="K296" s="776">
        <v>11579189875.4417</v>
      </c>
      <c r="L296" s="776">
        <v>227497478.28</v>
      </c>
      <c r="M296" s="498">
        <v>3.96198385146594</v>
      </c>
      <c r="N296" s="602">
        <v>2.6100073476908801</v>
      </c>
      <c r="O296" s="602">
        <v>1.35197650377506</v>
      </c>
      <c r="P296" s="498">
        <v>149866862.70118201</v>
      </c>
      <c r="Q296" s="602">
        <v>77630615.578817993</v>
      </c>
      <c r="R296" s="602">
        <v>0</v>
      </c>
      <c r="S296" s="602">
        <v>0</v>
      </c>
      <c r="T296" s="602">
        <v>0</v>
      </c>
      <c r="U296" s="602">
        <v>0</v>
      </c>
      <c r="V296" s="602">
        <v>0</v>
      </c>
      <c r="W296" s="602">
        <v>0</v>
      </c>
      <c r="X296" s="602">
        <v>0</v>
      </c>
      <c r="Y296" s="602">
        <v>0</v>
      </c>
      <c r="Z296" s="602">
        <v>0</v>
      </c>
      <c r="AA296" s="602">
        <v>0</v>
      </c>
      <c r="AB296" s="602">
        <v>0</v>
      </c>
      <c r="AC296" s="602">
        <v>0</v>
      </c>
      <c r="AD296" s="602">
        <v>0</v>
      </c>
      <c r="AE296" s="602">
        <v>0</v>
      </c>
      <c r="AF296" s="602">
        <v>0</v>
      </c>
      <c r="AG296" s="602">
        <v>0</v>
      </c>
      <c r="AH296" s="602">
        <v>0</v>
      </c>
      <c r="AI296" s="602">
        <v>0</v>
      </c>
      <c r="AJ296" s="498">
        <v>0</v>
      </c>
      <c r="AK296" s="498">
        <v>0</v>
      </c>
      <c r="AL296" s="602">
        <v>2.6100073476908801</v>
      </c>
      <c r="AM296" s="602">
        <v>1.35197650377506</v>
      </c>
      <c r="AN296" s="498">
        <v>149866862.70118201</v>
      </c>
      <c r="AO296" s="603">
        <v>77630615.578817993</v>
      </c>
    </row>
    <row r="297" spans="1:41" ht="12" thickBot="1">
      <c r="A297" s="918"/>
      <c r="B297" s="918"/>
      <c r="C297" s="919"/>
      <c r="D297" s="919"/>
      <c r="E297" s="919"/>
      <c r="F297" s="919"/>
      <c r="G297" s="600" t="s">
        <v>474</v>
      </c>
      <c r="H297" s="601">
        <v>472011</v>
      </c>
      <c r="I297" s="602">
        <v>2716733479.25</v>
      </c>
      <c r="J297" s="602">
        <v>4.0179785416357801</v>
      </c>
      <c r="K297" s="776">
        <v>3015524864.4806099</v>
      </c>
      <c r="L297" s="776">
        <v>61404663.789999999</v>
      </c>
      <c r="M297" s="498">
        <v>4.10631946355136</v>
      </c>
      <c r="N297" s="602">
        <v>2.57597627680786</v>
      </c>
      <c r="O297" s="602">
        <v>1.5303431867435</v>
      </c>
      <c r="P297" s="498">
        <v>38520372.955007002</v>
      </c>
      <c r="Q297" s="602">
        <v>22884290.834993001</v>
      </c>
      <c r="R297" s="602">
        <v>0</v>
      </c>
      <c r="S297" s="602">
        <v>0</v>
      </c>
      <c r="T297" s="602">
        <v>0</v>
      </c>
      <c r="U297" s="602">
        <v>0</v>
      </c>
      <c r="V297" s="602">
        <v>0</v>
      </c>
      <c r="W297" s="602">
        <v>0</v>
      </c>
      <c r="X297" s="602">
        <v>0</v>
      </c>
      <c r="Y297" s="602">
        <v>0</v>
      </c>
      <c r="Z297" s="602">
        <v>0</v>
      </c>
      <c r="AA297" s="602">
        <v>0</v>
      </c>
      <c r="AB297" s="602">
        <v>0</v>
      </c>
      <c r="AC297" s="602">
        <v>0</v>
      </c>
      <c r="AD297" s="602">
        <v>0</v>
      </c>
      <c r="AE297" s="602">
        <v>0</v>
      </c>
      <c r="AF297" s="602">
        <v>0</v>
      </c>
      <c r="AG297" s="602">
        <v>0</v>
      </c>
      <c r="AH297" s="602">
        <v>0</v>
      </c>
      <c r="AI297" s="602">
        <v>0</v>
      </c>
      <c r="AJ297" s="498">
        <v>0</v>
      </c>
      <c r="AK297" s="498">
        <v>0</v>
      </c>
      <c r="AL297" s="602">
        <v>2.57597627680786</v>
      </c>
      <c r="AM297" s="602">
        <v>1.5303431867435</v>
      </c>
      <c r="AN297" s="498">
        <v>38520372.955007002</v>
      </c>
      <c r="AO297" s="603">
        <v>22884290.834993001</v>
      </c>
    </row>
    <row r="298" spans="1:41" ht="12" thickBot="1">
      <c r="A298" s="918"/>
      <c r="B298" s="918"/>
      <c r="C298" s="917" t="s">
        <v>475</v>
      </c>
      <c r="D298" s="917" t="s">
        <v>475</v>
      </c>
      <c r="E298" s="917" t="s">
        <v>475</v>
      </c>
      <c r="F298" s="917" t="s">
        <v>475</v>
      </c>
      <c r="G298" s="600" t="s">
        <v>476</v>
      </c>
      <c r="H298" s="601">
        <v>472021</v>
      </c>
      <c r="I298" s="602">
        <v>215653759.43000001</v>
      </c>
      <c r="J298" s="602">
        <v>3.8582572230602699</v>
      </c>
      <c r="K298" s="776">
        <v>715326527.29442096</v>
      </c>
      <c r="L298" s="776">
        <v>11685916.81452</v>
      </c>
      <c r="M298" s="498">
        <v>3.2943728435658302</v>
      </c>
      <c r="N298" s="602">
        <v>2.5571678554453801</v>
      </c>
      <c r="O298" s="602">
        <v>0.73720498812045399</v>
      </c>
      <c r="P298" s="498">
        <v>9070876.9949530009</v>
      </c>
      <c r="Q298" s="602">
        <v>2615039.819567</v>
      </c>
      <c r="R298" s="602">
        <v>0</v>
      </c>
      <c r="S298" s="602">
        <v>0</v>
      </c>
      <c r="T298" s="602">
        <v>0</v>
      </c>
      <c r="U298" s="602">
        <v>0</v>
      </c>
      <c r="V298" s="602">
        <v>0</v>
      </c>
      <c r="W298" s="602">
        <v>0</v>
      </c>
      <c r="X298" s="602">
        <v>0</v>
      </c>
      <c r="Y298" s="602">
        <v>0</v>
      </c>
      <c r="Z298" s="602">
        <v>0</v>
      </c>
      <c r="AA298" s="602">
        <v>0</v>
      </c>
      <c r="AB298" s="602">
        <v>0</v>
      </c>
      <c r="AC298" s="602">
        <v>0</v>
      </c>
      <c r="AD298" s="602">
        <v>0</v>
      </c>
      <c r="AE298" s="602">
        <v>0</v>
      </c>
      <c r="AF298" s="602">
        <v>0</v>
      </c>
      <c r="AG298" s="602">
        <v>0</v>
      </c>
      <c r="AH298" s="602">
        <v>0</v>
      </c>
      <c r="AI298" s="602">
        <v>0</v>
      </c>
      <c r="AJ298" s="498">
        <v>0</v>
      </c>
      <c r="AK298" s="498">
        <v>0</v>
      </c>
      <c r="AL298" s="602">
        <v>2.5571678554453801</v>
      </c>
      <c r="AM298" s="602">
        <v>0.73720498812045399</v>
      </c>
      <c r="AN298" s="498">
        <v>9070876.9949530009</v>
      </c>
      <c r="AO298" s="603">
        <v>2615039.819567</v>
      </c>
    </row>
    <row r="299" spans="1:41" ht="12" thickBot="1">
      <c r="A299" s="918"/>
      <c r="B299" s="919"/>
      <c r="C299" s="919"/>
      <c r="D299" s="919"/>
      <c r="E299" s="919"/>
      <c r="F299" s="919"/>
      <c r="G299" s="600" t="s">
        <v>477</v>
      </c>
      <c r="H299" s="601">
        <v>472031</v>
      </c>
      <c r="I299" s="602">
        <v>998000000</v>
      </c>
      <c r="J299" s="602">
        <v>5.4488296593186396</v>
      </c>
      <c r="K299" s="776">
        <v>2277375690.6077399</v>
      </c>
      <c r="L299" s="776">
        <v>43686109.437748998</v>
      </c>
      <c r="M299" s="498">
        <v>3.86832521312899</v>
      </c>
      <c r="N299" s="602">
        <v>2.49729453103537</v>
      </c>
      <c r="O299" s="602">
        <v>1.37103068209363</v>
      </c>
      <c r="P299" s="498">
        <v>28202665.538779002</v>
      </c>
      <c r="Q299" s="602">
        <v>15483443.89897</v>
      </c>
      <c r="R299" s="602">
        <v>0</v>
      </c>
      <c r="S299" s="602">
        <v>0</v>
      </c>
      <c r="T299" s="602">
        <v>0</v>
      </c>
      <c r="U299" s="602">
        <v>0</v>
      </c>
      <c r="V299" s="602">
        <v>0</v>
      </c>
      <c r="W299" s="602">
        <v>0</v>
      </c>
      <c r="X299" s="602">
        <v>0</v>
      </c>
      <c r="Y299" s="602">
        <v>0</v>
      </c>
      <c r="Z299" s="602">
        <v>0</v>
      </c>
      <c r="AA299" s="602">
        <v>0</v>
      </c>
      <c r="AB299" s="602">
        <v>0</v>
      </c>
      <c r="AC299" s="602">
        <v>0</v>
      </c>
      <c r="AD299" s="602">
        <v>-4.5388853088879997E-3</v>
      </c>
      <c r="AE299" s="602">
        <v>-51258.9375</v>
      </c>
      <c r="AF299" s="602">
        <v>0</v>
      </c>
      <c r="AG299" s="602">
        <v>0</v>
      </c>
      <c r="AH299" s="602">
        <v>0</v>
      </c>
      <c r="AI299" s="602">
        <v>0</v>
      </c>
      <c r="AJ299" s="498">
        <v>0</v>
      </c>
      <c r="AK299" s="498">
        <v>0</v>
      </c>
      <c r="AL299" s="602">
        <v>2.4900323145411498</v>
      </c>
      <c r="AM299" s="602">
        <v>1.37829289858785</v>
      </c>
      <c r="AN299" s="498">
        <v>28120651.238779001</v>
      </c>
      <c r="AO299" s="603">
        <v>15565458.198969999</v>
      </c>
    </row>
    <row r="300" spans="1:41" ht="12" thickBot="1">
      <c r="A300" s="918"/>
      <c r="B300" s="917" t="s">
        <v>2742</v>
      </c>
      <c r="C300" s="917" t="s">
        <v>2743</v>
      </c>
      <c r="D300" s="917" t="s">
        <v>478</v>
      </c>
      <c r="E300" s="917" t="s">
        <v>2743</v>
      </c>
      <c r="F300" s="917" t="s">
        <v>2743</v>
      </c>
      <c r="G300" s="600" t="s">
        <v>479</v>
      </c>
      <c r="H300" s="601">
        <v>472311</v>
      </c>
      <c r="I300" s="602">
        <v>80027930</v>
      </c>
      <c r="J300" s="602">
        <v>3.16313340539309</v>
      </c>
      <c r="K300" s="776">
        <v>77384457.237569004</v>
      </c>
      <c r="L300" s="776">
        <v>1054472.19</v>
      </c>
      <c r="M300" s="498">
        <v>2.7478668139845999</v>
      </c>
      <c r="N300" s="602">
        <v>2.42430985895178</v>
      </c>
      <c r="O300" s="602">
        <v>0.32355695503281201</v>
      </c>
      <c r="P300" s="498">
        <v>930309.76363099995</v>
      </c>
      <c r="Q300" s="602">
        <v>124162.42636899999</v>
      </c>
      <c r="R300" s="602">
        <v>0</v>
      </c>
      <c r="S300" s="602">
        <v>0</v>
      </c>
      <c r="T300" s="602">
        <v>0</v>
      </c>
      <c r="U300" s="602">
        <v>0</v>
      </c>
      <c r="V300" s="602">
        <v>0</v>
      </c>
      <c r="W300" s="602">
        <v>0</v>
      </c>
      <c r="X300" s="602">
        <v>0</v>
      </c>
      <c r="Y300" s="602">
        <v>0</v>
      </c>
      <c r="Z300" s="602">
        <v>0</v>
      </c>
      <c r="AA300" s="602">
        <v>0</v>
      </c>
      <c r="AB300" s="602">
        <v>0</v>
      </c>
      <c r="AC300" s="602">
        <v>0</v>
      </c>
      <c r="AD300" s="602">
        <v>0</v>
      </c>
      <c r="AE300" s="602">
        <v>0</v>
      </c>
      <c r="AF300" s="602">
        <v>0</v>
      </c>
      <c r="AG300" s="602">
        <v>0</v>
      </c>
      <c r="AH300" s="602">
        <v>0</v>
      </c>
      <c r="AI300" s="602">
        <v>0</v>
      </c>
      <c r="AJ300" s="498">
        <v>0</v>
      </c>
      <c r="AK300" s="498">
        <v>0</v>
      </c>
      <c r="AL300" s="602">
        <v>2.42430985895178</v>
      </c>
      <c r="AM300" s="602">
        <v>0.32355695503281201</v>
      </c>
      <c r="AN300" s="498">
        <v>930309.76363099995</v>
      </c>
      <c r="AO300" s="603">
        <v>124162.42636899999</v>
      </c>
    </row>
    <row r="301" spans="1:41" ht="12" thickBot="1">
      <c r="A301" s="918"/>
      <c r="B301" s="918"/>
      <c r="C301" s="918"/>
      <c r="D301" s="918"/>
      <c r="E301" s="918"/>
      <c r="F301" s="918"/>
      <c r="G301" s="600" t="s">
        <v>480</v>
      </c>
      <c r="H301" s="601">
        <v>472312</v>
      </c>
      <c r="I301" s="602">
        <v>1467370930.51</v>
      </c>
      <c r="J301" s="602">
        <v>3.35023927032123</v>
      </c>
      <c r="K301" s="776">
        <v>2530505874.63801</v>
      </c>
      <c r="L301" s="776">
        <v>40181256.990000002</v>
      </c>
      <c r="M301" s="498">
        <v>3.2020673208872998</v>
      </c>
      <c r="N301" s="602">
        <v>2.4425760781007102</v>
      </c>
      <c r="O301" s="602">
        <v>0.75949124278659497</v>
      </c>
      <c r="P301" s="498">
        <v>30650753.802576002</v>
      </c>
      <c r="Q301" s="602">
        <v>9530503.1874240004</v>
      </c>
      <c r="R301" s="602">
        <v>0</v>
      </c>
      <c r="S301" s="602">
        <v>0</v>
      </c>
      <c r="T301" s="602">
        <v>0</v>
      </c>
      <c r="U301" s="602">
        <v>0</v>
      </c>
      <c r="V301" s="602">
        <v>0</v>
      </c>
      <c r="W301" s="602">
        <v>0</v>
      </c>
      <c r="X301" s="602">
        <v>0</v>
      </c>
      <c r="Y301" s="602">
        <v>0</v>
      </c>
      <c r="Z301" s="602">
        <v>0</v>
      </c>
      <c r="AA301" s="602">
        <v>0</v>
      </c>
      <c r="AB301" s="602">
        <v>0</v>
      </c>
      <c r="AC301" s="602">
        <v>0</v>
      </c>
      <c r="AD301" s="602">
        <v>0</v>
      </c>
      <c r="AE301" s="602">
        <v>0</v>
      </c>
      <c r="AF301" s="602">
        <v>0</v>
      </c>
      <c r="AG301" s="602">
        <v>0</v>
      </c>
      <c r="AH301" s="602">
        <v>0</v>
      </c>
      <c r="AI301" s="602">
        <v>0</v>
      </c>
      <c r="AJ301" s="498">
        <v>0</v>
      </c>
      <c r="AK301" s="498">
        <v>0</v>
      </c>
      <c r="AL301" s="602">
        <v>2.4425760781007102</v>
      </c>
      <c r="AM301" s="602">
        <v>0.75949124278659497</v>
      </c>
      <c r="AN301" s="498">
        <v>30650753.802576002</v>
      </c>
      <c r="AO301" s="603">
        <v>9530503.1874240004</v>
      </c>
    </row>
    <row r="302" spans="1:41" ht="12" thickBot="1">
      <c r="A302" s="918"/>
      <c r="B302" s="918"/>
      <c r="C302" s="918"/>
      <c r="D302" s="918"/>
      <c r="E302" s="918"/>
      <c r="F302" s="918"/>
      <c r="G302" s="600" t="s">
        <v>2747</v>
      </c>
      <c r="H302" s="601">
        <v>472315</v>
      </c>
      <c r="I302" s="602">
        <v>0</v>
      </c>
      <c r="J302" s="602">
        <v>0</v>
      </c>
      <c r="K302" s="776">
        <v>57038078.453038998</v>
      </c>
      <c r="L302" s="776">
        <v>927780.82</v>
      </c>
      <c r="M302" s="498">
        <v>3.2801582265649598</v>
      </c>
      <c r="N302" s="602">
        <v>2.3206514268425802</v>
      </c>
      <c r="O302" s="602">
        <v>0.95950679972239505</v>
      </c>
      <c r="P302" s="498">
        <v>656387.81272599997</v>
      </c>
      <c r="Q302" s="602">
        <v>271393.00727399997</v>
      </c>
      <c r="R302" s="602">
        <v>0</v>
      </c>
      <c r="S302" s="602">
        <v>0</v>
      </c>
      <c r="T302" s="602">
        <v>0</v>
      </c>
      <c r="U302" s="602">
        <v>0</v>
      </c>
      <c r="V302" s="602">
        <v>0</v>
      </c>
      <c r="W302" s="602">
        <v>0</v>
      </c>
      <c r="X302" s="602">
        <v>0</v>
      </c>
      <c r="Y302" s="602">
        <v>0</v>
      </c>
      <c r="Z302" s="602">
        <v>0</v>
      </c>
      <c r="AA302" s="602">
        <v>0</v>
      </c>
      <c r="AB302" s="602">
        <v>0</v>
      </c>
      <c r="AC302" s="602">
        <v>0</v>
      </c>
      <c r="AD302" s="602">
        <v>0</v>
      </c>
      <c r="AE302" s="602">
        <v>0</v>
      </c>
      <c r="AF302" s="602">
        <v>0</v>
      </c>
      <c r="AG302" s="602">
        <v>0</v>
      </c>
      <c r="AH302" s="602">
        <v>0</v>
      </c>
      <c r="AI302" s="602">
        <v>0</v>
      </c>
      <c r="AJ302" s="498">
        <v>0</v>
      </c>
      <c r="AK302" s="498">
        <v>0</v>
      </c>
      <c r="AL302" s="602">
        <v>2.3206514268425802</v>
      </c>
      <c r="AM302" s="602">
        <v>0.95950679972239505</v>
      </c>
      <c r="AN302" s="498">
        <v>656387.81272599997</v>
      </c>
      <c r="AO302" s="603">
        <v>271393.00727399997</v>
      </c>
    </row>
    <row r="303" spans="1:41" ht="12" thickBot="1">
      <c r="A303" s="918"/>
      <c r="B303" s="918"/>
      <c r="C303" s="918"/>
      <c r="D303" s="918"/>
      <c r="E303" s="918"/>
      <c r="F303" s="918"/>
      <c r="G303" s="600" t="s">
        <v>481</v>
      </c>
      <c r="H303" s="601">
        <v>472317</v>
      </c>
      <c r="I303" s="602">
        <v>1448979500</v>
      </c>
      <c r="J303" s="602">
        <v>2.7846037232852501</v>
      </c>
      <c r="K303" s="776">
        <v>2890292028.72929</v>
      </c>
      <c r="L303" s="776">
        <v>43120979.141584001</v>
      </c>
      <c r="M303" s="498">
        <v>3.0085773264530999</v>
      </c>
      <c r="N303" s="602">
        <v>2.4127192940309401</v>
      </c>
      <c r="O303" s="602">
        <v>0.59585803242216795</v>
      </c>
      <c r="P303" s="498">
        <v>34580736.030161999</v>
      </c>
      <c r="Q303" s="602">
        <v>8540243.1114220005</v>
      </c>
      <c r="R303" s="602">
        <v>0</v>
      </c>
      <c r="S303" s="602">
        <v>0</v>
      </c>
      <c r="T303" s="602">
        <v>0</v>
      </c>
      <c r="U303" s="602">
        <v>0</v>
      </c>
      <c r="V303" s="602">
        <v>0</v>
      </c>
      <c r="W303" s="602">
        <v>0</v>
      </c>
      <c r="X303" s="602">
        <v>0</v>
      </c>
      <c r="Y303" s="602">
        <v>0</v>
      </c>
      <c r="Z303" s="602">
        <v>0</v>
      </c>
      <c r="AA303" s="602">
        <v>0</v>
      </c>
      <c r="AB303" s="602">
        <v>0</v>
      </c>
      <c r="AC303" s="602">
        <v>0</v>
      </c>
      <c r="AD303" s="602">
        <v>0</v>
      </c>
      <c r="AE303" s="602">
        <v>0</v>
      </c>
      <c r="AF303" s="602">
        <v>0</v>
      </c>
      <c r="AG303" s="602">
        <v>0</v>
      </c>
      <c r="AH303" s="602">
        <v>0</v>
      </c>
      <c r="AI303" s="602">
        <v>0</v>
      </c>
      <c r="AJ303" s="498">
        <v>0</v>
      </c>
      <c r="AK303" s="498">
        <v>0</v>
      </c>
      <c r="AL303" s="602">
        <v>2.4127192940309401</v>
      </c>
      <c r="AM303" s="602">
        <v>0.59585803242216795</v>
      </c>
      <c r="AN303" s="498">
        <v>34580736.030161999</v>
      </c>
      <c r="AO303" s="603">
        <v>8540243.1114220005</v>
      </c>
    </row>
    <row r="304" spans="1:41" ht="12" thickBot="1">
      <c r="A304" s="918"/>
      <c r="B304" s="918"/>
      <c r="C304" s="919"/>
      <c r="D304" s="919"/>
      <c r="E304" s="919"/>
      <c r="F304" s="919"/>
      <c r="G304" s="600" t="s">
        <v>485</v>
      </c>
      <c r="H304" s="601">
        <v>472318</v>
      </c>
      <c r="I304" s="602">
        <v>19543861980</v>
      </c>
      <c r="J304" s="602">
        <v>4.60252468337496</v>
      </c>
      <c r="K304" s="776">
        <v>12601553398.121599</v>
      </c>
      <c r="L304" s="776">
        <v>276862337.16000003</v>
      </c>
      <c r="M304" s="498">
        <v>4.4305137247578497</v>
      </c>
      <c r="N304" s="602">
        <v>2.7077789124209302</v>
      </c>
      <c r="O304" s="602">
        <v>1.7227348123369199</v>
      </c>
      <c r="P304" s="498">
        <v>169208819.73938501</v>
      </c>
      <c r="Q304" s="602">
        <v>107653517.420615</v>
      </c>
      <c r="R304" s="602">
        <v>0</v>
      </c>
      <c r="S304" s="602">
        <v>0</v>
      </c>
      <c r="T304" s="602">
        <v>0</v>
      </c>
      <c r="U304" s="602">
        <v>0</v>
      </c>
      <c r="V304" s="602">
        <v>0</v>
      </c>
      <c r="W304" s="602">
        <v>0</v>
      </c>
      <c r="X304" s="602">
        <v>-0.20277777777206299</v>
      </c>
      <c r="Y304" s="602">
        <v>-12671562.027753999</v>
      </c>
      <c r="Z304" s="602">
        <v>0</v>
      </c>
      <c r="AA304" s="602">
        <v>0</v>
      </c>
      <c r="AB304" s="602">
        <v>0</v>
      </c>
      <c r="AC304" s="602">
        <v>0</v>
      </c>
      <c r="AD304" s="602">
        <v>0</v>
      </c>
      <c r="AE304" s="602">
        <v>0</v>
      </c>
      <c r="AF304" s="602">
        <v>0</v>
      </c>
      <c r="AG304" s="602">
        <v>0</v>
      </c>
      <c r="AH304" s="602">
        <v>0</v>
      </c>
      <c r="AI304" s="602">
        <v>0</v>
      </c>
      <c r="AJ304" s="498">
        <v>0</v>
      </c>
      <c r="AK304" s="498">
        <v>0</v>
      </c>
      <c r="AL304" s="602">
        <v>2.5050011346351102</v>
      </c>
      <c r="AM304" s="602">
        <v>1.9255125901227399</v>
      </c>
      <c r="AN304" s="498">
        <v>156537257.71077099</v>
      </c>
      <c r="AO304" s="603">
        <v>120325079.449229</v>
      </c>
    </row>
    <row r="305" spans="1:41" ht="12" thickBot="1">
      <c r="A305" s="918"/>
      <c r="B305" s="918"/>
      <c r="C305" s="917" t="s">
        <v>2744</v>
      </c>
      <c r="D305" s="917" t="s">
        <v>2744</v>
      </c>
      <c r="E305" s="917" t="s">
        <v>2744</v>
      </c>
      <c r="F305" s="917" t="s">
        <v>2744</v>
      </c>
      <c r="G305" s="600" t="s">
        <v>479</v>
      </c>
      <c r="H305" s="601">
        <v>472611</v>
      </c>
      <c r="I305" s="602">
        <v>9365000000</v>
      </c>
      <c r="J305" s="602">
        <v>2.3174781548318202</v>
      </c>
      <c r="K305" s="776">
        <v>9355386740.3314896</v>
      </c>
      <c r="L305" s="776">
        <v>121988728.94</v>
      </c>
      <c r="M305" s="498">
        <v>2.6294944008444898</v>
      </c>
      <c r="N305" s="602">
        <v>2.5901856910983798</v>
      </c>
      <c r="O305" s="602">
        <v>3.9308709746116E-2</v>
      </c>
      <c r="P305" s="498">
        <v>120165100.969292</v>
      </c>
      <c r="Q305" s="602">
        <v>1823627.970708</v>
      </c>
      <c r="R305" s="602">
        <v>0</v>
      </c>
      <c r="S305" s="602">
        <v>0</v>
      </c>
      <c r="T305" s="602">
        <v>0</v>
      </c>
      <c r="U305" s="602">
        <v>0</v>
      </c>
      <c r="V305" s="602">
        <v>0</v>
      </c>
      <c r="W305" s="602">
        <v>0</v>
      </c>
      <c r="X305" s="602">
        <v>0</v>
      </c>
      <c r="Y305" s="602">
        <v>0</v>
      </c>
      <c r="Z305" s="602">
        <v>0</v>
      </c>
      <c r="AA305" s="602">
        <v>0</v>
      </c>
      <c r="AB305" s="602">
        <v>0</v>
      </c>
      <c r="AC305" s="602">
        <v>0</v>
      </c>
      <c r="AD305" s="602">
        <v>0</v>
      </c>
      <c r="AE305" s="602">
        <v>0</v>
      </c>
      <c r="AF305" s="602">
        <v>0</v>
      </c>
      <c r="AG305" s="602">
        <v>0</v>
      </c>
      <c r="AH305" s="602">
        <v>0</v>
      </c>
      <c r="AI305" s="602">
        <v>0</v>
      </c>
      <c r="AJ305" s="498">
        <v>0</v>
      </c>
      <c r="AK305" s="498">
        <v>0</v>
      </c>
      <c r="AL305" s="602">
        <v>2.5901856910983798</v>
      </c>
      <c r="AM305" s="602">
        <v>3.9308709746116E-2</v>
      </c>
      <c r="AN305" s="498">
        <v>120165100.969292</v>
      </c>
      <c r="AO305" s="603">
        <v>1823627.970708</v>
      </c>
    </row>
    <row r="306" spans="1:41" ht="12" thickBot="1">
      <c r="A306" s="918"/>
      <c r="B306" s="918"/>
      <c r="C306" s="918"/>
      <c r="D306" s="918"/>
      <c r="E306" s="918"/>
      <c r="F306" s="918"/>
      <c r="G306" s="600" t="s">
        <v>480</v>
      </c>
      <c r="H306" s="601">
        <v>472612</v>
      </c>
      <c r="I306" s="602">
        <v>39040000000</v>
      </c>
      <c r="J306" s="602">
        <v>2.3035902999487701</v>
      </c>
      <c r="K306" s="776">
        <v>39912044198.895103</v>
      </c>
      <c r="L306" s="776">
        <v>659260198.35000002</v>
      </c>
      <c r="M306" s="498">
        <v>3.3309427968371002</v>
      </c>
      <c r="N306" s="602">
        <v>2.5846674683302302</v>
      </c>
      <c r="O306" s="602">
        <v>0.74627532850687694</v>
      </c>
      <c r="P306" s="498">
        <v>511557385.33191901</v>
      </c>
      <c r="Q306" s="602">
        <v>147702813.01808101</v>
      </c>
      <c r="R306" s="602">
        <v>0</v>
      </c>
      <c r="S306" s="602">
        <v>0</v>
      </c>
      <c r="T306" s="602">
        <v>0</v>
      </c>
      <c r="U306" s="602">
        <v>0</v>
      </c>
      <c r="V306" s="602">
        <v>0</v>
      </c>
      <c r="W306" s="602">
        <v>0</v>
      </c>
      <c r="X306" s="602">
        <v>0</v>
      </c>
      <c r="Y306" s="602">
        <v>0</v>
      </c>
      <c r="Z306" s="602">
        <v>0</v>
      </c>
      <c r="AA306" s="602">
        <v>0</v>
      </c>
      <c r="AB306" s="602">
        <v>0</v>
      </c>
      <c r="AC306" s="602">
        <v>0</v>
      </c>
      <c r="AD306" s="602">
        <v>0</v>
      </c>
      <c r="AE306" s="602">
        <v>0</v>
      </c>
      <c r="AF306" s="602">
        <v>0</v>
      </c>
      <c r="AG306" s="602">
        <v>0</v>
      </c>
      <c r="AH306" s="602">
        <v>0</v>
      </c>
      <c r="AI306" s="602">
        <v>0</v>
      </c>
      <c r="AJ306" s="498">
        <v>0</v>
      </c>
      <c r="AK306" s="498">
        <v>0</v>
      </c>
      <c r="AL306" s="602">
        <v>2.5846674683302302</v>
      </c>
      <c r="AM306" s="602">
        <v>0.74627532850687694</v>
      </c>
      <c r="AN306" s="498">
        <v>511557385.33191901</v>
      </c>
      <c r="AO306" s="603">
        <v>147702813.01808101</v>
      </c>
    </row>
    <row r="307" spans="1:41" ht="12" thickBot="1">
      <c r="A307" s="918"/>
      <c r="B307" s="918"/>
      <c r="C307" s="918"/>
      <c r="D307" s="918"/>
      <c r="E307" s="918"/>
      <c r="F307" s="918"/>
      <c r="G307" s="600" t="s">
        <v>2745</v>
      </c>
      <c r="H307" s="601">
        <v>472614</v>
      </c>
      <c r="I307" s="602">
        <v>7845500000</v>
      </c>
      <c r="J307" s="602">
        <v>2.8159057676375001</v>
      </c>
      <c r="K307" s="776">
        <v>7247761767.9558001</v>
      </c>
      <c r="L307" s="776">
        <v>110474325.37</v>
      </c>
      <c r="M307" s="498">
        <v>3.0737726216570702</v>
      </c>
      <c r="N307" s="602">
        <v>2.88421082120241</v>
      </c>
      <c r="O307" s="602">
        <v>0.18956180045465801</v>
      </c>
      <c r="P307" s="498">
        <v>103661293.113287</v>
      </c>
      <c r="Q307" s="602">
        <v>6813032.2567130001</v>
      </c>
      <c r="R307" s="602">
        <v>0</v>
      </c>
      <c r="S307" s="602">
        <v>0</v>
      </c>
      <c r="T307" s="602">
        <v>0</v>
      </c>
      <c r="U307" s="602">
        <v>0</v>
      </c>
      <c r="V307" s="602">
        <v>0</v>
      </c>
      <c r="W307" s="602">
        <v>0</v>
      </c>
      <c r="X307" s="602">
        <v>0</v>
      </c>
      <c r="Y307" s="602">
        <v>0</v>
      </c>
      <c r="Z307" s="602">
        <v>0</v>
      </c>
      <c r="AA307" s="602">
        <v>0</v>
      </c>
      <c r="AB307" s="602">
        <v>0</v>
      </c>
      <c r="AC307" s="602">
        <v>0</v>
      </c>
      <c r="AD307" s="602">
        <v>0</v>
      </c>
      <c r="AE307" s="602">
        <v>0</v>
      </c>
      <c r="AF307" s="602">
        <v>0</v>
      </c>
      <c r="AG307" s="602">
        <v>0</v>
      </c>
      <c r="AH307" s="602">
        <v>0</v>
      </c>
      <c r="AI307" s="602">
        <v>0</v>
      </c>
      <c r="AJ307" s="498">
        <v>0</v>
      </c>
      <c r="AK307" s="498">
        <v>0</v>
      </c>
      <c r="AL307" s="602">
        <v>2.88421082120241</v>
      </c>
      <c r="AM307" s="602">
        <v>0.18956180045465801</v>
      </c>
      <c r="AN307" s="498">
        <v>103661293.113287</v>
      </c>
      <c r="AO307" s="603">
        <v>6813032.2567130001</v>
      </c>
    </row>
    <row r="308" spans="1:41" ht="12" thickBot="1">
      <c r="A308" s="918"/>
      <c r="B308" s="918"/>
      <c r="C308" s="918"/>
      <c r="D308" s="918"/>
      <c r="E308" s="918"/>
      <c r="F308" s="918"/>
      <c r="G308" s="600" t="s">
        <v>2747</v>
      </c>
      <c r="H308" s="601">
        <v>472615</v>
      </c>
      <c r="I308" s="602">
        <v>600000000</v>
      </c>
      <c r="J308" s="602">
        <v>3.87</v>
      </c>
      <c r="K308" s="776">
        <v>457458563.53591198</v>
      </c>
      <c r="L308" s="776">
        <v>8206520.5300000003</v>
      </c>
      <c r="M308" s="498">
        <v>3.6176086877415399</v>
      </c>
      <c r="N308" s="602">
        <v>3.2709195886109002</v>
      </c>
      <c r="O308" s="602">
        <v>0.34668909913064599</v>
      </c>
      <c r="P308" s="498">
        <v>7420058.6832050001</v>
      </c>
      <c r="Q308" s="602">
        <v>786461.84679500002</v>
      </c>
      <c r="R308" s="602">
        <v>0</v>
      </c>
      <c r="S308" s="602">
        <v>0</v>
      </c>
      <c r="T308" s="602">
        <v>0</v>
      </c>
      <c r="U308" s="602">
        <v>0</v>
      </c>
      <c r="V308" s="602">
        <v>0</v>
      </c>
      <c r="W308" s="602">
        <v>0</v>
      </c>
      <c r="X308" s="602">
        <v>0</v>
      </c>
      <c r="Y308" s="602">
        <v>0</v>
      </c>
      <c r="Z308" s="602">
        <v>0</v>
      </c>
      <c r="AA308" s="602">
        <v>0</v>
      </c>
      <c r="AB308" s="602">
        <v>0</v>
      </c>
      <c r="AC308" s="602">
        <v>0</v>
      </c>
      <c r="AD308" s="602">
        <v>0</v>
      </c>
      <c r="AE308" s="602">
        <v>0</v>
      </c>
      <c r="AF308" s="602">
        <v>0</v>
      </c>
      <c r="AG308" s="602">
        <v>0</v>
      </c>
      <c r="AH308" s="602">
        <v>0</v>
      </c>
      <c r="AI308" s="602">
        <v>0</v>
      </c>
      <c r="AJ308" s="498">
        <v>0</v>
      </c>
      <c r="AK308" s="498">
        <v>0</v>
      </c>
      <c r="AL308" s="602">
        <v>3.2709195886109002</v>
      </c>
      <c r="AM308" s="602">
        <v>0.34668909913064599</v>
      </c>
      <c r="AN308" s="498">
        <v>7420058.6832050001</v>
      </c>
      <c r="AO308" s="603">
        <v>786461.84679500002</v>
      </c>
    </row>
    <row r="309" spans="1:41" ht="12" thickBot="1">
      <c r="A309" s="918"/>
      <c r="B309" s="918"/>
      <c r="C309" s="918"/>
      <c r="D309" s="918"/>
      <c r="E309" s="918"/>
      <c r="F309" s="918"/>
      <c r="G309" s="600" t="s">
        <v>482</v>
      </c>
      <c r="H309" s="601">
        <v>472616</v>
      </c>
      <c r="I309" s="602">
        <v>1270000000</v>
      </c>
      <c r="J309" s="602">
        <v>5.3433898346456701</v>
      </c>
      <c r="K309" s="776">
        <v>1242320441.98895</v>
      </c>
      <c r="L309" s="776">
        <v>31989259.245285999</v>
      </c>
      <c r="M309" s="498">
        <v>5.19259967292066</v>
      </c>
      <c r="N309" s="602">
        <v>3.8308236769647999</v>
      </c>
      <c r="O309" s="602">
        <v>1.36177599595586</v>
      </c>
      <c r="P309" s="498">
        <v>23599972.931570001</v>
      </c>
      <c r="Q309" s="602">
        <v>8389286.3137159999</v>
      </c>
      <c r="R309" s="602">
        <v>0</v>
      </c>
      <c r="S309" s="602">
        <v>0</v>
      </c>
      <c r="T309" s="602">
        <v>0</v>
      </c>
      <c r="U309" s="602">
        <v>0</v>
      </c>
      <c r="V309" s="602">
        <v>0</v>
      </c>
      <c r="W309" s="602">
        <v>0</v>
      </c>
      <c r="X309" s="602">
        <v>0</v>
      </c>
      <c r="Y309" s="602">
        <v>0</v>
      </c>
      <c r="Z309" s="602">
        <v>0</v>
      </c>
      <c r="AA309" s="602">
        <v>0</v>
      </c>
      <c r="AB309" s="602">
        <v>0</v>
      </c>
      <c r="AC309" s="602">
        <v>0</v>
      </c>
      <c r="AD309" s="602">
        <v>0</v>
      </c>
      <c r="AE309" s="602">
        <v>0</v>
      </c>
      <c r="AF309" s="602">
        <v>0</v>
      </c>
      <c r="AG309" s="602">
        <v>0</v>
      </c>
      <c r="AH309" s="602">
        <v>0</v>
      </c>
      <c r="AI309" s="602">
        <v>0</v>
      </c>
      <c r="AJ309" s="498">
        <v>0</v>
      </c>
      <c r="AK309" s="498">
        <v>0</v>
      </c>
      <c r="AL309" s="602">
        <v>3.8308236769647999</v>
      </c>
      <c r="AM309" s="602">
        <v>1.36177599595586</v>
      </c>
      <c r="AN309" s="498">
        <v>23599972.931570001</v>
      </c>
      <c r="AO309" s="603">
        <v>8389286.3137159999</v>
      </c>
    </row>
    <row r="310" spans="1:41" ht="12" thickBot="1">
      <c r="A310" s="918"/>
      <c r="B310" s="918"/>
      <c r="C310" s="918"/>
      <c r="D310" s="918"/>
      <c r="E310" s="918"/>
      <c r="F310" s="918"/>
      <c r="G310" s="600" t="s">
        <v>481</v>
      </c>
      <c r="H310" s="601">
        <v>472617</v>
      </c>
      <c r="I310" s="602">
        <v>1614162000</v>
      </c>
      <c r="J310" s="602">
        <v>4.31430128450552</v>
      </c>
      <c r="K310" s="776">
        <v>1746979314.91713</v>
      </c>
      <c r="L310" s="776">
        <v>36153828.603857003</v>
      </c>
      <c r="M310" s="498">
        <v>4.1733116879757199</v>
      </c>
      <c r="N310" s="602">
        <v>3.7610608308092002</v>
      </c>
      <c r="O310" s="602">
        <v>0.41225085716652599</v>
      </c>
      <c r="P310" s="498">
        <v>32582457.005915999</v>
      </c>
      <c r="Q310" s="602">
        <v>3571371.597941</v>
      </c>
      <c r="R310" s="602">
        <v>0</v>
      </c>
      <c r="S310" s="602">
        <v>0</v>
      </c>
      <c r="T310" s="602">
        <v>0</v>
      </c>
      <c r="U310" s="602">
        <v>0</v>
      </c>
      <c r="V310" s="602">
        <v>0</v>
      </c>
      <c r="W310" s="602">
        <v>0</v>
      </c>
      <c r="X310" s="602">
        <v>0</v>
      </c>
      <c r="Y310" s="602">
        <v>0</v>
      </c>
      <c r="Z310" s="602">
        <v>0</v>
      </c>
      <c r="AA310" s="602">
        <v>0</v>
      </c>
      <c r="AB310" s="602">
        <v>0</v>
      </c>
      <c r="AC310" s="602">
        <v>0</v>
      </c>
      <c r="AD310" s="602">
        <v>0</v>
      </c>
      <c r="AE310" s="602">
        <v>0</v>
      </c>
      <c r="AF310" s="602">
        <v>0</v>
      </c>
      <c r="AG310" s="602">
        <v>0</v>
      </c>
      <c r="AH310" s="602">
        <v>0</v>
      </c>
      <c r="AI310" s="602">
        <v>0</v>
      </c>
      <c r="AJ310" s="498">
        <v>0</v>
      </c>
      <c r="AK310" s="498">
        <v>0</v>
      </c>
      <c r="AL310" s="602">
        <v>3.7610608308092002</v>
      </c>
      <c r="AM310" s="602">
        <v>0.41225085716652599</v>
      </c>
      <c r="AN310" s="498">
        <v>32582457.005915999</v>
      </c>
      <c r="AO310" s="603">
        <v>3571371.597941</v>
      </c>
    </row>
    <row r="311" spans="1:41" ht="12" thickBot="1">
      <c r="A311" s="918"/>
      <c r="B311" s="918"/>
      <c r="C311" s="919"/>
      <c r="D311" s="919"/>
      <c r="E311" s="919"/>
      <c r="F311" s="919"/>
      <c r="G311" s="600" t="s">
        <v>485</v>
      </c>
      <c r="H311" s="601">
        <v>472618</v>
      </c>
      <c r="I311" s="602">
        <v>96930000</v>
      </c>
      <c r="J311" s="602">
        <v>1.60796462121531</v>
      </c>
      <c r="K311" s="776">
        <v>96930000</v>
      </c>
      <c r="L311" s="776">
        <v>1522383.56</v>
      </c>
      <c r="M311" s="498">
        <v>3.1672340830342298</v>
      </c>
      <c r="N311" s="602">
        <v>3.1010093969359298</v>
      </c>
      <c r="O311" s="602">
        <v>6.6224686098300997E-2</v>
      </c>
      <c r="P311" s="498">
        <v>1490551.56693</v>
      </c>
      <c r="Q311" s="602">
        <v>31831.99307</v>
      </c>
      <c r="R311" s="602">
        <v>0</v>
      </c>
      <c r="S311" s="602">
        <v>0</v>
      </c>
      <c r="T311" s="602">
        <v>0</v>
      </c>
      <c r="U311" s="602">
        <v>0</v>
      </c>
      <c r="V311" s="602">
        <v>0</v>
      </c>
      <c r="W311" s="602">
        <v>0</v>
      </c>
      <c r="X311" s="602">
        <v>-0.202777777777778</v>
      </c>
      <c r="Y311" s="602">
        <v>-97468.5</v>
      </c>
      <c r="Z311" s="602">
        <v>0</v>
      </c>
      <c r="AA311" s="602">
        <v>0</v>
      </c>
      <c r="AB311" s="602">
        <v>0</v>
      </c>
      <c r="AC311" s="602">
        <v>0</v>
      </c>
      <c r="AD311" s="602">
        <v>0</v>
      </c>
      <c r="AE311" s="602">
        <v>0</v>
      </c>
      <c r="AF311" s="602">
        <v>0</v>
      </c>
      <c r="AG311" s="602">
        <v>0</v>
      </c>
      <c r="AH311" s="602">
        <v>0</v>
      </c>
      <c r="AI311" s="602">
        <v>0</v>
      </c>
      <c r="AJ311" s="498">
        <v>0</v>
      </c>
      <c r="AK311" s="498">
        <v>0</v>
      </c>
      <c r="AL311" s="602">
        <v>2.8982316191581599</v>
      </c>
      <c r="AM311" s="602">
        <v>0.26900246387607901</v>
      </c>
      <c r="AN311" s="498">
        <v>1393083.06693</v>
      </c>
      <c r="AO311" s="603">
        <v>129300.49307</v>
      </c>
    </row>
    <row r="312" spans="1:41" ht="12" thickBot="1">
      <c r="A312" s="918"/>
      <c r="B312" s="918"/>
      <c r="C312" s="917" t="s">
        <v>2746</v>
      </c>
      <c r="D312" s="917" t="s">
        <v>2746</v>
      </c>
      <c r="E312" s="917" t="s">
        <v>2746</v>
      </c>
      <c r="F312" s="917" t="s">
        <v>2746</v>
      </c>
      <c r="G312" s="600" t="s">
        <v>479</v>
      </c>
      <c r="H312" s="601">
        <v>472411</v>
      </c>
      <c r="I312" s="602">
        <v>2730000000</v>
      </c>
      <c r="J312" s="602">
        <v>0.31105522344322301</v>
      </c>
      <c r="K312" s="776">
        <v>2997071823.2044201</v>
      </c>
      <c r="L312" s="776">
        <v>57250852.090000004</v>
      </c>
      <c r="M312" s="498">
        <v>3.8521136676405998</v>
      </c>
      <c r="N312" s="602">
        <v>2.4209058403766801</v>
      </c>
      <c r="O312" s="602">
        <v>1.4312078272639299</v>
      </c>
      <c r="P312" s="498">
        <v>35979966.882990003</v>
      </c>
      <c r="Q312" s="602">
        <v>21270885.207010001</v>
      </c>
      <c r="R312" s="602">
        <v>0</v>
      </c>
      <c r="S312" s="602">
        <v>0</v>
      </c>
      <c r="T312" s="602">
        <v>0</v>
      </c>
      <c r="U312" s="602">
        <v>0</v>
      </c>
      <c r="V312" s="602">
        <v>0</v>
      </c>
      <c r="W312" s="602">
        <v>0</v>
      </c>
      <c r="X312" s="602">
        <v>0</v>
      </c>
      <c r="Y312" s="602">
        <v>0</v>
      </c>
      <c r="Z312" s="602">
        <v>0</v>
      </c>
      <c r="AA312" s="602">
        <v>0</v>
      </c>
      <c r="AB312" s="602">
        <v>0</v>
      </c>
      <c r="AC312" s="602">
        <v>0</v>
      </c>
      <c r="AD312" s="602">
        <v>0</v>
      </c>
      <c r="AE312" s="602">
        <v>0</v>
      </c>
      <c r="AF312" s="602">
        <v>0</v>
      </c>
      <c r="AG312" s="602">
        <v>0</v>
      </c>
      <c r="AH312" s="602">
        <v>0</v>
      </c>
      <c r="AI312" s="602">
        <v>0</v>
      </c>
      <c r="AJ312" s="498">
        <v>0</v>
      </c>
      <c r="AK312" s="498">
        <v>0</v>
      </c>
      <c r="AL312" s="602">
        <v>2.4209058403766801</v>
      </c>
      <c r="AM312" s="602">
        <v>1.4312078272639299</v>
      </c>
      <c r="AN312" s="498">
        <v>35979966.882990003</v>
      </c>
      <c r="AO312" s="603">
        <v>21270885.207010001</v>
      </c>
    </row>
    <row r="313" spans="1:41" ht="12" thickBot="1">
      <c r="A313" s="918"/>
      <c r="B313" s="918"/>
      <c r="C313" s="918"/>
      <c r="D313" s="918"/>
      <c r="E313" s="918"/>
      <c r="F313" s="918"/>
      <c r="G313" s="600" t="s">
        <v>480</v>
      </c>
      <c r="H313" s="601">
        <v>472412</v>
      </c>
      <c r="I313" s="602">
        <v>19500000000</v>
      </c>
      <c r="J313" s="602">
        <v>1.94364506153846</v>
      </c>
      <c r="K313" s="776">
        <v>17526574585.635399</v>
      </c>
      <c r="L313" s="776">
        <v>320259356.63999999</v>
      </c>
      <c r="M313" s="498">
        <v>3.6848436998149601</v>
      </c>
      <c r="N313" s="602">
        <v>3.2179224894990002</v>
      </c>
      <c r="O313" s="602">
        <v>0.46692121031595901</v>
      </c>
      <c r="P313" s="498">
        <v>279678018.97705698</v>
      </c>
      <c r="Q313" s="602">
        <v>40581337.662942998</v>
      </c>
      <c r="R313" s="602">
        <v>0</v>
      </c>
      <c r="S313" s="602">
        <v>0</v>
      </c>
      <c r="T313" s="602">
        <v>0</v>
      </c>
      <c r="U313" s="602">
        <v>0</v>
      </c>
      <c r="V313" s="602">
        <v>0</v>
      </c>
      <c r="W313" s="602">
        <v>0</v>
      </c>
      <c r="X313" s="602">
        <v>0</v>
      </c>
      <c r="Y313" s="602">
        <v>0</v>
      </c>
      <c r="Z313" s="602">
        <v>0</v>
      </c>
      <c r="AA313" s="602">
        <v>0</v>
      </c>
      <c r="AB313" s="602">
        <v>0</v>
      </c>
      <c r="AC313" s="602">
        <v>0</v>
      </c>
      <c r="AD313" s="602">
        <v>0</v>
      </c>
      <c r="AE313" s="602">
        <v>0</v>
      </c>
      <c r="AF313" s="602">
        <v>0</v>
      </c>
      <c r="AG313" s="602">
        <v>0</v>
      </c>
      <c r="AH313" s="602">
        <v>0</v>
      </c>
      <c r="AI313" s="602">
        <v>0</v>
      </c>
      <c r="AJ313" s="498">
        <v>0</v>
      </c>
      <c r="AK313" s="498">
        <v>0</v>
      </c>
      <c r="AL313" s="602">
        <v>3.2179224894990002</v>
      </c>
      <c r="AM313" s="602">
        <v>0.46692121031595901</v>
      </c>
      <c r="AN313" s="498">
        <v>279678018.97705698</v>
      </c>
      <c r="AO313" s="603">
        <v>40581337.662942998</v>
      </c>
    </row>
    <row r="314" spans="1:41" ht="12" thickBot="1">
      <c r="A314" s="918"/>
      <c r="B314" s="918"/>
      <c r="C314" s="918"/>
      <c r="D314" s="918"/>
      <c r="E314" s="918"/>
      <c r="F314" s="918"/>
      <c r="G314" s="600" t="s">
        <v>2745</v>
      </c>
      <c r="H314" s="601">
        <v>472414</v>
      </c>
      <c r="I314" s="602">
        <v>5056780000</v>
      </c>
      <c r="J314" s="602">
        <v>0.114365030711243</v>
      </c>
      <c r="K314" s="776">
        <v>5056780000</v>
      </c>
      <c r="L314" s="776">
        <v>83255604.489999995</v>
      </c>
      <c r="M314" s="498">
        <v>3.3201194460950099</v>
      </c>
      <c r="N314" s="602">
        <v>3.2431084728736499</v>
      </c>
      <c r="O314" s="602">
        <v>7.7010973221359996E-2</v>
      </c>
      <c r="P314" s="498">
        <v>81324470.616052002</v>
      </c>
      <c r="Q314" s="602">
        <v>1931133.8739479999</v>
      </c>
      <c r="R314" s="602">
        <v>0</v>
      </c>
      <c r="S314" s="602">
        <v>0</v>
      </c>
      <c r="T314" s="602">
        <v>0</v>
      </c>
      <c r="U314" s="602">
        <v>0</v>
      </c>
      <c r="V314" s="602">
        <v>0</v>
      </c>
      <c r="W314" s="602">
        <v>0</v>
      </c>
      <c r="X314" s="602">
        <v>0</v>
      </c>
      <c r="Y314" s="602">
        <v>0</v>
      </c>
      <c r="Z314" s="602">
        <v>0</v>
      </c>
      <c r="AA314" s="602">
        <v>0</v>
      </c>
      <c r="AB314" s="602">
        <v>0</v>
      </c>
      <c r="AC314" s="602">
        <v>0</v>
      </c>
      <c r="AD314" s="602">
        <v>0</v>
      </c>
      <c r="AE314" s="602">
        <v>0</v>
      </c>
      <c r="AF314" s="602">
        <v>0</v>
      </c>
      <c r="AG314" s="602">
        <v>0</v>
      </c>
      <c r="AH314" s="602">
        <v>0</v>
      </c>
      <c r="AI314" s="602">
        <v>0</v>
      </c>
      <c r="AJ314" s="498">
        <v>0</v>
      </c>
      <c r="AK314" s="498">
        <v>0</v>
      </c>
      <c r="AL314" s="602">
        <v>3.2431084728736499</v>
      </c>
      <c r="AM314" s="602">
        <v>7.7010973221359996E-2</v>
      </c>
      <c r="AN314" s="498">
        <v>81324470.616052002</v>
      </c>
      <c r="AO314" s="603">
        <v>1931133.8739479999</v>
      </c>
    </row>
    <row r="315" spans="1:41" ht="12" thickBot="1">
      <c r="A315" s="918"/>
      <c r="B315" s="918"/>
      <c r="C315" s="918"/>
      <c r="D315" s="918"/>
      <c r="E315" s="918"/>
      <c r="F315" s="918"/>
      <c r="G315" s="600" t="s">
        <v>2747</v>
      </c>
      <c r="H315" s="601">
        <v>472415</v>
      </c>
      <c r="I315" s="602">
        <v>400000000</v>
      </c>
      <c r="J315" s="602">
        <v>3.066732</v>
      </c>
      <c r="K315" s="776">
        <v>340331491.71270698</v>
      </c>
      <c r="L315" s="776">
        <v>5294359.29</v>
      </c>
      <c r="M315" s="498">
        <v>3.1370797741071401</v>
      </c>
      <c r="N315" s="602">
        <v>4.0449042207320103</v>
      </c>
      <c r="O315" s="602">
        <v>-0.90782444662486195</v>
      </c>
      <c r="P315" s="498">
        <v>6826468.4930710001</v>
      </c>
      <c r="Q315" s="602">
        <v>-1532109.2030710001</v>
      </c>
      <c r="R315" s="602">
        <v>0</v>
      </c>
      <c r="S315" s="602">
        <v>0</v>
      </c>
      <c r="T315" s="602">
        <v>0</v>
      </c>
      <c r="U315" s="602">
        <v>0</v>
      </c>
      <c r="V315" s="602">
        <v>0</v>
      </c>
      <c r="W315" s="602">
        <v>0</v>
      </c>
      <c r="X315" s="602">
        <v>0</v>
      </c>
      <c r="Y315" s="602">
        <v>0</v>
      </c>
      <c r="Z315" s="602">
        <v>0</v>
      </c>
      <c r="AA315" s="602">
        <v>0</v>
      </c>
      <c r="AB315" s="602">
        <v>0</v>
      </c>
      <c r="AC315" s="602">
        <v>0</v>
      </c>
      <c r="AD315" s="602">
        <v>0</v>
      </c>
      <c r="AE315" s="602">
        <v>0</v>
      </c>
      <c r="AF315" s="602">
        <v>0</v>
      </c>
      <c r="AG315" s="602">
        <v>0</v>
      </c>
      <c r="AH315" s="602">
        <v>0</v>
      </c>
      <c r="AI315" s="602">
        <v>0</v>
      </c>
      <c r="AJ315" s="498">
        <v>0</v>
      </c>
      <c r="AK315" s="498">
        <v>0</v>
      </c>
      <c r="AL315" s="602">
        <v>4.0449042207320103</v>
      </c>
      <c r="AM315" s="602">
        <v>-0.90782444662486195</v>
      </c>
      <c r="AN315" s="498">
        <v>6826468.4930710001</v>
      </c>
      <c r="AO315" s="603">
        <v>-1532109.2030710001</v>
      </c>
    </row>
    <row r="316" spans="1:41" ht="12" thickBot="1">
      <c r="A316" s="918"/>
      <c r="B316" s="918"/>
      <c r="C316" s="918"/>
      <c r="D316" s="918"/>
      <c r="E316" s="918"/>
      <c r="F316" s="918"/>
      <c r="G316" s="600" t="s">
        <v>482</v>
      </c>
      <c r="H316" s="601">
        <v>472416</v>
      </c>
      <c r="I316" s="602">
        <v>350000000</v>
      </c>
      <c r="J316" s="602">
        <v>0</v>
      </c>
      <c r="K316" s="776">
        <v>350000000</v>
      </c>
      <c r="L316" s="776">
        <v>9333031.7924249992</v>
      </c>
      <c r="M316" s="498">
        <v>5.37735849129459</v>
      </c>
      <c r="N316" s="602">
        <v>3.4461069444328598</v>
      </c>
      <c r="O316" s="602">
        <v>1.9312515468617399</v>
      </c>
      <c r="P316" s="498">
        <v>5981119.861091</v>
      </c>
      <c r="Q316" s="602">
        <v>3351911.9313340001</v>
      </c>
      <c r="R316" s="602">
        <v>0</v>
      </c>
      <c r="S316" s="602">
        <v>0</v>
      </c>
      <c r="T316" s="602">
        <v>0</v>
      </c>
      <c r="U316" s="602">
        <v>0</v>
      </c>
      <c r="V316" s="602">
        <v>0</v>
      </c>
      <c r="W316" s="602">
        <v>0</v>
      </c>
      <c r="X316" s="602">
        <v>0</v>
      </c>
      <c r="Y316" s="602">
        <v>0</v>
      </c>
      <c r="Z316" s="602">
        <v>0</v>
      </c>
      <c r="AA316" s="602">
        <v>0</v>
      </c>
      <c r="AB316" s="602">
        <v>0</v>
      </c>
      <c r="AC316" s="602">
        <v>0</v>
      </c>
      <c r="AD316" s="602">
        <v>0</v>
      </c>
      <c r="AE316" s="602">
        <v>0</v>
      </c>
      <c r="AF316" s="602">
        <v>0</v>
      </c>
      <c r="AG316" s="602">
        <v>0</v>
      </c>
      <c r="AH316" s="602">
        <v>0</v>
      </c>
      <c r="AI316" s="602">
        <v>0</v>
      </c>
      <c r="AJ316" s="498">
        <v>0</v>
      </c>
      <c r="AK316" s="498">
        <v>0</v>
      </c>
      <c r="AL316" s="602">
        <v>3.4461069444328598</v>
      </c>
      <c r="AM316" s="602">
        <v>1.9312515468617399</v>
      </c>
      <c r="AN316" s="498">
        <v>5981119.861091</v>
      </c>
      <c r="AO316" s="603">
        <v>3351911.9313340001</v>
      </c>
    </row>
    <row r="317" spans="1:41" ht="12" thickBot="1">
      <c r="A317" s="918"/>
      <c r="B317" s="918"/>
      <c r="C317" s="918"/>
      <c r="D317" s="918"/>
      <c r="E317" s="918"/>
      <c r="F317" s="918"/>
      <c r="G317" s="600" t="s">
        <v>481</v>
      </c>
      <c r="H317" s="601">
        <v>472417</v>
      </c>
      <c r="I317" s="602">
        <v>0</v>
      </c>
      <c r="J317" s="602">
        <v>0</v>
      </c>
      <c r="K317" s="776">
        <v>0</v>
      </c>
      <c r="L317" s="776">
        <v>0</v>
      </c>
      <c r="M317" s="498">
        <v>0</v>
      </c>
      <c r="N317" s="602">
        <v>0</v>
      </c>
      <c r="O317" s="602">
        <v>0</v>
      </c>
      <c r="P317" s="498">
        <v>0</v>
      </c>
      <c r="Q317" s="602">
        <v>0</v>
      </c>
      <c r="R317" s="602">
        <v>0</v>
      </c>
      <c r="S317" s="602">
        <v>0</v>
      </c>
      <c r="T317" s="602">
        <v>0</v>
      </c>
      <c r="U317" s="602">
        <v>0</v>
      </c>
      <c r="V317" s="602">
        <v>0</v>
      </c>
      <c r="W317" s="602">
        <v>0</v>
      </c>
      <c r="X317" s="602">
        <v>0</v>
      </c>
      <c r="Y317" s="602">
        <v>0</v>
      </c>
      <c r="Z317" s="602">
        <v>0</v>
      </c>
      <c r="AA317" s="602">
        <v>0</v>
      </c>
      <c r="AB317" s="602">
        <v>0</v>
      </c>
      <c r="AC317" s="602">
        <v>0</v>
      </c>
      <c r="AD317" s="602">
        <v>0</v>
      </c>
      <c r="AE317" s="602">
        <v>0</v>
      </c>
      <c r="AF317" s="602">
        <v>0</v>
      </c>
      <c r="AG317" s="602">
        <v>0</v>
      </c>
      <c r="AH317" s="602">
        <v>0</v>
      </c>
      <c r="AI317" s="602">
        <v>0</v>
      </c>
      <c r="AJ317" s="498">
        <v>0</v>
      </c>
      <c r="AK317" s="498">
        <v>0</v>
      </c>
      <c r="AL317" s="602">
        <v>0</v>
      </c>
      <c r="AM317" s="602">
        <v>0</v>
      </c>
      <c r="AN317" s="498">
        <v>0</v>
      </c>
      <c r="AO317" s="603">
        <v>0</v>
      </c>
    </row>
    <row r="318" spans="1:41" ht="12" thickBot="1">
      <c r="A318" s="918"/>
      <c r="B318" s="919"/>
      <c r="C318" s="919"/>
      <c r="D318" s="919"/>
      <c r="E318" s="919"/>
      <c r="F318" s="919"/>
      <c r="G318" s="600" t="s">
        <v>485</v>
      </c>
      <c r="H318" s="601">
        <v>472418</v>
      </c>
      <c r="I318" s="602">
        <v>2103270340</v>
      </c>
      <c r="J318" s="602">
        <v>3.0820254544572001</v>
      </c>
      <c r="K318" s="776">
        <v>4625383969.5580101</v>
      </c>
      <c r="L318" s="776">
        <v>71853594.090000004</v>
      </c>
      <c r="M318" s="498">
        <v>3.13267250204742</v>
      </c>
      <c r="N318" s="602">
        <v>4.2630682230491601</v>
      </c>
      <c r="O318" s="602">
        <v>-1.1303957210017399</v>
      </c>
      <c r="P318" s="498">
        <v>97781294.877378002</v>
      </c>
      <c r="Q318" s="602">
        <v>-25927700.787377998</v>
      </c>
      <c r="R318" s="602">
        <v>0</v>
      </c>
      <c r="S318" s="602">
        <v>0</v>
      </c>
      <c r="T318" s="602">
        <v>0</v>
      </c>
      <c r="U318" s="602">
        <v>0</v>
      </c>
      <c r="V318" s="602">
        <v>0</v>
      </c>
      <c r="W318" s="602">
        <v>0</v>
      </c>
      <c r="X318" s="602">
        <v>-0.20277777780212</v>
      </c>
      <c r="Y318" s="602">
        <v>-4651080.5477250004</v>
      </c>
      <c r="Z318" s="602">
        <v>0</v>
      </c>
      <c r="AA318" s="602">
        <v>0</v>
      </c>
      <c r="AB318" s="602">
        <v>0</v>
      </c>
      <c r="AC318" s="602">
        <v>0</v>
      </c>
      <c r="AD318" s="602">
        <v>0</v>
      </c>
      <c r="AE318" s="602">
        <v>0</v>
      </c>
      <c r="AF318" s="602">
        <v>0</v>
      </c>
      <c r="AG318" s="602">
        <v>0</v>
      </c>
      <c r="AH318" s="602">
        <v>0</v>
      </c>
      <c r="AI318" s="602">
        <v>0</v>
      </c>
      <c r="AJ318" s="498">
        <v>0</v>
      </c>
      <c r="AK318" s="498">
        <v>0</v>
      </c>
      <c r="AL318" s="602">
        <v>4.0602904452573698</v>
      </c>
      <c r="AM318" s="602">
        <v>-0.92761794320995705</v>
      </c>
      <c r="AN318" s="498">
        <v>93130214.329889998</v>
      </c>
      <c r="AO318" s="603">
        <v>-21276620.239890002</v>
      </c>
    </row>
    <row r="319" spans="1:41" ht="12" thickBot="1">
      <c r="A319" s="918"/>
      <c r="B319" s="917" t="s">
        <v>2748</v>
      </c>
      <c r="C319" s="600" t="s">
        <v>2749</v>
      </c>
      <c r="D319" s="600" t="s">
        <v>2749</v>
      </c>
      <c r="E319" s="600" t="s">
        <v>2749</v>
      </c>
      <c r="F319" s="600" t="s">
        <v>2749</v>
      </c>
      <c r="G319" s="600" t="s">
        <v>2749</v>
      </c>
      <c r="H319" s="601">
        <v>472553</v>
      </c>
      <c r="I319" s="602">
        <v>99898247791.460007</v>
      </c>
      <c r="J319" s="602">
        <v>4.5434309409978002E-2</v>
      </c>
      <c r="K319" s="776">
        <v>99572077845.719299</v>
      </c>
      <c r="L319" s="776">
        <v>2026527264.1600001</v>
      </c>
      <c r="M319" s="498">
        <v>4.1042061855274401</v>
      </c>
      <c r="N319" s="602">
        <v>3.4367902506612098</v>
      </c>
      <c r="O319" s="602">
        <v>0.66741593486622997</v>
      </c>
      <c r="P319" s="498">
        <v>1696978375.1907599</v>
      </c>
      <c r="Q319" s="602">
        <v>329548888.96924001</v>
      </c>
      <c r="R319" s="602">
        <v>0</v>
      </c>
      <c r="S319" s="602">
        <v>0</v>
      </c>
      <c r="T319" s="602">
        <v>0</v>
      </c>
      <c r="U319" s="602">
        <v>0</v>
      </c>
      <c r="V319" s="602">
        <v>0</v>
      </c>
      <c r="W319" s="602">
        <v>0</v>
      </c>
      <c r="X319" s="602">
        <v>0</v>
      </c>
      <c r="Y319" s="602">
        <v>0</v>
      </c>
      <c r="Z319" s="602">
        <v>0</v>
      </c>
      <c r="AA319" s="602">
        <v>0</v>
      </c>
      <c r="AB319" s="602">
        <v>0</v>
      </c>
      <c r="AC319" s="602">
        <v>0</v>
      </c>
      <c r="AD319" s="602">
        <v>-1.788970978157E-3</v>
      </c>
      <c r="AE319" s="602">
        <v>-883337.31253800006</v>
      </c>
      <c r="AF319" s="602">
        <v>0</v>
      </c>
      <c r="AG319" s="602">
        <v>0</v>
      </c>
      <c r="AH319" s="602">
        <v>0</v>
      </c>
      <c r="AI319" s="602">
        <v>0</v>
      </c>
      <c r="AJ319" s="498">
        <v>0</v>
      </c>
      <c r="AK319" s="498">
        <v>0</v>
      </c>
      <c r="AL319" s="602">
        <v>3.52937734332854</v>
      </c>
      <c r="AM319" s="602">
        <v>0.57482884219889496</v>
      </c>
      <c r="AN319" s="498">
        <v>1742694954.5042701</v>
      </c>
      <c r="AO319" s="603">
        <v>283832309.65573001</v>
      </c>
    </row>
    <row r="320" spans="1:41" ht="12" thickBot="1">
      <c r="A320" s="918"/>
      <c r="B320" s="918"/>
      <c r="C320" s="917" t="s">
        <v>483</v>
      </c>
      <c r="D320" s="917" t="s">
        <v>483</v>
      </c>
      <c r="E320" s="917" t="s">
        <v>483</v>
      </c>
      <c r="F320" s="917" t="s">
        <v>483</v>
      </c>
      <c r="G320" s="600" t="s">
        <v>2750</v>
      </c>
      <c r="H320" s="601">
        <v>472551</v>
      </c>
      <c r="I320" s="602">
        <v>7270230000</v>
      </c>
      <c r="J320" s="602">
        <v>4.6181734278008001E-2</v>
      </c>
      <c r="K320" s="776">
        <v>10761729779.005501</v>
      </c>
      <c r="L320" s="776">
        <v>0</v>
      </c>
      <c r="M320" s="498">
        <v>0</v>
      </c>
      <c r="N320" s="602">
        <v>0</v>
      </c>
      <c r="O320" s="602">
        <v>0</v>
      </c>
      <c r="P320" s="498">
        <v>0</v>
      </c>
      <c r="Q320" s="602">
        <v>0</v>
      </c>
      <c r="R320" s="602">
        <v>0</v>
      </c>
      <c r="S320" s="602">
        <v>0</v>
      </c>
      <c r="T320" s="602">
        <v>0</v>
      </c>
      <c r="U320" s="602">
        <v>0</v>
      </c>
      <c r="V320" s="602">
        <v>0</v>
      </c>
      <c r="W320" s="602">
        <v>0</v>
      </c>
      <c r="X320" s="602">
        <v>0</v>
      </c>
      <c r="Y320" s="602">
        <v>0</v>
      </c>
      <c r="Z320" s="602">
        <v>0</v>
      </c>
      <c r="AA320" s="602">
        <v>0</v>
      </c>
      <c r="AB320" s="602">
        <v>0</v>
      </c>
      <c r="AC320" s="602">
        <v>0</v>
      </c>
      <c r="AD320" s="602">
        <v>0</v>
      </c>
      <c r="AE320" s="602">
        <v>0</v>
      </c>
      <c r="AF320" s="602">
        <v>0</v>
      </c>
      <c r="AG320" s="602">
        <v>0</v>
      </c>
      <c r="AH320" s="602">
        <v>0</v>
      </c>
      <c r="AI320" s="602">
        <v>0</v>
      </c>
      <c r="AJ320" s="498">
        <v>0</v>
      </c>
      <c r="AK320" s="498">
        <v>0</v>
      </c>
      <c r="AL320" s="602">
        <v>0</v>
      </c>
      <c r="AM320" s="602">
        <v>0</v>
      </c>
      <c r="AN320" s="498">
        <v>0</v>
      </c>
      <c r="AO320" s="603">
        <v>0</v>
      </c>
    </row>
    <row r="321" spans="1:41" ht="12" thickBot="1">
      <c r="A321" s="918"/>
      <c r="B321" s="918"/>
      <c r="C321" s="918"/>
      <c r="D321" s="918"/>
      <c r="E321" s="918"/>
      <c r="F321" s="918"/>
      <c r="G321" s="600" t="s">
        <v>2751</v>
      </c>
      <c r="H321" s="601">
        <v>472552</v>
      </c>
      <c r="I321" s="602">
        <v>25766700000</v>
      </c>
      <c r="J321" s="602">
        <v>4.8084496656537003E-2</v>
      </c>
      <c r="K321" s="776">
        <v>24397696733.105</v>
      </c>
      <c r="L321" s="776">
        <v>0</v>
      </c>
      <c r="M321" s="498">
        <v>0</v>
      </c>
      <c r="N321" s="602">
        <v>0</v>
      </c>
      <c r="O321" s="602">
        <v>0</v>
      </c>
      <c r="P321" s="498">
        <v>0</v>
      </c>
      <c r="Q321" s="602">
        <v>0</v>
      </c>
      <c r="R321" s="602">
        <v>0</v>
      </c>
      <c r="S321" s="602">
        <v>0</v>
      </c>
      <c r="T321" s="602">
        <v>0</v>
      </c>
      <c r="U321" s="602">
        <v>0</v>
      </c>
      <c r="V321" s="602">
        <v>0</v>
      </c>
      <c r="W321" s="602">
        <v>0</v>
      </c>
      <c r="X321" s="602">
        <v>0</v>
      </c>
      <c r="Y321" s="602">
        <v>0</v>
      </c>
      <c r="Z321" s="602">
        <v>0</v>
      </c>
      <c r="AA321" s="602">
        <v>0</v>
      </c>
      <c r="AB321" s="602">
        <v>0</v>
      </c>
      <c r="AC321" s="602">
        <v>0</v>
      </c>
      <c r="AD321" s="602">
        <v>0</v>
      </c>
      <c r="AE321" s="602">
        <v>0</v>
      </c>
      <c r="AF321" s="602">
        <v>0</v>
      </c>
      <c r="AG321" s="602">
        <v>0</v>
      </c>
      <c r="AH321" s="602">
        <v>0</v>
      </c>
      <c r="AI321" s="602">
        <v>0</v>
      </c>
      <c r="AJ321" s="498">
        <v>0</v>
      </c>
      <c r="AK321" s="498">
        <v>0</v>
      </c>
      <c r="AL321" s="602">
        <v>0</v>
      </c>
      <c r="AM321" s="602">
        <v>0</v>
      </c>
      <c r="AN321" s="498">
        <v>0</v>
      </c>
      <c r="AO321" s="603">
        <v>0</v>
      </c>
    </row>
    <row r="322" spans="1:41" ht="12" thickBot="1">
      <c r="A322" s="918"/>
      <c r="B322" s="918"/>
      <c r="C322" s="918"/>
      <c r="D322" s="918"/>
      <c r="E322" s="918"/>
      <c r="F322" s="918"/>
      <c r="G322" s="600" t="s">
        <v>2752</v>
      </c>
      <c r="H322" s="601">
        <v>472559</v>
      </c>
      <c r="I322" s="602">
        <v>101199968300</v>
      </c>
      <c r="J322" s="602">
        <v>6.61</v>
      </c>
      <c r="K322" s="776">
        <v>101709075101.61301</v>
      </c>
      <c r="L322" s="776">
        <v>0</v>
      </c>
      <c r="M322" s="498">
        <v>0</v>
      </c>
      <c r="N322" s="602">
        <v>0</v>
      </c>
      <c r="O322" s="602">
        <v>0</v>
      </c>
      <c r="P322" s="498">
        <v>0</v>
      </c>
      <c r="Q322" s="602">
        <v>0</v>
      </c>
      <c r="R322" s="602">
        <v>0</v>
      </c>
      <c r="S322" s="602">
        <v>0</v>
      </c>
      <c r="T322" s="602">
        <v>0</v>
      </c>
      <c r="U322" s="602">
        <v>0</v>
      </c>
      <c r="V322" s="602">
        <v>0</v>
      </c>
      <c r="W322" s="602">
        <v>0</v>
      </c>
      <c r="X322" s="602">
        <v>0</v>
      </c>
      <c r="Y322" s="602">
        <v>0</v>
      </c>
      <c r="Z322" s="602">
        <v>0</v>
      </c>
      <c r="AA322" s="602">
        <v>0</v>
      </c>
      <c r="AB322" s="602">
        <v>0</v>
      </c>
      <c r="AC322" s="602">
        <v>0</v>
      </c>
      <c r="AD322" s="602">
        <v>0</v>
      </c>
      <c r="AE322" s="602">
        <v>0</v>
      </c>
      <c r="AF322" s="602">
        <v>0</v>
      </c>
      <c r="AG322" s="602">
        <v>0</v>
      </c>
      <c r="AH322" s="602">
        <v>0</v>
      </c>
      <c r="AI322" s="602">
        <v>0</v>
      </c>
      <c r="AJ322" s="498">
        <v>0</v>
      </c>
      <c r="AK322" s="498">
        <v>0</v>
      </c>
      <c r="AL322" s="602">
        <v>0</v>
      </c>
      <c r="AM322" s="602">
        <v>0</v>
      </c>
      <c r="AN322" s="498">
        <v>0</v>
      </c>
      <c r="AO322" s="603">
        <v>0</v>
      </c>
    </row>
    <row r="323" spans="1:41" ht="12" thickBot="1">
      <c r="A323" s="918"/>
      <c r="B323" s="918"/>
      <c r="C323" s="919"/>
      <c r="D323" s="919"/>
      <c r="E323" s="919"/>
      <c r="F323" s="919"/>
      <c r="G323" s="600" t="s">
        <v>2753</v>
      </c>
      <c r="H323" s="601">
        <v>472574</v>
      </c>
      <c r="I323" s="602">
        <v>133972920096.03999</v>
      </c>
      <c r="J323" s="602">
        <v>5.9104291962791003E-2</v>
      </c>
      <c r="K323" s="776">
        <v>136612128773.41701</v>
      </c>
      <c r="L323" s="776">
        <v>3164196962.5900002</v>
      </c>
      <c r="M323" s="498">
        <v>4.6707706233659296</v>
      </c>
      <c r="N323" s="602">
        <v>0</v>
      </c>
      <c r="O323" s="602">
        <v>4.6707706233659296</v>
      </c>
      <c r="P323" s="498">
        <v>0</v>
      </c>
      <c r="Q323" s="602">
        <v>3164196962.5900002</v>
      </c>
      <c r="R323" s="602">
        <v>0</v>
      </c>
      <c r="S323" s="602">
        <v>0</v>
      </c>
      <c r="T323" s="602">
        <v>0</v>
      </c>
      <c r="U323" s="602">
        <v>0</v>
      </c>
      <c r="V323" s="602">
        <v>0</v>
      </c>
      <c r="W323" s="602">
        <v>0</v>
      </c>
      <c r="X323" s="602">
        <v>0</v>
      </c>
      <c r="Y323" s="602">
        <v>0</v>
      </c>
      <c r="Z323" s="602">
        <v>0</v>
      </c>
      <c r="AA323" s="602">
        <v>0</v>
      </c>
      <c r="AB323" s="602">
        <v>0</v>
      </c>
      <c r="AC323" s="602">
        <v>0</v>
      </c>
      <c r="AD323" s="602">
        <v>0</v>
      </c>
      <c r="AE323" s="602">
        <v>0</v>
      </c>
      <c r="AF323" s="602">
        <v>0</v>
      </c>
      <c r="AG323" s="602">
        <v>0</v>
      </c>
      <c r="AH323" s="602">
        <v>0</v>
      </c>
      <c r="AI323" s="602">
        <v>0</v>
      </c>
      <c r="AJ323" s="498">
        <v>0</v>
      </c>
      <c r="AK323" s="498">
        <v>0</v>
      </c>
      <c r="AL323" s="602">
        <v>0</v>
      </c>
      <c r="AM323" s="602">
        <v>4.6707706233659296</v>
      </c>
      <c r="AN323" s="498">
        <v>0</v>
      </c>
      <c r="AO323" s="603">
        <v>3164196962.5900002</v>
      </c>
    </row>
    <row r="324" spans="1:41" ht="12" thickBot="1">
      <c r="A324" s="918"/>
      <c r="B324" s="918"/>
      <c r="C324" s="917" t="s">
        <v>2754</v>
      </c>
      <c r="D324" s="917" t="s">
        <v>2754</v>
      </c>
      <c r="E324" s="917" t="s">
        <v>2754</v>
      </c>
      <c r="F324" s="917" t="s">
        <v>2754</v>
      </c>
      <c r="G324" s="600" t="s">
        <v>2755</v>
      </c>
      <c r="H324" s="601">
        <v>472555</v>
      </c>
      <c r="I324" s="602">
        <v>310000000</v>
      </c>
      <c r="J324" s="602">
        <v>7.0000000000000007E-2</v>
      </c>
      <c r="K324" s="776">
        <v>979127071.82320404</v>
      </c>
      <c r="L324" s="776">
        <v>21462997.73</v>
      </c>
      <c r="M324" s="498">
        <v>4.4204411255092504</v>
      </c>
      <c r="N324" s="602">
        <v>0</v>
      </c>
      <c r="O324" s="602">
        <v>-4.4204411255092504</v>
      </c>
      <c r="P324" s="498">
        <v>0</v>
      </c>
      <c r="Q324" s="602">
        <v>-21462997.73</v>
      </c>
      <c r="R324" s="602">
        <v>0</v>
      </c>
      <c r="S324" s="602">
        <v>0</v>
      </c>
      <c r="T324" s="602">
        <v>0</v>
      </c>
      <c r="U324" s="602">
        <v>0</v>
      </c>
      <c r="V324" s="602">
        <v>0</v>
      </c>
      <c r="W324" s="602">
        <v>0</v>
      </c>
      <c r="X324" s="602">
        <v>0</v>
      </c>
      <c r="Y324" s="602">
        <v>0</v>
      </c>
      <c r="Z324" s="602">
        <v>0</v>
      </c>
      <c r="AA324" s="602">
        <v>0</v>
      </c>
      <c r="AB324" s="602">
        <v>0</v>
      </c>
      <c r="AC324" s="602">
        <v>0</v>
      </c>
      <c r="AD324" s="602">
        <v>0</v>
      </c>
      <c r="AE324" s="602">
        <v>0</v>
      </c>
      <c r="AF324" s="602">
        <v>0</v>
      </c>
      <c r="AG324" s="602">
        <v>0</v>
      </c>
      <c r="AH324" s="602">
        <v>0</v>
      </c>
      <c r="AI324" s="602">
        <v>0</v>
      </c>
      <c r="AJ324" s="498">
        <v>0</v>
      </c>
      <c r="AK324" s="498">
        <v>0</v>
      </c>
      <c r="AL324" s="602">
        <v>0</v>
      </c>
      <c r="AM324" s="602">
        <v>-4.4204411255092504</v>
      </c>
      <c r="AN324" s="498">
        <v>0</v>
      </c>
      <c r="AO324" s="603">
        <v>-21462997.73</v>
      </c>
    </row>
    <row r="325" spans="1:41" ht="12" thickBot="1">
      <c r="A325" s="918"/>
      <c r="B325" s="918"/>
      <c r="C325" s="918"/>
      <c r="D325" s="918"/>
      <c r="E325" s="918"/>
      <c r="F325" s="918"/>
      <c r="G325" s="600" t="s">
        <v>2756</v>
      </c>
      <c r="H325" s="601">
        <v>472557</v>
      </c>
      <c r="I325" s="602">
        <v>22826115000</v>
      </c>
      <c r="J325" s="602">
        <v>3.6702011708956997E-2</v>
      </c>
      <c r="K325" s="776">
        <v>21891535049.723801</v>
      </c>
      <c r="L325" s="776">
        <v>0</v>
      </c>
      <c r="M325" s="498">
        <v>0</v>
      </c>
      <c r="N325" s="602">
        <v>0</v>
      </c>
      <c r="O325" s="602">
        <v>0</v>
      </c>
      <c r="P325" s="498">
        <v>0</v>
      </c>
      <c r="Q325" s="602">
        <v>0</v>
      </c>
      <c r="R325" s="602">
        <v>0</v>
      </c>
      <c r="S325" s="602">
        <v>0</v>
      </c>
      <c r="T325" s="602">
        <v>0</v>
      </c>
      <c r="U325" s="602">
        <v>0</v>
      </c>
      <c r="V325" s="602">
        <v>0</v>
      </c>
      <c r="W325" s="602">
        <v>0</v>
      </c>
      <c r="X325" s="602">
        <v>0</v>
      </c>
      <c r="Y325" s="602">
        <v>0</v>
      </c>
      <c r="Z325" s="602">
        <v>0</v>
      </c>
      <c r="AA325" s="602">
        <v>0</v>
      </c>
      <c r="AB325" s="602">
        <v>0</v>
      </c>
      <c r="AC325" s="602">
        <v>0</v>
      </c>
      <c r="AD325" s="602">
        <v>0</v>
      </c>
      <c r="AE325" s="602">
        <v>0</v>
      </c>
      <c r="AF325" s="602">
        <v>0</v>
      </c>
      <c r="AG325" s="602">
        <v>0</v>
      </c>
      <c r="AH325" s="602">
        <v>0</v>
      </c>
      <c r="AI325" s="602">
        <v>0</v>
      </c>
      <c r="AJ325" s="498">
        <v>0</v>
      </c>
      <c r="AK325" s="498">
        <v>0</v>
      </c>
      <c r="AL325" s="602">
        <v>0</v>
      </c>
      <c r="AM325" s="602">
        <v>0</v>
      </c>
      <c r="AN325" s="498">
        <v>0</v>
      </c>
      <c r="AO325" s="603">
        <v>0</v>
      </c>
    </row>
    <row r="326" spans="1:41" ht="12" thickBot="1">
      <c r="A326" s="918"/>
      <c r="B326" s="918"/>
      <c r="C326" s="918"/>
      <c r="D326" s="918"/>
      <c r="E326" s="918"/>
      <c r="F326" s="918"/>
      <c r="G326" s="600" t="s">
        <v>2757</v>
      </c>
      <c r="H326" s="601">
        <v>472560</v>
      </c>
      <c r="I326" s="602">
        <v>20565790000</v>
      </c>
      <c r="J326" s="602">
        <v>3.4459846667694E-2</v>
      </c>
      <c r="K326" s="776">
        <v>18863002265.193401</v>
      </c>
      <c r="L326" s="776">
        <v>0</v>
      </c>
      <c r="M326" s="498">
        <v>0</v>
      </c>
      <c r="N326" s="602">
        <v>0</v>
      </c>
      <c r="O326" s="602">
        <v>0</v>
      </c>
      <c r="P326" s="498">
        <v>0</v>
      </c>
      <c r="Q326" s="602">
        <v>0</v>
      </c>
      <c r="R326" s="602">
        <v>0</v>
      </c>
      <c r="S326" s="602">
        <v>0</v>
      </c>
      <c r="T326" s="602">
        <v>0</v>
      </c>
      <c r="U326" s="602">
        <v>0</v>
      </c>
      <c r="V326" s="602">
        <v>0</v>
      </c>
      <c r="W326" s="602">
        <v>0</v>
      </c>
      <c r="X326" s="602">
        <v>0</v>
      </c>
      <c r="Y326" s="602">
        <v>0</v>
      </c>
      <c r="Z326" s="602">
        <v>0</v>
      </c>
      <c r="AA326" s="602">
        <v>0</v>
      </c>
      <c r="AB326" s="602">
        <v>0</v>
      </c>
      <c r="AC326" s="602">
        <v>0</v>
      </c>
      <c r="AD326" s="602">
        <v>0</v>
      </c>
      <c r="AE326" s="602">
        <v>0</v>
      </c>
      <c r="AF326" s="602">
        <v>0</v>
      </c>
      <c r="AG326" s="602">
        <v>0</v>
      </c>
      <c r="AH326" s="602">
        <v>0</v>
      </c>
      <c r="AI326" s="602">
        <v>0</v>
      </c>
      <c r="AJ326" s="498">
        <v>0</v>
      </c>
      <c r="AK326" s="498">
        <v>0</v>
      </c>
      <c r="AL326" s="602">
        <v>0</v>
      </c>
      <c r="AM326" s="602">
        <v>0</v>
      </c>
      <c r="AN326" s="498">
        <v>0</v>
      </c>
      <c r="AO326" s="603">
        <v>0</v>
      </c>
    </row>
    <row r="327" spans="1:41" ht="12" thickBot="1">
      <c r="A327" s="918"/>
      <c r="B327" s="919"/>
      <c r="C327" s="919"/>
      <c r="D327" s="919"/>
      <c r="E327" s="919"/>
      <c r="F327" s="919"/>
      <c r="G327" s="600" t="s">
        <v>136</v>
      </c>
      <c r="H327" s="601">
        <v>472573</v>
      </c>
      <c r="I327" s="602">
        <v>43663761308.730003</v>
      </c>
      <c r="J327" s="602">
        <v>5.0834839817988003E-2</v>
      </c>
      <c r="K327" s="776">
        <v>42868427169.530197</v>
      </c>
      <c r="L327" s="776">
        <v>600614096.12357795</v>
      </c>
      <c r="M327" s="498">
        <v>2.8253500349507501</v>
      </c>
      <c r="N327" s="602">
        <v>0</v>
      </c>
      <c r="O327" s="602">
        <v>2.8253500349507599</v>
      </c>
      <c r="P327" s="498">
        <v>0</v>
      </c>
      <c r="Q327" s="602">
        <v>600614096.12357795</v>
      </c>
      <c r="R327" s="602">
        <v>0</v>
      </c>
      <c r="S327" s="602">
        <v>0</v>
      </c>
      <c r="T327" s="602">
        <v>0</v>
      </c>
      <c r="U327" s="602">
        <v>0</v>
      </c>
      <c r="V327" s="602">
        <v>0</v>
      </c>
      <c r="W327" s="602">
        <v>0</v>
      </c>
      <c r="X327" s="602">
        <v>0</v>
      </c>
      <c r="Y327" s="602">
        <v>0</v>
      </c>
      <c r="Z327" s="602">
        <v>0</v>
      </c>
      <c r="AA327" s="602">
        <v>0</v>
      </c>
      <c r="AB327" s="602">
        <v>0</v>
      </c>
      <c r="AC327" s="602">
        <v>0</v>
      </c>
      <c r="AD327" s="602">
        <v>0</v>
      </c>
      <c r="AE327" s="602">
        <v>0</v>
      </c>
      <c r="AF327" s="602">
        <v>0</v>
      </c>
      <c r="AG327" s="602">
        <v>0</v>
      </c>
      <c r="AH327" s="602">
        <v>0</v>
      </c>
      <c r="AI327" s="602">
        <v>0</v>
      </c>
      <c r="AJ327" s="498">
        <v>0</v>
      </c>
      <c r="AK327" s="498">
        <v>0</v>
      </c>
      <c r="AL327" s="602">
        <v>0</v>
      </c>
      <c r="AM327" s="602">
        <v>2.8253500349507599</v>
      </c>
      <c r="AN327" s="498">
        <v>0</v>
      </c>
      <c r="AO327" s="603">
        <v>600614096.12357795</v>
      </c>
    </row>
    <row r="328" spans="1:41" ht="12" thickBot="1">
      <c r="A328" s="918"/>
      <c r="B328" s="917" t="s">
        <v>1662</v>
      </c>
      <c r="C328" s="917" t="s">
        <v>1662</v>
      </c>
      <c r="D328" s="917" t="s">
        <v>1662</v>
      </c>
      <c r="E328" s="917" t="s">
        <v>1662</v>
      </c>
      <c r="F328" s="917" t="s">
        <v>1662</v>
      </c>
      <c r="G328" s="600" t="s">
        <v>3943</v>
      </c>
      <c r="H328" s="601">
        <v>473101</v>
      </c>
      <c r="I328" s="602">
        <v>776081850</v>
      </c>
      <c r="J328" s="602">
        <v>4.7048013398200199</v>
      </c>
      <c r="K328" s="776">
        <v>543583519.28176904</v>
      </c>
      <c r="L328" s="776">
        <v>12029849.99</v>
      </c>
      <c r="M328" s="498">
        <v>4.4628081791171796</v>
      </c>
      <c r="N328" s="602">
        <v>4.0853892713580597</v>
      </c>
      <c r="O328" s="602">
        <v>-0.37741890775912301</v>
      </c>
      <c r="P328" s="498">
        <v>11012487.678758999</v>
      </c>
      <c r="Q328" s="602">
        <v>-1017362.311241</v>
      </c>
      <c r="R328" s="602">
        <v>0</v>
      </c>
      <c r="S328" s="602">
        <v>0</v>
      </c>
      <c r="T328" s="602">
        <v>0</v>
      </c>
      <c r="U328" s="602">
        <v>0</v>
      </c>
      <c r="V328" s="602">
        <v>0</v>
      </c>
      <c r="W328" s="602">
        <v>0</v>
      </c>
      <c r="X328" s="602">
        <v>0</v>
      </c>
      <c r="Y328" s="602">
        <v>0</v>
      </c>
      <c r="Z328" s="602">
        <v>0</v>
      </c>
      <c r="AA328" s="602">
        <v>0</v>
      </c>
      <c r="AB328" s="602">
        <v>0</v>
      </c>
      <c r="AC328" s="602">
        <v>0</v>
      </c>
      <c r="AD328" s="602">
        <v>0</v>
      </c>
      <c r="AE328" s="602">
        <v>0</v>
      </c>
      <c r="AF328" s="602">
        <v>0</v>
      </c>
      <c r="AG328" s="602">
        <v>0</v>
      </c>
      <c r="AH328" s="602">
        <v>0</v>
      </c>
      <c r="AI328" s="602">
        <v>0</v>
      </c>
      <c r="AJ328" s="498">
        <v>0</v>
      </c>
      <c r="AK328" s="498">
        <v>0</v>
      </c>
      <c r="AL328" s="602">
        <v>4.0853892713580597</v>
      </c>
      <c r="AM328" s="602">
        <v>-0.37741890775912301</v>
      </c>
      <c r="AN328" s="498">
        <v>11012487.678758999</v>
      </c>
      <c r="AO328" s="603">
        <v>-1017362.311241</v>
      </c>
    </row>
    <row r="329" spans="1:41" ht="12" thickBot="1">
      <c r="A329" s="918"/>
      <c r="B329" s="918"/>
      <c r="C329" s="918"/>
      <c r="D329" s="918"/>
      <c r="E329" s="918"/>
      <c r="F329" s="918"/>
      <c r="G329" s="600" t="s">
        <v>2758</v>
      </c>
      <c r="H329" s="601">
        <v>473102</v>
      </c>
      <c r="I329" s="602">
        <v>73250865650</v>
      </c>
      <c r="J329" s="602">
        <v>4.39924259150804</v>
      </c>
      <c r="K329" s="776">
        <v>66599602132.486099</v>
      </c>
      <c r="L329" s="776">
        <v>1299343963.53</v>
      </c>
      <c r="M329" s="498">
        <v>3.9342937959913402</v>
      </c>
      <c r="N329" s="602">
        <v>3.8754141488049001</v>
      </c>
      <c r="O329" s="602">
        <v>-5.8879647186426999E-2</v>
      </c>
      <c r="P329" s="498">
        <v>1279898309.97347</v>
      </c>
      <c r="Q329" s="602">
        <v>-19445653.556531999</v>
      </c>
      <c r="R329" s="602">
        <v>0</v>
      </c>
      <c r="S329" s="602">
        <v>0</v>
      </c>
      <c r="T329" s="602">
        <v>0</v>
      </c>
      <c r="U329" s="602">
        <v>0</v>
      </c>
      <c r="V329" s="602">
        <v>0</v>
      </c>
      <c r="W329" s="602">
        <v>0</v>
      </c>
      <c r="X329" s="602">
        <v>0</v>
      </c>
      <c r="Y329" s="602">
        <v>0</v>
      </c>
      <c r="Z329" s="602">
        <v>0</v>
      </c>
      <c r="AA329" s="602">
        <v>0</v>
      </c>
      <c r="AB329" s="602">
        <v>0</v>
      </c>
      <c r="AC329" s="602">
        <v>0</v>
      </c>
      <c r="AD329" s="602">
        <v>0</v>
      </c>
      <c r="AE329" s="602">
        <v>0</v>
      </c>
      <c r="AF329" s="602">
        <v>0</v>
      </c>
      <c r="AG329" s="602">
        <v>0</v>
      </c>
      <c r="AH329" s="602">
        <v>0</v>
      </c>
      <c r="AI329" s="602">
        <v>0</v>
      </c>
      <c r="AJ329" s="498">
        <v>0</v>
      </c>
      <c r="AK329" s="498">
        <v>0</v>
      </c>
      <c r="AL329" s="602">
        <v>3.8754141488049001</v>
      </c>
      <c r="AM329" s="602">
        <v>-5.8879647186426999E-2</v>
      </c>
      <c r="AN329" s="498">
        <v>1279898309.97347</v>
      </c>
      <c r="AO329" s="603">
        <v>-19445653.556531999</v>
      </c>
    </row>
    <row r="330" spans="1:41" ht="12" thickBot="1">
      <c r="A330" s="918"/>
      <c r="B330" s="919"/>
      <c r="C330" s="919"/>
      <c r="D330" s="919"/>
      <c r="E330" s="919"/>
      <c r="F330" s="919"/>
      <c r="G330" s="600" t="s">
        <v>2877</v>
      </c>
      <c r="H330" s="601">
        <v>473103</v>
      </c>
      <c r="I330" s="602">
        <v>47088807840</v>
      </c>
      <c r="J330" s="602">
        <v>4.3904687101927102</v>
      </c>
      <c r="K330" s="776">
        <v>43065272064.1437</v>
      </c>
      <c r="L330" s="776">
        <v>860612021.58000004</v>
      </c>
      <c r="M330" s="498">
        <v>4.0299021639189201</v>
      </c>
      <c r="N330" s="602">
        <v>3.9129336357258802</v>
      </c>
      <c r="O330" s="602">
        <v>-0.116968528193045</v>
      </c>
      <c r="P330" s="498">
        <v>835632625.70018494</v>
      </c>
      <c r="Q330" s="602">
        <v>-24979395.879815001</v>
      </c>
      <c r="R330" s="602">
        <v>0</v>
      </c>
      <c r="S330" s="602">
        <v>0</v>
      </c>
      <c r="T330" s="602">
        <v>0</v>
      </c>
      <c r="U330" s="602">
        <v>0</v>
      </c>
      <c r="V330" s="602">
        <v>0</v>
      </c>
      <c r="W330" s="602">
        <v>0</v>
      </c>
      <c r="X330" s="602">
        <v>0</v>
      </c>
      <c r="Y330" s="602">
        <v>0</v>
      </c>
      <c r="Z330" s="602">
        <v>0</v>
      </c>
      <c r="AA330" s="602">
        <v>0</v>
      </c>
      <c r="AB330" s="602">
        <v>0</v>
      </c>
      <c r="AC330" s="602">
        <v>0</v>
      </c>
      <c r="AD330" s="602">
        <v>0</v>
      </c>
      <c r="AE330" s="602">
        <v>0</v>
      </c>
      <c r="AF330" s="602">
        <v>0</v>
      </c>
      <c r="AG330" s="602">
        <v>0</v>
      </c>
      <c r="AH330" s="602">
        <v>0</v>
      </c>
      <c r="AI330" s="602">
        <v>0</v>
      </c>
      <c r="AJ330" s="498">
        <v>0</v>
      </c>
      <c r="AK330" s="498">
        <v>0</v>
      </c>
      <c r="AL330" s="602">
        <v>3.9129336357258802</v>
      </c>
      <c r="AM330" s="602">
        <v>-0.116968528193045</v>
      </c>
      <c r="AN330" s="498">
        <v>835632625.70018494</v>
      </c>
      <c r="AO330" s="603">
        <v>-24979395.879815001</v>
      </c>
    </row>
    <row r="331" spans="1:41" ht="12" thickBot="1">
      <c r="A331" s="918"/>
      <c r="B331" s="600" t="s">
        <v>486</v>
      </c>
      <c r="C331" s="600" t="s">
        <v>486</v>
      </c>
      <c r="D331" s="600" t="s">
        <v>486</v>
      </c>
      <c r="E331" s="600" t="s">
        <v>486</v>
      </c>
      <c r="F331" s="600" t="s">
        <v>486</v>
      </c>
      <c r="G331" s="600" t="s">
        <v>486</v>
      </c>
      <c r="H331" s="601">
        <v>473501</v>
      </c>
      <c r="I331" s="602">
        <v>2078849121.6844201</v>
      </c>
      <c r="J331" s="602">
        <v>0</v>
      </c>
      <c r="K331" s="776">
        <v>2765000421.6009798</v>
      </c>
      <c r="L331" s="776">
        <v>0</v>
      </c>
      <c r="M331" s="498">
        <v>0</v>
      </c>
      <c r="N331" s="602">
        <v>3.6631265740087202</v>
      </c>
      <c r="O331" s="602">
        <v>-3.6631265740087202</v>
      </c>
      <c r="P331" s="498">
        <v>50226490.969688997</v>
      </c>
      <c r="Q331" s="602">
        <v>-50226490.969688997</v>
      </c>
      <c r="R331" s="602">
        <v>0</v>
      </c>
      <c r="S331" s="602">
        <v>0</v>
      </c>
      <c r="T331" s="602">
        <v>0</v>
      </c>
      <c r="U331" s="602">
        <v>0</v>
      </c>
      <c r="V331" s="602">
        <v>0</v>
      </c>
      <c r="W331" s="602">
        <v>0</v>
      </c>
      <c r="X331" s="602">
        <v>0</v>
      </c>
      <c r="Y331" s="602">
        <v>0</v>
      </c>
      <c r="Z331" s="602">
        <v>0</v>
      </c>
      <c r="AA331" s="602">
        <v>0</v>
      </c>
      <c r="AB331" s="602">
        <v>0</v>
      </c>
      <c r="AC331" s="602">
        <v>0</v>
      </c>
      <c r="AD331" s="602">
        <v>0</v>
      </c>
      <c r="AE331" s="602">
        <v>0</v>
      </c>
      <c r="AF331" s="602">
        <v>0</v>
      </c>
      <c r="AG331" s="602">
        <v>0</v>
      </c>
      <c r="AH331" s="602">
        <v>0</v>
      </c>
      <c r="AI331" s="602">
        <v>0</v>
      </c>
      <c r="AJ331" s="498">
        <v>0</v>
      </c>
      <c r="AK331" s="498">
        <v>0</v>
      </c>
      <c r="AL331" s="602">
        <v>3.6631265740087202</v>
      </c>
      <c r="AM331" s="602">
        <v>-3.6631265740087202</v>
      </c>
      <c r="AN331" s="498">
        <v>50226490.969688997</v>
      </c>
      <c r="AO331" s="603">
        <v>-50226490.969688997</v>
      </c>
    </row>
    <row r="332" spans="1:41" ht="12" thickBot="1">
      <c r="A332" s="919"/>
      <c r="B332" s="600" t="s">
        <v>487</v>
      </c>
      <c r="C332" s="600" t="s">
        <v>487</v>
      </c>
      <c r="D332" s="600" t="s">
        <v>487</v>
      </c>
      <c r="E332" s="600" t="s">
        <v>487</v>
      </c>
      <c r="F332" s="600" t="s">
        <v>487</v>
      </c>
      <c r="G332" s="600" t="s">
        <v>487</v>
      </c>
      <c r="H332" s="601">
        <v>474001</v>
      </c>
      <c r="I332" s="602">
        <v>74662737938.552505</v>
      </c>
      <c r="J332" s="602">
        <v>1.61809211694967</v>
      </c>
      <c r="K332" s="776">
        <v>64812910069.376198</v>
      </c>
      <c r="L332" s="776">
        <v>0</v>
      </c>
      <c r="M332" s="498">
        <v>0</v>
      </c>
      <c r="N332" s="602">
        <v>3.6906014777063101</v>
      </c>
      <c r="O332" s="602">
        <v>-3.6906014777063101</v>
      </c>
      <c r="P332" s="498">
        <v>1186163028.0395601</v>
      </c>
      <c r="Q332" s="602">
        <v>-1186163028.0395601</v>
      </c>
      <c r="R332" s="602">
        <v>0</v>
      </c>
      <c r="S332" s="602">
        <v>0</v>
      </c>
      <c r="T332" s="602">
        <v>0</v>
      </c>
      <c r="U332" s="602">
        <v>0</v>
      </c>
      <c r="V332" s="602">
        <v>0</v>
      </c>
      <c r="W332" s="602">
        <v>0</v>
      </c>
      <c r="X332" s="602">
        <v>0</v>
      </c>
      <c r="Y332" s="602">
        <v>0</v>
      </c>
      <c r="Z332" s="602">
        <v>0</v>
      </c>
      <c r="AA332" s="602">
        <v>0</v>
      </c>
      <c r="AB332" s="602">
        <v>0</v>
      </c>
      <c r="AC332" s="602">
        <v>0</v>
      </c>
      <c r="AD332" s="602">
        <v>0</v>
      </c>
      <c r="AE332" s="602">
        <v>0</v>
      </c>
      <c r="AF332" s="602">
        <v>0</v>
      </c>
      <c r="AG332" s="602">
        <v>0</v>
      </c>
      <c r="AH332" s="602">
        <v>0</v>
      </c>
      <c r="AI332" s="602">
        <v>0</v>
      </c>
      <c r="AJ332" s="498">
        <v>0</v>
      </c>
      <c r="AK332" s="498">
        <v>0</v>
      </c>
      <c r="AL332" s="602">
        <v>3.6906014777063101</v>
      </c>
      <c r="AM332" s="602">
        <v>-3.6906014777063101</v>
      </c>
      <c r="AN332" s="498">
        <v>1186163028.0395601</v>
      </c>
      <c r="AO332" s="603">
        <v>-1186163028.0395601</v>
      </c>
    </row>
    <row r="333" spans="1:41" ht="12" thickBot="1">
      <c r="A333" s="917" t="s">
        <v>493</v>
      </c>
      <c r="B333" s="917" t="s">
        <v>494</v>
      </c>
      <c r="C333" s="917" t="s">
        <v>495</v>
      </c>
      <c r="D333" s="917" t="s">
        <v>496</v>
      </c>
      <c r="E333" s="917" t="s">
        <v>491</v>
      </c>
      <c r="F333" s="600" t="s">
        <v>497</v>
      </c>
      <c r="G333" s="600" t="s">
        <v>497</v>
      </c>
      <c r="H333" s="601">
        <v>670001</v>
      </c>
      <c r="I333" s="602">
        <v>158433341.34999999</v>
      </c>
      <c r="J333" s="602">
        <v>0</v>
      </c>
      <c r="K333" s="776">
        <v>142639626.435967</v>
      </c>
      <c r="L333" s="776">
        <v>56.198115000000001</v>
      </c>
      <c r="M333" s="498">
        <v>7.9450355627999996E-5</v>
      </c>
      <c r="N333" s="602">
        <v>3.1256310729863901</v>
      </c>
      <c r="O333" s="602">
        <v>-3.12555162263076</v>
      </c>
      <c r="P333" s="498">
        <v>2210872.098673</v>
      </c>
      <c r="Q333" s="602">
        <v>-2210815.900558</v>
      </c>
      <c r="R333" s="602">
        <v>0</v>
      </c>
      <c r="S333" s="602">
        <v>0</v>
      </c>
      <c r="T333" s="602">
        <v>0</v>
      </c>
      <c r="U333" s="602">
        <v>0</v>
      </c>
      <c r="V333" s="602">
        <v>0</v>
      </c>
      <c r="W333" s="602">
        <v>0</v>
      </c>
      <c r="X333" s="602">
        <v>-0.200000013477731</v>
      </c>
      <c r="Y333" s="602">
        <v>-141467.25547800001</v>
      </c>
      <c r="Z333" s="602">
        <v>0</v>
      </c>
      <c r="AA333" s="602">
        <v>0</v>
      </c>
      <c r="AB333" s="602">
        <v>0</v>
      </c>
      <c r="AC333" s="602">
        <v>0</v>
      </c>
      <c r="AD333" s="602">
        <v>0</v>
      </c>
      <c r="AE333" s="602">
        <v>0</v>
      </c>
      <c r="AF333" s="602">
        <v>0</v>
      </c>
      <c r="AG333" s="602">
        <v>0</v>
      </c>
      <c r="AH333" s="602">
        <v>0</v>
      </c>
      <c r="AI333" s="602">
        <v>0</v>
      </c>
      <c r="AJ333" s="498">
        <v>0</v>
      </c>
      <c r="AK333" s="498">
        <v>0</v>
      </c>
      <c r="AL333" s="602">
        <v>2.92563106892143</v>
      </c>
      <c r="AM333" s="602">
        <v>-2.9255516185658101</v>
      </c>
      <c r="AN333" s="498">
        <v>2069404.8498529999</v>
      </c>
      <c r="AO333" s="603">
        <v>-2069348.6517380001</v>
      </c>
    </row>
    <row r="334" spans="1:41" ht="12" thickBot="1">
      <c r="A334" s="918"/>
      <c r="B334" s="918"/>
      <c r="C334" s="918"/>
      <c r="D334" s="918"/>
      <c r="E334" s="919"/>
      <c r="F334" s="600" t="s">
        <v>498</v>
      </c>
      <c r="G334" s="600" t="s">
        <v>498</v>
      </c>
      <c r="H334" s="601">
        <v>670002</v>
      </c>
      <c r="I334" s="602">
        <v>539385788.09000003</v>
      </c>
      <c r="J334" s="602">
        <v>0.72896479670390102</v>
      </c>
      <c r="K334" s="776">
        <v>453694998.27204198</v>
      </c>
      <c r="L334" s="776">
        <v>12355384.114542</v>
      </c>
      <c r="M334" s="498">
        <v>5.4916967778006001</v>
      </c>
      <c r="N334" s="602">
        <v>3.1209186566062401</v>
      </c>
      <c r="O334" s="602">
        <v>2.3707781211943302</v>
      </c>
      <c r="P334" s="498">
        <v>7021536.3944499996</v>
      </c>
      <c r="Q334" s="602">
        <v>5333847.7200920004</v>
      </c>
      <c r="R334" s="602">
        <v>0</v>
      </c>
      <c r="S334" s="602">
        <v>0</v>
      </c>
      <c r="T334" s="602">
        <v>0</v>
      </c>
      <c r="U334" s="602">
        <v>0</v>
      </c>
      <c r="V334" s="602">
        <v>0</v>
      </c>
      <c r="W334" s="602">
        <v>0</v>
      </c>
      <c r="X334" s="602">
        <v>-0.19890650353865999</v>
      </c>
      <c r="Y334" s="602">
        <v>-447505.81715199997</v>
      </c>
      <c r="Z334" s="602">
        <v>0</v>
      </c>
      <c r="AA334" s="602">
        <v>0</v>
      </c>
      <c r="AB334" s="602">
        <v>0</v>
      </c>
      <c r="AC334" s="602">
        <v>0</v>
      </c>
      <c r="AD334" s="602">
        <v>-2.7340231696738E-2</v>
      </c>
      <c r="AE334" s="602">
        <v>-61510.873244000002</v>
      </c>
      <c r="AF334" s="602">
        <v>0</v>
      </c>
      <c r="AG334" s="602">
        <v>0</v>
      </c>
      <c r="AH334" s="602">
        <v>0</v>
      </c>
      <c r="AI334" s="602">
        <v>0</v>
      </c>
      <c r="AJ334" s="498">
        <v>0</v>
      </c>
      <c r="AK334" s="498">
        <v>0</v>
      </c>
      <c r="AL334" s="602">
        <v>2.8870977945324201</v>
      </c>
      <c r="AM334" s="602">
        <v>2.60459898326816</v>
      </c>
      <c r="AN334" s="498">
        <v>6495479.2063340005</v>
      </c>
      <c r="AO334" s="603">
        <v>5859904.9082079995</v>
      </c>
    </row>
    <row r="335" spans="1:41" ht="12" thickBot="1">
      <c r="A335" s="918"/>
      <c r="B335" s="918"/>
      <c r="C335" s="918"/>
      <c r="D335" s="918"/>
      <c r="E335" s="917" t="s">
        <v>499</v>
      </c>
      <c r="F335" s="600" t="s">
        <v>497</v>
      </c>
      <c r="G335" s="600" t="s">
        <v>497</v>
      </c>
      <c r="H335" s="601">
        <v>670003</v>
      </c>
      <c r="I335" s="602">
        <v>336573228.19</v>
      </c>
      <c r="J335" s="602">
        <v>0</v>
      </c>
      <c r="K335" s="776">
        <v>337727503.06585503</v>
      </c>
      <c r="L335" s="776">
        <v>72.349057000000002</v>
      </c>
      <c r="M335" s="498">
        <v>4.3199700443999999E-5</v>
      </c>
      <c r="N335" s="602">
        <v>3.1141659770274099</v>
      </c>
      <c r="O335" s="602">
        <v>-3.11412277732697</v>
      </c>
      <c r="P335" s="498">
        <v>5215475.3265559999</v>
      </c>
      <c r="Q335" s="602">
        <v>-5215402.9774989998</v>
      </c>
      <c r="R335" s="602">
        <v>0</v>
      </c>
      <c r="S335" s="602">
        <v>0</v>
      </c>
      <c r="T335" s="602">
        <v>0</v>
      </c>
      <c r="U335" s="602">
        <v>0</v>
      </c>
      <c r="V335" s="602">
        <v>0</v>
      </c>
      <c r="W335" s="602">
        <v>0</v>
      </c>
      <c r="X335" s="602">
        <v>-0.20000000534590301</v>
      </c>
      <c r="Y335" s="602">
        <v>-334951.669528</v>
      </c>
      <c r="Z335" s="602">
        <v>0</v>
      </c>
      <c r="AA335" s="602">
        <v>0</v>
      </c>
      <c r="AB335" s="602">
        <v>0</v>
      </c>
      <c r="AC335" s="602">
        <v>0</v>
      </c>
      <c r="AD335" s="602">
        <v>0</v>
      </c>
      <c r="AE335" s="602">
        <v>0</v>
      </c>
      <c r="AF335" s="602">
        <v>0</v>
      </c>
      <c r="AG335" s="602">
        <v>0</v>
      </c>
      <c r="AH335" s="602">
        <v>0</v>
      </c>
      <c r="AI335" s="602">
        <v>0</v>
      </c>
      <c r="AJ335" s="498">
        <v>0</v>
      </c>
      <c r="AK335" s="498">
        <v>0</v>
      </c>
      <c r="AL335" s="602">
        <v>2.9141659697367501</v>
      </c>
      <c r="AM335" s="602">
        <v>-2.9141227700363102</v>
      </c>
      <c r="AN335" s="498">
        <v>4880523.653771</v>
      </c>
      <c r="AO335" s="603">
        <v>-4880451.3047139999</v>
      </c>
    </row>
    <row r="336" spans="1:41" ht="12" thickBot="1">
      <c r="A336" s="918"/>
      <c r="B336" s="918"/>
      <c r="C336" s="918"/>
      <c r="D336" s="919"/>
      <c r="E336" s="919"/>
      <c r="F336" s="600" t="s">
        <v>498</v>
      </c>
      <c r="G336" s="600" t="s">
        <v>498</v>
      </c>
      <c r="H336" s="601">
        <v>670004</v>
      </c>
      <c r="I336" s="602">
        <v>821330305.65999997</v>
      </c>
      <c r="J336" s="602">
        <v>2.16487481823915</v>
      </c>
      <c r="K336" s="776">
        <v>759298733.06888902</v>
      </c>
      <c r="L336" s="776">
        <v>17033920.500286002</v>
      </c>
      <c r="M336" s="498">
        <v>4.5239336875718701</v>
      </c>
      <c r="N336" s="602">
        <v>3.11096040370172</v>
      </c>
      <c r="O336" s="602">
        <v>1.4129732838701199</v>
      </c>
      <c r="P336" s="498">
        <v>11713666.878401</v>
      </c>
      <c r="Q336" s="602">
        <v>5320253.6218849998</v>
      </c>
      <c r="R336" s="602">
        <v>0</v>
      </c>
      <c r="S336" s="602">
        <v>0</v>
      </c>
      <c r="T336" s="602">
        <v>0</v>
      </c>
      <c r="U336" s="602">
        <v>0</v>
      </c>
      <c r="V336" s="602">
        <v>0</v>
      </c>
      <c r="W336" s="602">
        <v>0</v>
      </c>
      <c r="X336" s="602">
        <v>-0.19455369906006101</v>
      </c>
      <c r="Y336" s="602">
        <v>-732551.02123399999</v>
      </c>
      <c r="Z336" s="602">
        <v>0</v>
      </c>
      <c r="AA336" s="602">
        <v>0</v>
      </c>
      <c r="AB336" s="602">
        <v>0</v>
      </c>
      <c r="AC336" s="602">
        <v>0</v>
      </c>
      <c r="AD336" s="602">
        <v>-0.147228210118689</v>
      </c>
      <c r="AE336" s="602">
        <v>-554356.84953799995</v>
      </c>
      <c r="AF336" s="602">
        <v>0</v>
      </c>
      <c r="AG336" s="602">
        <v>0</v>
      </c>
      <c r="AH336" s="602">
        <v>0</v>
      </c>
      <c r="AI336" s="602">
        <v>0</v>
      </c>
      <c r="AJ336" s="498">
        <v>0</v>
      </c>
      <c r="AK336" s="498">
        <v>0</v>
      </c>
      <c r="AL336" s="602">
        <v>2.7196104661515701</v>
      </c>
      <c r="AM336" s="602">
        <v>1.80432322142026</v>
      </c>
      <c r="AN336" s="498">
        <v>10240121.025521999</v>
      </c>
      <c r="AO336" s="603">
        <v>6793799.4747639997</v>
      </c>
    </row>
    <row r="337" spans="1:41" ht="12" thickBot="1">
      <c r="A337" s="918"/>
      <c r="B337" s="918"/>
      <c r="C337" s="918"/>
      <c r="D337" s="917" t="s">
        <v>500</v>
      </c>
      <c r="E337" s="917" t="s">
        <v>501</v>
      </c>
      <c r="F337" s="600" t="s">
        <v>497</v>
      </c>
      <c r="G337" s="600" t="s">
        <v>497</v>
      </c>
      <c r="H337" s="601">
        <v>670013</v>
      </c>
      <c r="I337" s="602">
        <v>10610304.42</v>
      </c>
      <c r="J337" s="602">
        <v>0</v>
      </c>
      <c r="K337" s="776">
        <v>10052595.20083</v>
      </c>
      <c r="L337" s="776">
        <v>1.433962</v>
      </c>
      <c r="M337" s="498">
        <v>2.8765619903999999E-5</v>
      </c>
      <c r="N337" s="602">
        <v>3.1210302381951101</v>
      </c>
      <c r="O337" s="602">
        <v>-3.1210014725752102</v>
      </c>
      <c r="P337" s="498">
        <v>155582.90686399999</v>
      </c>
      <c r="Q337" s="602">
        <v>-155581.47290200001</v>
      </c>
      <c r="R337" s="602">
        <v>0</v>
      </c>
      <c r="S337" s="602">
        <v>0</v>
      </c>
      <c r="T337" s="602">
        <v>0</v>
      </c>
      <c r="U337" s="602">
        <v>0</v>
      </c>
      <c r="V337" s="602">
        <v>0</v>
      </c>
      <c r="W337" s="602">
        <v>0</v>
      </c>
      <c r="X337" s="602">
        <v>-0.200000024118727</v>
      </c>
      <c r="Y337" s="602">
        <v>-9969.9723329999997</v>
      </c>
      <c r="Z337" s="602">
        <v>0</v>
      </c>
      <c r="AA337" s="602">
        <v>0</v>
      </c>
      <c r="AB337" s="602">
        <v>0</v>
      </c>
      <c r="AC337" s="602">
        <v>0</v>
      </c>
      <c r="AD337" s="602">
        <v>0</v>
      </c>
      <c r="AE337" s="602">
        <v>0</v>
      </c>
      <c r="AF337" s="602">
        <v>0</v>
      </c>
      <c r="AG337" s="602">
        <v>0</v>
      </c>
      <c r="AH337" s="602">
        <v>0</v>
      </c>
      <c r="AI337" s="602">
        <v>0</v>
      </c>
      <c r="AJ337" s="498">
        <v>0</v>
      </c>
      <c r="AK337" s="498">
        <v>0</v>
      </c>
      <c r="AL337" s="602">
        <v>2.9210302147383702</v>
      </c>
      <c r="AM337" s="602">
        <v>-2.9210014491184699</v>
      </c>
      <c r="AN337" s="498">
        <v>145612.934564</v>
      </c>
      <c r="AO337" s="603">
        <v>-145611.50060199999</v>
      </c>
    </row>
    <row r="338" spans="1:41" ht="12" thickBot="1">
      <c r="A338" s="918"/>
      <c r="B338" s="918"/>
      <c r="C338" s="918"/>
      <c r="D338" s="918"/>
      <c r="E338" s="919"/>
      <c r="F338" s="600" t="s">
        <v>498</v>
      </c>
      <c r="G338" s="600" t="s">
        <v>498</v>
      </c>
      <c r="H338" s="601">
        <v>670014</v>
      </c>
      <c r="I338" s="602">
        <v>32961041.5</v>
      </c>
      <c r="J338" s="602">
        <v>1.3767772653664501</v>
      </c>
      <c r="K338" s="776">
        <v>31040417.603923</v>
      </c>
      <c r="L338" s="776">
        <v>822023.95288899995</v>
      </c>
      <c r="M338" s="498">
        <v>5.3403682686600602</v>
      </c>
      <c r="N338" s="602">
        <v>3.10938946417073</v>
      </c>
      <c r="O338" s="602">
        <v>2.2309788044893901</v>
      </c>
      <c r="P338" s="498">
        <v>478617.295629</v>
      </c>
      <c r="Q338" s="602">
        <v>343406.65726000001</v>
      </c>
      <c r="R338" s="602">
        <v>0</v>
      </c>
      <c r="S338" s="602">
        <v>0</v>
      </c>
      <c r="T338" s="602">
        <v>0</v>
      </c>
      <c r="U338" s="602">
        <v>0</v>
      </c>
      <c r="V338" s="602">
        <v>0</v>
      </c>
      <c r="W338" s="602">
        <v>0</v>
      </c>
      <c r="X338" s="602">
        <v>-0.196981683008014</v>
      </c>
      <c r="Y338" s="602">
        <v>-30320.692051000002</v>
      </c>
      <c r="Z338" s="602">
        <v>0</v>
      </c>
      <c r="AA338" s="602">
        <v>0</v>
      </c>
      <c r="AB338" s="602">
        <v>0</v>
      </c>
      <c r="AC338" s="602">
        <v>0</v>
      </c>
      <c r="AD338" s="602">
        <v>-7.0395223074993005E-2</v>
      </c>
      <c r="AE338" s="602">
        <v>-10835.687096</v>
      </c>
      <c r="AF338" s="602">
        <v>0</v>
      </c>
      <c r="AG338" s="602">
        <v>0</v>
      </c>
      <c r="AH338" s="602">
        <v>0</v>
      </c>
      <c r="AI338" s="602">
        <v>0</v>
      </c>
      <c r="AJ338" s="498">
        <v>0</v>
      </c>
      <c r="AK338" s="498">
        <v>0</v>
      </c>
      <c r="AL338" s="602">
        <v>2.8148746933083699</v>
      </c>
      <c r="AM338" s="602">
        <v>2.5254935753517498</v>
      </c>
      <c r="AN338" s="498">
        <v>433283.68117599998</v>
      </c>
      <c r="AO338" s="603">
        <v>388740.27171300002</v>
      </c>
    </row>
    <row r="339" spans="1:41" ht="12" thickBot="1">
      <c r="A339" s="918"/>
      <c r="B339" s="918"/>
      <c r="C339" s="918"/>
      <c r="D339" s="918"/>
      <c r="E339" s="917" t="s">
        <v>502</v>
      </c>
      <c r="F339" s="600" t="s">
        <v>497</v>
      </c>
      <c r="G339" s="600" t="s">
        <v>497</v>
      </c>
      <c r="H339" s="601">
        <v>670015</v>
      </c>
      <c r="I339" s="602">
        <v>68587601.260000005</v>
      </c>
      <c r="J339" s="602">
        <v>0</v>
      </c>
      <c r="K339" s="776">
        <v>65413998.695023999</v>
      </c>
      <c r="L339" s="776">
        <v>9.8207540000000009</v>
      </c>
      <c r="M339" s="498">
        <v>3.0275297830999999E-5</v>
      </c>
      <c r="N339" s="602">
        <v>3.1196607216166798</v>
      </c>
      <c r="O339" s="602">
        <v>-3.1196304463188498</v>
      </c>
      <c r="P339" s="498">
        <v>1011960.9947799999</v>
      </c>
      <c r="Q339" s="602">
        <v>-1011951.174026</v>
      </c>
      <c r="R339" s="602">
        <v>0</v>
      </c>
      <c r="S339" s="602">
        <v>0</v>
      </c>
      <c r="T339" s="602">
        <v>0</v>
      </c>
      <c r="U339" s="602">
        <v>0</v>
      </c>
      <c r="V339" s="602">
        <v>0</v>
      </c>
      <c r="W339" s="602">
        <v>0</v>
      </c>
      <c r="X339" s="602">
        <v>-0.20000000737499901</v>
      </c>
      <c r="Y339" s="602">
        <v>-64876.351782999998</v>
      </c>
      <c r="Z339" s="602">
        <v>0</v>
      </c>
      <c r="AA339" s="602">
        <v>0</v>
      </c>
      <c r="AB339" s="602">
        <v>0</v>
      </c>
      <c r="AC339" s="602">
        <v>0</v>
      </c>
      <c r="AD339" s="602">
        <v>0</v>
      </c>
      <c r="AE339" s="602">
        <v>0</v>
      </c>
      <c r="AF339" s="602">
        <v>0</v>
      </c>
      <c r="AG339" s="602">
        <v>0</v>
      </c>
      <c r="AH339" s="602">
        <v>0</v>
      </c>
      <c r="AI339" s="602">
        <v>0</v>
      </c>
      <c r="AJ339" s="498">
        <v>0</v>
      </c>
      <c r="AK339" s="498">
        <v>0</v>
      </c>
      <c r="AL339" s="602">
        <v>2.9196607092259801</v>
      </c>
      <c r="AM339" s="602">
        <v>-2.91963043392815</v>
      </c>
      <c r="AN339" s="498">
        <v>947084.64136999997</v>
      </c>
      <c r="AO339" s="603">
        <v>-947074.82061599998</v>
      </c>
    </row>
    <row r="340" spans="1:41" ht="12" thickBot="1">
      <c r="A340" s="918"/>
      <c r="B340" s="918"/>
      <c r="C340" s="918"/>
      <c r="D340" s="919"/>
      <c r="E340" s="919"/>
      <c r="F340" s="600" t="s">
        <v>498</v>
      </c>
      <c r="G340" s="600" t="s">
        <v>498</v>
      </c>
      <c r="H340" s="601">
        <v>670016</v>
      </c>
      <c r="I340" s="602">
        <v>183310209.12</v>
      </c>
      <c r="J340" s="602">
        <v>1.29215493134341</v>
      </c>
      <c r="K340" s="776">
        <v>168890028.735798</v>
      </c>
      <c r="L340" s="776">
        <v>4170882.302079</v>
      </c>
      <c r="M340" s="498">
        <v>4.98010173425119</v>
      </c>
      <c r="N340" s="602">
        <v>3.1111103214627001</v>
      </c>
      <c r="O340" s="602">
        <v>1.8689914127884</v>
      </c>
      <c r="P340" s="498">
        <v>2605584.317758</v>
      </c>
      <c r="Q340" s="602">
        <v>1565297.9843210001</v>
      </c>
      <c r="R340" s="602">
        <v>0</v>
      </c>
      <c r="S340" s="602">
        <v>0</v>
      </c>
      <c r="T340" s="602">
        <v>0</v>
      </c>
      <c r="U340" s="602">
        <v>0</v>
      </c>
      <c r="V340" s="602">
        <v>0</v>
      </c>
      <c r="W340" s="602">
        <v>0</v>
      </c>
      <c r="X340" s="602">
        <v>-0.19729278796456501</v>
      </c>
      <c r="Y340" s="602">
        <v>-165234.57582999999</v>
      </c>
      <c r="Z340" s="602">
        <v>0</v>
      </c>
      <c r="AA340" s="602">
        <v>0</v>
      </c>
      <c r="AB340" s="602">
        <v>0</v>
      </c>
      <c r="AC340" s="602">
        <v>0</v>
      </c>
      <c r="AD340" s="602">
        <v>-6.8698023830288002E-2</v>
      </c>
      <c r="AE340" s="602">
        <v>-57535.244674000001</v>
      </c>
      <c r="AF340" s="602">
        <v>0</v>
      </c>
      <c r="AG340" s="602">
        <v>0</v>
      </c>
      <c r="AH340" s="602">
        <v>0</v>
      </c>
      <c r="AI340" s="602">
        <v>0</v>
      </c>
      <c r="AJ340" s="498">
        <v>0</v>
      </c>
      <c r="AK340" s="498">
        <v>0</v>
      </c>
      <c r="AL340" s="602">
        <v>2.8226286425715799</v>
      </c>
      <c r="AM340" s="602">
        <v>2.1574730916795199</v>
      </c>
      <c r="AN340" s="498">
        <v>2363978.1833520001</v>
      </c>
      <c r="AO340" s="603">
        <v>1806904.118727</v>
      </c>
    </row>
    <row r="341" spans="1:41" ht="12" thickBot="1">
      <c r="A341" s="918"/>
      <c r="B341" s="918"/>
      <c r="C341" s="918"/>
      <c r="D341" s="917" t="s">
        <v>503</v>
      </c>
      <c r="E341" s="917" t="s">
        <v>504</v>
      </c>
      <c r="F341" s="600" t="s">
        <v>497</v>
      </c>
      <c r="G341" s="600" t="s">
        <v>497</v>
      </c>
      <c r="H341" s="601">
        <v>670025</v>
      </c>
      <c r="I341" s="602">
        <v>126876698.17</v>
      </c>
      <c r="J341" s="602">
        <v>0</v>
      </c>
      <c r="K341" s="776">
        <v>143020324.252377</v>
      </c>
      <c r="L341" s="776">
        <v>21.047170000000001</v>
      </c>
      <c r="M341" s="498">
        <v>2.9676333307E-5</v>
      </c>
      <c r="N341" s="602">
        <v>3.1013033104722698</v>
      </c>
      <c r="O341" s="602">
        <v>-3.10127363413896</v>
      </c>
      <c r="P341" s="498">
        <v>2199518.9676009999</v>
      </c>
      <c r="Q341" s="602">
        <v>-2199497.9204310002</v>
      </c>
      <c r="R341" s="602">
        <v>0</v>
      </c>
      <c r="S341" s="602">
        <v>0</v>
      </c>
      <c r="T341" s="602">
        <v>0</v>
      </c>
      <c r="U341" s="602">
        <v>0</v>
      </c>
      <c r="V341" s="602">
        <v>0</v>
      </c>
      <c r="W341" s="602">
        <v>0</v>
      </c>
      <c r="X341" s="602">
        <v>-0.19999999969407001</v>
      </c>
      <c r="Y341" s="602">
        <v>-141844.81452099999</v>
      </c>
      <c r="Z341" s="602">
        <v>0</v>
      </c>
      <c r="AA341" s="602">
        <v>0</v>
      </c>
      <c r="AB341" s="602">
        <v>0</v>
      </c>
      <c r="AC341" s="602">
        <v>0</v>
      </c>
      <c r="AD341" s="602">
        <v>0</v>
      </c>
      <c r="AE341" s="602">
        <v>0</v>
      </c>
      <c r="AF341" s="602">
        <v>0</v>
      </c>
      <c r="AG341" s="602">
        <v>0</v>
      </c>
      <c r="AH341" s="602">
        <v>0</v>
      </c>
      <c r="AI341" s="602">
        <v>0</v>
      </c>
      <c r="AJ341" s="498">
        <v>0</v>
      </c>
      <c r="AK341" s="498">
        <v>0</v>
      </c>
      <c r="AL341" s="602">
        <v>2.9013033117835199</v>
      </c>
      <c r="AM341" s="602">
        <v>-2.9012736354502202</v>
      </c>
      <c r="AN341" s="498">
        <v>2057674.1537929999</v>
      </c>
      <c r="AO341" s="603">
        <v>-2057653.106623</v>
      </c>
    </row>
    <row r="342" spans="1:41" ht="12" thickBot="1">
      <c r="A342" s="918"/>
      <c r="B342" s="918"/>
      <c r="C342" s="918"/>
      <c r="D342" s="918"/>
      <c r="E342" s="919"/>
      <c r="F342" s="600" t="s">
        <v>498</v>
      </c>
      <c r="G342" s="600" t="s">
        <v>498</v>
      </c>
      <c r="H342" s="601">
        <v>670026</v>
      </c>
      <c r="I342" s="602">
        <v>119021369.08</v>
      </c>
      <c r="J342" s="602">
        <v>10.2301584264384</v>
      </c>
      <c r="K342" s="776">
        <v>118776194.68028</v>
      </c>
      <c r="L342" s="776">
        <v>2625352.5565920002</v>
      </c>
      <c r="M342" s="498">
        <v>4.4573066667164598</v>
      </c>
      <c r="N342" s="602">
        <v>3.1050915186368702</v>
      </c>
      <c r="O342" s="602">
        <v>1.35221514807973</v>
      </c>
      <c r="P342" s="498">
        <v>1828898.1590110001</v>
      </c>
      <c r="Q342" s="602">
        <v>796454.397581</v>
      </c>
      <c r="R342" s="602">
        <v>0</v>
      </c>
      <c r="S342" s="602">
        <v>0</v>
      </c>
      <c r="T342" s="602">
        <v>0</v>
      </c>
      <c r="U342" s="602">
        <v>0</v>
      </c>
      <c r="V342" s="602">
        <v>0</v>
      </c>
      <c r="W342" s="602">
        <v>0</v>
      </c>
      <c r="X342" s="602">
        <v>-0.173788588976106</v>
      </c>
      <c r="Y342" s="602">
        <v>-102361.43718399999</v>
      </c>
      <c r="Z342" s="602">
        <v>0</v>
      </c>
      <c r="AA342" s="602">
        <v>0</v>
      </c>
      <c r="AB342" s="602">
        <v>0</v>
      </c>
      <c r="AC342" s="602">
        <v>0</v>
      </c>
      <c r="AD342" s="602">
        <v>-0.70796534368480402</v>
      </c>
      <c r="AE342" s="602">
        <v>-416991.41746299999</v>
      </c>
      <c r="AF342" s="602">
        <v>0</v>
      </c>
      <c r="AG342" s="602">
        <v>0</v>
      </c>
      <c r="AH342" s="602">
        <v>0</v>
      </c>
      <c r="AI342" s="602">
        <v>0</v>
      </c>
      <c r="AJ342" s="498">
        <v>0</v>
      </c>
      <c r="AK342" s="498">
        <v>0</v>
      </c>
      <c r="AL342" s="602">
        <v>1.9791190222312101</v>
      </c>
      <c r="AM342" s="602">
        <v>2.4781876444853901</v>
      </c>
      <c r="AN342" s="498">
        <v>1165700.62895</v>
      </c>
      <c r="AO342" s="603">
        <v>1459651.9276419999</v>
      </c>
    </row>
    <row r="343" spans="1:41" ht="12" thickBot="1">
      <c r="A343" s="918"/>
      <c r="B343" s="918"/>
      <c r="C343" s="918"/>
      <c r="D343" s="918"/>
      <c r="E343" s="917" t="s">
        <v>505</v>
      </c>
      <c r="F343" s="600" t="s">
        <v>497</v>
      </c>
      <c r="G343" s="600" t="s">
        <v>497</v>
      </c>
      <c r="H343" s="601">
        <v>670037</v>
      </c>
      <c r="I343" s="602">
        <v>5448562.2999999998</v>
      </c>
      <c r="J343" s="602">
        <v>0</v>
      </c>
      <c r="K343" s="776">
        <v>6004866.4798339996</v>
      </c>
      <c r="L343" s="776">
        <v>38.971698000000004</v>
      </c>
      <c r="M343" s="498">
        <v>1.308760752796E-3</v>
      </c>
      <c r="N343" s="602">
        <v>3.1064040640405302</v>
      </c>
      <c r="O343" s="602">
        <v>-3.1050953032877402</v>
      </c>
      <c r="P343" s="498">
        <v>92501.124282000004</v>
      </c>
      <c r="Q343" s="602">
        <v>-92462.152583999996</v>
      </c>
      <c r="R343" s="602">
        <v>0</v>
      </c>
      <c r="S343" s="602">
        <v>0</v>
      </c>
      <c r="T343" s="602">
        <v>0</v>
      </c>
      <c r="U343" s="602">
        <v>0</v>
      </c>
      <c r="V343" s="602">
        <v>0</v>
      </c>
      <c r="W343" s="602">
        <v>0</v>
      </c>
      <c r="X343" s="602">
        <v>-0.20000001199303499</v>
      </c>
      <c r="Y343" s="602">
        <v>-5955.5117700000001</v>
      </c>
      <c r="Z343" s="602">
        <v>0</v>
      </c>
      <c r="AA343" s="602">
        <v>0</v>
      </c>
      <c r="AB343" s="602">
        <v>0</v>
      </c>
      <c r="AC343" s="602">
        <v>0</v>
      </c>
      <c r="AD343" s="602">
        <v>0</v>
      </c>
      <c r="AE343" s="602">
        <v>0</v>
      </c>
      <c r="AF343" s="602">
        <v>0</v>
      </c>
      <c r="AG343" s="602">
        <v>0</v>
      </c>
      <c r="AH343" s="602">
        <v>0</v>
      </c>
      <c r="AI343" s="602">
        <v>0</v>
      </c>
      <c r="AJ343" s="498">
        <v>0</v>
      </c>
      <c r="AK343" s="498">
        <v>0</v>
      </c>
      <c r="AL343" s="602">
        <v>2.90640406171921</v>
      </c>
      <c r="AM343" s="602">
        <v>-2.90509530096642</v>
      </c>
      <c r="AN343" s="498">
        <v>86545.612800000003</v>
      </c>
      <c r="AO343" s="603">
        <v>-86506.641101999994</v>
      </c>
    </row>
    <row r="344" spans="1:41" ht="12" thickBot="1">
      <c r="A344" s="918"/>
      <c r="B344" s="918"/>
      <c r="C344" s="918"/>
      <c r="D344" s="919"/>
      <c r="E344" s="919"/>
      <c r="F344" s="600" t="s">
        <v>498</v>
      </c>
      <c r="G344" s="600" t="s">
        <v>498</v>
      </c>
      <c r="H344" s="601">
        <v>670038</v>
      </c>
      <c r="I344" s="602">
        <v>12284129.75</v>
      </c>
      <c r="J344" s="602">
        <v>1.0739772217075401</v>
      </c>
      <c r="K344" s="776">
        <v>11524733.458618</v>
      </c>
      <c r="L344" s="776">
        <v>266040.20757000003</v>
      </c>
      <c r="M344" s="498">
        <v>4.65511782349847</v>
      </c>
      <c r="N344" s="602">
        <v>3.10666716387871</v>
      </c>
      <c r="O344" s="602">
        <v>1.5484506596194401</v>
      </c>
      <c r="P344" s="498">
        <v>177546.17787700001</v>
      </c>
      <c r="Q344" s="602">
        <v>88494.029693000004</v>
      </c>
      <c r="R344" s="602">
        <v>0</v>
      </c>
      <c r="S344" s="602">
        <v>0</v>
      </c>
      <c r="T344" s="602">
        <v>0</v>
      </c>
      <c r="U344" s="602">
        <v>0</v>
      </c>
      <c r="V344" s="602">
        <v>0</v>
      </c>
      <c r="W344" s="602">
        <v>0</v>
      </c>
      <c r="X344" s="602">
        <v>-0.19772820696978199</v>
      </c>
      <c r="Y344" s="602">
        <v>-11300.176541000001</v>
      </c>
      <c r="Z344" s="602">
        <v>0</v>
      </c>
      <c r="AA344" s="602">
        <v>0</v>
      </c>
      <c r="AB344" s="602">
        <v>0</v>
      </c>
      <c r="AC344" s="602">
        <v>0</v>
      </c>
      <c r="AD344" s="602">
        <v>-6.7932362148440006E-2</v>
      </c>
      <c r="AE344" s="602">
        <v>-3882.3377650000002</v>
      </c>
      <c r="AF344" s="602">
        <v>0</v>
      </c>
      <c r="AG344" s="602">
        <v>0</v>
      </c>
      <c r="AH344" s="602">
        <v>0</v>
      </c>
      <c r="AI344" s="602">
        <v>0</v>
      </c>
      <c r="AJ344" s="498">
        <v>0</v>
      </c>
      <c r="AK344" s="498">
        <v>0</v>
      </c>
      <c r="AL344" s="602">
        <v>2.8195317361804801</v>
      </c>
      <c r="AM344" s="602">
        <v>1.8355860873176699</v>
      </c>
      <c r="AN344" s="498">
        <v>161136.37437000001</v>
      </c>
      <c r="AO344" s="603">
        <v>104903.83319999999</v>
      </c>
    </row>
    <row r="345" spans="1:41" ht="12" thickBot="1">
      <c r="A345" s="918"/>
      <c r="B345" s="918"/>
      <c r="C345" s="918"/>
      <c r="D345" s="917" t="s">
        <v>506</v>
      </c>
      <c r="E345" s="917" t="s">
        <v>506</v>
      </c>
      <c r="F345" s="600" t="s">
        <v>497</v>
      </c>
      <c r="G345" s="600" t="s">
        <v>497</v>
      </c>
      <c r="H345" s="601">
        <v>670049</v>
      </c>
      <c r="I345" s="602">
        <v>889688235.78999996</v>
      </c>
      <c r="J345" s="602">
        <v>0</v>
      </c>
      <c r="K345" s="776">
        <v>804082983.68220901</v>
      </c>
      <c r="L345" s="776">
        <v>338.69811199999998</v>
      </c>
      <c r="M345" s="498">
        <v>8.4942725902999996E-5</v>
      </c>
      <c r="N345" s="602">
        <v>3.1257595961109299</v>
      </c>
      <c r="O345" s="602">
        <v>-3.1256746533850301</v>
      </c>
      <c r="P345" s="498">
        <v>12463561.329283999</v>
      </c>
      <c r="Q345" s="602">
        <v>-12463222.631171999</v>
      </c>
      <c r="R345" s="602">
        <v>0</v>
      </c>
      <c r="S345" s="602">
        <v>0</v>
      </c>
      <c r="T345" s="602">
        <v>0</v>
      </c>
      <c r="U345" s="602">
        <v>0</v>
      </c>
      <c r="V345" s="602">
        <v>0</v>
      </c>
      <c r="W345" s="602">
        <v>0</v>
      </c>
      <c r="X345" s="602">
        <v>-0.200000006467554</v>
      </c>
      <c r="Y345" s="602">
        <v>-797474.10823500005</v>
      </c>
      <c r="Z345" s="602">
        <v>0</v>
      </c>
      <c r="AA345" s="602">
        <v>0</v>
      </c>
      <c r="AB345" s="602">
        <v>0</v>
      </c>
      <c r="AC345" s="602">
        <v>0</v>
      </c>
      <c r="AD345" s="602">
        <v>0</v>
      </c>
      <c r="AE345" s="602">
        <v>0</v>
      </c>
      <c r="AF345" s="602">
        <v>0</v>
      </c>
      <c r="AG345" s="602">
        <v>0</v>
      </c>
      <c r="AH345" s="602">
        <v>0</v>
      </c>
      <c r="AI345" s="602">
        <v>0</v>
      </c>
      <c r="AJ345" s="498">
        <v>0</v>
      </c>
      <c r="AK345" s="498">
        <v>0</v>
      </c>
      <c r="AL345" s="602">
        <v>2.92575958423906</v>
      </c>
      <c r="AM345" s="602">
        <v>-2.9256746415131598</v>
      </c>
      <c r="AN345" s="498">
        <v>11666087.1995</v>
      </c>
      <c r="AO345" s="603">
        <v>-11665748.501388</v>
      </c>
    </row>
    <row r="346" spans="1:41" ht="12" thickBot="1">
      <c r="A346" s="918"/>
      <c r="B346" s="918"/>
      <c r="C346" s="918"/>
      <c r="D346" s="919"/>
      <c r="E346" s="919"/>
      <c r="F346" s="600" t="s">
        <v>498</v>
      </c>
      <c r="G346" s="600" t="s">
        <v>498</v>
      </c>
      <c r="H346" s="601">
        <v>670050</v>
      </c>
      <c r="I346" s="602">
        <v>2510946109.7600002</v>
      </c>
      <c r="J346" s="602">
        <v>0.55655480337392504</v>
      </c>
      <c r="K346" s="776">
        <v>2144308917.0894499</v>
      </c>
      <c r="L346" s="776">
        <v>41515352.104548</v>
      </c>
      <c r="M346" s="498">
        <v>3.90423242194831</v>
      </c>
      <c r="N346" s="602">
        <v>3.1164176034474198</v>
      </c>
      <c r="O346" s="602">
        <v>0.78781481850088697</v>
      </c>
      <c r="P346" s="498">
        <v>33138184.444297999</v>
      </c>
      <c r="Q346" s="602">
        <v>8377167.6602499997</v>
      </c>
      <c r="R346" s="602">
        <v>0</v>
      </c>
      <c r="S346" s="602">
        <v>0</v>
      </c>
      <c r="T346" s="602">
        <v>0</v>
      </c>
      <c r="U346" s="602">
        <v>0</v>
      </c>
      <c r="V346" s="602">
        <v>0</v>
      </c>
      <c r="W346" s="602">
        <v>0</v>
      </c>
      <c r="X346" s="602">
        <v>-0.19917929363703599</v>
      </c>
      <c r="Y346" s="602">
        <v>-2117957.5428940002</v>
      </c>
      <c r="Z346" s="602">
        <v>0</v>
      </c>
      <c r="AA346" s="602">
        <v>0</v>
      </c>
      <c r="AB346" s="602">
        <v>0</v>
      </c>
      <c r="AC346" s="602">
        <v>0</v>
      </c>
      <c r="AD346" s="602">
        <v>-2.3165351648696E-2</v>
      </c>
      <c r="AE346" s="602">
        <v>-246326.96683600001</v>
      </c>
      <c r="AF346" s="602">
        <v>0</v>
      </c>
      <c r="AG346" s="602">
        <v>0</v>
      </c>
      <c r="AH346" s="602">
        <v>0</v>
      </c>
      <c r="AI346" s="602">
        <v>0</v>
      </c>
      <c r="AJ346" s="498">
        <v>0</v>
      </c>
      <c r="AK346" s="498">
        <v>0</v>
      </c>
      <c r="AL346" s="602">
        <v>2.8885237760230802</v>
      </c>
      <c r="AM346" s="602">
        <v>1.01570864592523</v>
      </c>
      <c r="AN346" s="498">
        <v>30714893.137462001</v>
      </c>
      <c r="AO346" s="603">
        <v>10800458.967086</v>
      </c>
    </row>
    <row r="347" spans="1:41" ht="12" thickBot="1">
      <c r="A347" s="918"/>
      <c r="B347" s="918"/>
      <c r="C347" s="918"/>
      <c r="D347" s="917" t="s">
        <v>507</v>
      </c>
      <c r="E347" s="917" t="s">
        <v>507</v>
      </c>
      <c r="F347" s="600" t="s">
        <v>497</v>
      </c>
      <c r="G347" s="600" t="s">
        <v>497</v>
      </c>
      <c r="H347" s="601">
        <v>670063</v>
      </c>
      <c r="I347" s="602">
        <v>325237156.52999997</v>
      </c>
      <c r="J347" s="602">
        <v>0</v>
      </c>
      <c r="K347" s="776">
        <v>288979327.88182002</v>
      </c>
      <c r="L347" s="776">
        <v>4412328.443705</v>
      </c>
      <c r="M347" s="498">
        <v>3.07904010583426</v>
      </c>
      <c r="N347" s="602">
        <v>3.12726488540862</v>
      </c>
      <c r="O347" s="602">
        <v>-4.8224779574394E-2</v>
      </c>
      <c r="P347" s="498">
        <v>4481435.5547829997</v>
      </c>
      <c r="Q347" s="602">
        <v>-69107.111078000496</v>
      </c>
      <c r="R347" s="602">
        <v>0</v>
      </c>
      <c r="S347" s="602">
        <v>0</v>
      </c>
      <c r="T347" s="602">
        <v>0</v>
      </c>
      <c r="U347" s="602">
        <v>0</v>
      </c>
      <c r="V347" s="602">
        <v>0</v>
      </c>
      <c r="W347" s="602">
        <v>0</v>
      </c>
      <c r="X347" s="602">
        <v>-0.20000001155120001</v>
      </c>
      <c r="Y347" s="602">
        <v>-286604.17187700002</v>
      </c>
      <c r="Z347" s="602">
        <v>0</v>
      </c>
      <c r="AA347" s="602">
        <v>0</v>
      </c>
      <c r="AB347" s="602">
        <v>0</v>
      </c>
      <c r="AC347" s="602">
        <v>0</v>
      </c>
      <c r="AD347" s="602">
        <v>0</v>
      </c>
      <c r="AE347" s="602">
        <v>0</v>
      </c>
      <c r="AF347" s="602">
        <v>0</v>
      </c>
      <c r="AG347" s="602">
        <v>0</v>
      </c>
      <c r="AH347" s="602">
        <v>0</v>
      </c>
      <c r="AI347" s="602">
        <v>0</v>
      </c>
      <c r="AJ347" s="498">
        <v>0</v>
      </c>
      <c r="AK347" s="498">
        <v>0</v>
      </c>
      <c r="AL347" s="602">
        <v>2.9272648735817799</v>
      </c>
      <c r="AM347" s="602">
        <v>0.15177523225244699</v>
      </c>
      <c r="AN347" s="498">
        <v>4194831.3825110001</v>
      </c>
      <c r="AO347" s="603">
        <v>217497.06119400001</v>
      </c>
    </row>
    <row r="348" spans="1:41" ht="12" thickBot="1">
      <c r="A348" s="918"/>
      <c r="B348" s="918"/>
      <c r="C348" s="919"/>
      <c r="D348" s="919"/>
      <c r="E348" s="919"/>
      <c r="F348" s="600" t="s">
        <v>498</v>
      </c>
      <c r="G348" s="600" t="s">
        <v>498</v>
      </c>
      <c r="H348" s="601">
        <v>670064</v>
      </c>
      <c r="I348" s="602">
        <v>995302336.49000001</v>
      </c>
      <c r="J348" s="602">
        <v>0.54353591429093895</v>
      </c>
      <c r="K348" s="776">
        <v>860431815.75369406</v>
      </c>
      <c r="L348" s="776">
        <v>15931504.0954</v>
      </c>
      <c r="M348" s="498">
        <v>3.73383058151884</v>
      </c>
      <c r="N348" s="602">
        <v>3.1167202400556699</v>
      </c>
      <c r="O348" s="602">
        <v>0.61711034146314003</v>
      </c>
      <c r="P348" s="498">
        <v>13298418.389531</v>
      </c>
      <c r="Q348" s="602">
        <v>2633085.7058689999</v>
      </c>
      <c r="R348" s="602">
        <v>0</v>
      </c>
      <c r="S348" s="602">
        <v>0</v>
      </c>
      <c r="T348" s="602">
        <v>0</v>
      </c>
      <c r="U348" s="602">
        <v>0</v>
      </c>
      <c r="V348" s="602">
        <v>0</v>
      </c>
      <c r="W348" s="602">
        <v>0</v>
      </c>
      <c r="X348" s="602">
        <v>-0.19929266397329701</v>
      </c>
      <c r="Y348" s="602">
        <v>-850341.71287499997</v>
      </c>
      <c r="Z348" s="602">
        <v>0</v>
      </c>
      <c r="AA348" s="602">
        <v>0</v>
      </c>
      <c r="AB348" s="602">
        <v>0</v>
      </c>
      <c r="AC348" s="602">
        <v>0</v>
      </c>
      <c r="AD348" s="602">
        <v>-1.9271961891817999E-2</v>
      </c>
      <c r="AE348" s="602">
        <v>-82229.585168000005</v>
      </c>
      <c r="AF348" s="602">
        <v>0</v>
      </c>
      <c r="AG348" s="602">
        <v>0</v>
      </c>
      <c r="AH348" s="602">
        <v>0</v>
      </c>
      <c r="AI348" s="602">
        <v>0</v>
      </c>
      <c r="AJ348" s="498">
        <v>0</v>
      </c>
      <c r="AK348" s="498">
        <v>0</v>
      </c>
      <c r="AL348" s="602">
        <v>2.8937517045782202</v>
      </c>
      <c r="AM348" s="602">
        <v>0.84007887694059102</v>
      </c>
      <c r="AN348" s="498">
        <v>12347056.494943</v>
      </c>
      <c r="AO348" s="603">
        <v>3584447.6004570001</v>
      </c>
    </row>
    <row r="349" spans="1:41" ht="12" thickBot="1">
      <c r="A349" s="918"/>
      <c r="B349" s="919"/>
      <c r="C349" s="600" t="s">
        <v>508</v>
      </c>
      <c r="D349" s="600" t="s">
        <v>509</v>
      </c>
      <c r="E349" s="600" t="s">
        <v>509</v>
      </c>
      <c r="F349" s="600" t="s">
        <v>509</v>
      </c>
      <c r="G349" s="600" t="s">
        <v>509</v>
      </c>
      <c r="H349" s="601">
        <v>670074</v>
      </c>
      <c r="I349" s="602">
        <v>1286931.8600000001</v>
      </c>
      <c r="J349" s="602">
        <v>0</v>
      </c>
      <c r="K349" s="776">
        <v>1258612.0484529999</v>
      </c>
      <c r="L349" s="776">
        <v>28166.471695</v>
      </c>
      <c r="M349" s="498">
        <v>4.5128910895910401</v>
      </c>
      <c r="N349" s="602">
        <v>3.1164480297393902</v>
      </c>
      <c r="O349" s="602">
        <v>1.3964430598515101</v>
      </c>
      <c r="P349" s="498">
        <v>19450.800712</v>
      </c>
      <c r="Q349" s="602">
        <v>8715.670983</v>
      </c>
      <c r="R349" s="602">
        <v>0</v>
      </c>
      <c r="S349" s="602">
        <v>0</v>
      </c>
      <c r="T349" s="602">
        <v>0</v>
      </c>
      <c r="U349" s="602">
        <v>0</v>
      </c>
      <c r="V349" s="602">
        <v>0</v>
      </c>
      <c r="W349" s="602">
        <v>0</v>
      </c>
      <c r="X349" s="602">
        <v>-0.199999960923368</v>
      </c>
      <c r="Y349" s="602">
        <v>-1248.2670479999999</v>
      </c>
      <c r="Z349" s="602">
        <v>0</v>
      </c>
      <c r="AA349" s="602">
        <v>0</v>
      </c>
      <c r="AB349" s="602">
        <v>0</v>
      </c>
      <c r="AC349" s="602">
        <v>0</v>
      </c>
      <c r="AD349" s="602">
        <v>0</v>
      </c>
      <c r="AE349" s="602">
        <v>0</v>
      </c>
      <c r="AF349" s="602">
        <v>0</v>
      </c>
      <c r="AG349" s="602">
        <v>0</v>
      </c>
      <c r="AH349" s="602">
        <v>0</v>
      </c>
      <c r="AI349" s="602">
        <v>0</v>
      </c>
      <c r="AJ349" s="498">
        <v>0</v>
      </c>
      <c r="AK349" s="498">
        <v>0</v>
      </c>
      <c r="AL349" s="602">
        <v>2.9164479992796402</v>
      </c>
      <c r="AM349" s="602">
        <v>1.5964430903112601</v>
      </c>
      <c r="AN349" s="498">
        <v>18202.533230000001</v>
      </c>
      <c r="AO349" s="603">
        <v>9963.9384649999993</v>
      </c>
    </row>
    <row r="350" spans="1:41" ht="12" thickBot="1">
      <c r="A350" s="918"/>
      <c r="B350" s="917" t="s">
        <v>510</v>
      </c>
      <c r="C350" s="917" t="s">
        <v>511</v>
      </c>
      <c r="D350" s="600" t="s">
        <v>496</v>
      </c>
      <c r="E350" s="600" t="s">
        <v>496</v>
      </c>
      <c r="F350" s="600" t="s">
        <v>496</v>
      </c>
      <c r="G350" s="600" t="s">
        <v>496</v>
      </c>
      <c r="H350" s="601">
        <v>671001</v>
      </c>
      <c r="I350" s="602">
        <v>25199914.300000001</v>
      </c>
      <c r="J350" s="602">
        <v>0</v>
      </c>
      <c r="K350" s="776">
        <v>23224698.444254</v>
      </c>
      <c r="L350" s="776">
        <v>0</v>
      </c>
      <c r="M350" s="498">
        <v>0</v>
      </c>
      <c r="N350" s="602">
        <v>3.2689883856042599</v>
      </c>
      <c r="O350" s="602">
        <v>3.2689883856042599</v>
      </c>
      <c r="P350" s="498">
        <v>376486.29519700003</v>
      </c>
      <c r="Q350" s="602">
        <v>376486.29519700003</v>
      </c>
      <c r="R350" s="602">
        <v>0</v>
      </c>
      <c r="S350" s="602">
        <v>0</v>
      </c>
      <c r="T350" s="602">
        <v>0</v>
      </c>
      <c r="U350" s="602">
        <v>0</v>
      </c>
      <c r="V350" s="602">
        <v>0</v>
      </c>
      <c r="W350" s="602">
        <v>0</v>
      </c>
      <c r="X350" s="602">
        <v>0</v>
      </c>
      <c r="Y350" s="602">
        <v>0</v>
      </c>
      <c r="Z350" s="602">
        <v>0</v>
      </c>
      <c r="AA350" s="602">
        <v>0</v>
      </c>
      <c r="AB350" s="602">
        <v>0</v>
      </c>
      <c r="AC350" s="602">
        <v>0</v>
      </c>
      <c r="AD350" s="602">
        <v>0</v>
      </c>
      <c r="AE350" s="602">
        <v>0</v>
      </c>
      <c r="AF350" s="602">
        <v>0</v>
      </c>
      <c r="AG350" s="602">
        <v>0</v>
      </c>
      <c r="AH350" s="602">
        <v>0</v>
      </c>
      <c r="AI350" s="602">
        <v>0</v>
      </c>
      <c r="AJ350" s="498">
        <v>0</v>
      </c>
      <c r="AK350" s="498">
        <v>0</v>
      </c>
      <c r="AL350" s="602">
        <v>3.2689883856042599</v>
      </c>
      <c r="AM350" s="602">
        <v>3.2689883856042599</v>
      </c>
      <c r="AN350" s="498">
        <v>376486.29519700003</v>
      </c>
      <c r="AO350" s="603">
        <v>376486.29519700003</v>
      </c>
    </row>
    <row r="351" spans="1:41" ht="12" thickBot="1">
      <c r="A351" s="918"/>
      <c r="B351" s="918"/>
      <c r="C351" s="918"/>
      <c r="D351" s="917" t="s">
        <v>500</v>
      </c>
      <c r="E351" s="600" t="s">
        <v>500</v>
      </c>
      <c r="F351" s="600" t="s">
        <v>500</v>
      </c>
      <c r="G351" s="600" t="s">
        <v>500</v>
      </c>
      <c r="H351" s="601">
        <v>671011</v>
      </c>
      <c r="I351" s="602">
        <v>628588.4</v>
      </c>
      <c r="J351" s="602">
        <v>0</v>
      </c>
      <c r="K351" s="776">
        <v>563494.22651900002</v>
      </c>
      <c r="L351" s="776">
        <v>0</v>
      </c>
      <c r="M351" s="498">
        <v>0</v>
      </c>
      <c r="N351" s="602">
        <v>3.27032779622767</v>
      </c>
      <c r="O351" s="602">
        <v>3.27032779622767</v>
      </c>
      <c r="P351" s="498">
        <v>9138.3222079999996</v>
      </c>
      <c r="Q351" s="602">
        <v>9138.3222079999996</v>
      </c>
      <c r="R351" s="602">
        <v>0</v>
      </c>
      <c r="S351" s="602">
        <v>0</v>
      </c>
      <c r="T351" s="602">
        <v>0</v>
      </c>
      <c r="U351" s="602">
        <v>0</v>
      </c>
      <c r="V351" s="602">
        <v>0</v>
      </c>
      <c r="W351" s="602">
        <v>0</v>
      </c>
      <c r="X351" s="602">
        <v>0</v>
      </c>
      <c r="Y351" s="602">
        <v>0</v>
      </c>
      <c r="Z351" s="602">
        <v>0</v>
      </c>
      <c r="AA351" s="602">
        <v>0</v>
      </c>
      <c r="AB351" s="602">
        <v>0</v>
      </c>
      <c r="AC351" s="602">
        <v>0</v>
      </c>
      <c r="AD351" s="602">
        <v>0</v>
      </c>
      <c r="AE351" s="602">
        <v>0</v>
      </c>
      <c r="AF351" s="602">
        <v>0</v>
      </c>
      <c r="AG351" s="602">
        <v>0</v>
      </c>
      <c r="AH351" s="602">
        <v>0</v>
      </c>
      <c r="AI351" s="602">
        <v>0</v>
      </c>
      <c r="AJ351" s="498">
        <v>0</v>
      </c>
      <c r="AK351" s="498">
        <v>0</v>
      </c>
      <c r="AL351" s="602">
        <v>3.27032779622767</v>
      </c>
      <c r="AM351" s="602">
        <v>3.27032779622767</v>
      </c>
      <c r="AN351" s="498">
        <v>9138.3222079999996</v>
      </c>
      <c r="AO351" s="603">
        <v>9138.3222079999996</v>
      </c>
    </row>
    <row r="352" spans="1:41" ht="12" thickBot="1">
      <c r="A352" s="918"/>
      <c r="B352" s="918"/>
      <c r="C352" s="918"/>
      <c r="D352" s="919"/>
      <c r="E352" s="600" t="s">
        <v>502</v>
      </c>
      <c r="F352" s="600" t="s">
        <v>502</v>
      </c>
      <c r="G352" s="600" t="s">
        <v>502</v>
      </c>
      <c r="H352" s="601">
        <v>671012</v>
      </c>
      <c r="I352" s="602">
        <v>1795209.72</v>
      </c>
      <c r="J352" s="602">
        <v>0</v>
      </c>
      <c r="K352" s="776">
        <v>1829330.514861</v>
      </c>
      <c r="L352" s="776">
        <v>0</v>
      </c>
      <c r="M352" s="498">
        <v>0</v>
      </c>
      <c r="N352" s="602">
        <v>3.2605864632078601</v>
      </c>
      <c r="O352" s="602">
        <v>3.2605864632078601</v>
      </c>
      <c r="P352" s="498">
        <v>29578.327308</v>
      </c>
      <c r="Q352" s="602">
        <v>29578.327308</v>
      </c>
      <c r="R352" s="602">
        <v>0</v>
      </c>
      <c r="S352" s="602">
        <v>0</v>
      </c>
      <c r="T352" s="602">
        <v>0</v>
      </c>
      <c r="U352" s="602">
        <v>0</v>
      </c>
      <c r="V352" s="602">
        <v>0</v>
      </c>
      <c r="W352" s="602">
        <v>0</v>
      </c>
      <c r="X352" s="602">
        <v>0</v>
      </c>
      <c r="Y352" s="602">
        <v>0</v>
      </c>
      <c r="Z352" s="602">
        <v>0</v>
      </c>
      <c r="AA352" s="602">
        <v>0</v>
      </c>
      <c r="AB352" s="602">
        <v>0</v>
      </c>
      <c r="AC352" s="602">
        <v>0</v>
      </c>
      <c r="AD352" s="602">
        <v>0</v>
      </c>
      <c r="AE352" s="602">
        <v>0</v>
      </c>
      <c r="AF352" s="602">
        <v>0</v>
      </c>
      <c r="AG352" s="602">
        <v>0</v>
      </c>
      <c r="AH352" s="602">
        <v>0</v>
      </c>
      <c r="AI352" s="602">
        <v>0</v>
      </c>
      <c r="AJ352" s="498">
        <v>0</v>
      </c>
      <c r="AK352" s="498">
        <v>0</v>
      </c>
      <c r="AL352" s="602">
        <v>3.2605864632078601</v>
      </c>
      <c r="AM352" s="602">
        <v>3.2605864632078601</v>
      </c>
      <c r="AN352" s="498">
        <v>29578.327308</v>
      </c>
      <c r="AO352" s="603">
        <v>29578.327308</v>
      </c>
    </row>
    <row r="353" spans="1:41" ht="12" thickBot="1">
      <c r="A353" s="918"/>
      <c r="B353" s="918"/>
      <c r="C353" s="918"/>
      <c r="D353" s="917" t="s">
        <v>503</v>
      </c>
      <c r="E353" s="600" t="s">
        <v>504</v>
      </c>
      <c r="F353" s="600" t="s">
        <v>504</v>
      </c>
      <c r="G353" s="600" t="s">
        <v>504</v>
      </c>
      <c r="H353" s="601">
        <v>671061</v>
      </c>
      <c r="I353" s="602">
        <v>1140847.44</v>
      </c>
      <c r="J353" s="602">
        <v>0</v>
      </c>
      <c r="K353" s="776">
        <v>1115178.4199979999</v>
      </c>
      <c r="L353" s="776">
        <v>0</v>
      </c>
      <c r="M353" s="498">
        <v>0</v>
      </c>
      <c r="N353" s="602">
        <v>3.2715320795039702</v>
      </c>
      <c r="O353" s="602">
        <v>3.2715320795039702</v>
      </c>
      <c r="P353" s="498">
        <v>18091.778015</v>
      </c>
      <c r="Q353" s="602">
        <v>18091.778015</v>
      </c>
      <c r="R353" s="602">
        <v>0</v>
      </c>
      <c r="S353" s="602">
        <v>0</v>
      </c>
      <c r="T353" s="602">
        <v>0</v>
      </c>
      <c r="U353" s="602">
        <v>0</v>
      </c>
      <c r="V353" s="602">
        <v>0</v>
      </c>
      <c r="W353" s="602">
        <v>0</v>
      </c>
      <c r="X353" s="602">
        <v>0</v>
      </c>
      <c r="Y353" s="602">
        <v>0</v>
      </c>
      <c r="Z353" s="602">
        <v>0</v>
      </c>
      <c r="AA353" s="602">
        <v>0</v>
      </c>
      <c r="AB353" s="602">
        <v>0</v>
      </c>
      <c r="AC353" s="602">
        <v>0</v>
      </c>
      <c r="AD353" s="602">
        <v>0</v>
      </c>
      <c r="AE353" s="602">
        <v>0</v>
      </c>
      <c r="AF353" s="602">
        <v>0</v>
      </c>
      <c r="AG353" s="602">
        <v>0</v>
      </c>
      <c r="AH353" s="602">
        <v>0</v>
      </c>
      <c r="AI353" s="602">
        <v>0</v>
      </c>
      <c r="AJ353" s="498">
        <v>0</v>
      </c>
      <c r="AK353" s="498">
        <v>0</v>
      </c>
      <c r="AL353" s="602">
        <v>3.2715320795039702</v>
      </c>
      <c r="AM353" s="602">
        <v>3.2715320795039702</v>
      </c>
      <c r="AN353" s="498">
        <v>18091.778015</v>
      </c>
      <c r="AO353" s="603">
        <v>18091.778015</v>
      </c>
    </row>
    <row r="354" spans="1:41" ht="12" thickBot="1">
      <c r="A354" s="918"/>
      <c r="B354" s="918"/>
      <c r="C354" s="918"/>
      <c r="D354" s="919"/>
      <c r="E354" s="600" t="s">
        <v>505</v>
      </c>
      <c r="F354" s="600" t="s">
        <v>505</v>
      </c>
      <c r="G354" s="600" t="s">
        <v>505</v>
      </c>
      <c r="H354" s="601">
        <v>671021</v>
      </c>
      <c r="I354" s="602">
        <v>224888.6</v>
      </c>
      <c r="J354" s="602">
        <v>0</v>
      </c>
      <c r="K354" s="776">
        <v>242894.814143</v>
      </c>
      <c r="L354" s="776">
        <v>0</v>
      </c>
      <c r="M354" s="498">
        <v>0</v>
      </c>
      <c r="N354" s="602">
        <v>3.2481741779853999</v>
      </c>
      <c r="O354" s="602">
        <v>3.2481741779853999</v>
      </c>
      <c r="P354" s="498">
        <v>3912.4001109999999</v>
      </c>
      <c r="Q354" s="602">
        <v>3912.4001109999999</v>
      </c>
      <c r="R354" s="602">
        <v>0</v>
      </c>
      <c r="S354" s="602">
        <v>0</v>
      </c>
      <c r="T354" s="602">
        <v>0</v>
      </c>
      <c r="U354" s="602">
        <v>0</v>
      </c>
      <c r="V354" s="602">
        <v>0</v>
      </c>
      <c r="W354" s="602">
        <v>0</v>
      </c>
      <c r="X354" s="602">
        <v>0</v>
      </c>
      <c r="Y354" s="602">
        <v>0</v>
      </c>
      <c r="Z354" s="602">
        <v>0</v>
      </c>
      <c r="AA354" s="602">
        <v>0</v>
      </c>
      <c r="AB354" s="602">
        <v>0</v>
      </c>
      <c r="AC354" s="602">
        <v>0</v>
      </c>
      <c r="AD354" s="602">
        <v>0</v>
      </c>
      <c r="AE354" s="602">
        <v>0</v>
      </c>
      <c r="AF354" s="602">
        <v>0</v>
      </c>
      <c r="AG354" s="602">
        <v>0</v>
      </c>
      <c r="AH354" s="602">
        <v>0</v>
      </c>
      <c r="AI354" s="602">
        <v>0</v>
      </c>
      <c r="AJ354" s="498">
        <v>0</v>
      </c>
      <c r="AK354" s="498">
        <v>0</v>
      </c>
      <c r="AL354" s="602">
        <v>3.2481741779853999</v>
      </c>
      <c r="AM354" s="602">
        <v>3.2481741779853999</v>
      </c>
      <c r="AN354" s="498">
        <v>3912.4001109999999</v>
      </c>
      <c r="AO354" s="603">
        <v>3912.4001109999999</v>
      </c>
    </row>
    <row r="355" spans="1:41" ht="12" thickBot="1">
      <c r="A355" s="918"/>
      <c r="B355" s="918"/>
      <c r="C355" s="919"/>
      <c r="D355" s="600" t="s">
        <v>506</v>
      </c>
      <c r="E355" s="600" t="s">
        <v>506</v>
      </c>
      <c r="F355" s="600" t="s">
        <v>506</v>
      </c>
      <c r="G355" s="600" t="s">
        <v>506</v>
      </c>
      <c r="H355" s="601">
        <v>671031</v>
      </c>
      <c r="I355" s="602">
        <v>18105083.989999998</v>
      </c>
      <c r="J355" s="602">
        <v>0</v>
      </c>
      <c r="K355" s="776">
        <v>18007631.309840001</v>
      </c>
      <c r="L355" s="776">
        <v>0</v>
      </c>
      <c r="M355" s="498">
        <v>0</v>
      </c>
      <c r="N355" s="602">
        <v>3.2677641214448601</v>
      </c>
      <c r="O355" s="602">
        <v>3.2677641214448601</v>
      </c>
      <c r="P355" s="498">
        <v>291805.182539</v>
      </c>
      <c r="Q355" s="602">
        <v>291805.182539</v>
      </c>
      <c r="R355" s="602">
        <v>0</v>
      </c>
      <c r="S355" s="602">
        <v>0</v>
      </c>
      <c r="T355" s="602">
        <v>0</v>
      </c>
      <c r="U355" s="602">
        <v>0</v>
      </c>
      <c r="V355" s="602">
        <v>0</v>
      </c>
      <c r="W355" s="602">
        <v>0</v>
      </c>
      <c r="X355" s="602">
        <v>0</v>
      </c>
      <c r="Y355" s="602">
        <v>0</v>
      </c>
      <c r="Z355" s="602">
        <v>0</v>
      </c>
      <c r="AA355" s="602">
        <v>0</v>
      </c>
      <c r="AB355" s="602">
        <v>0</v>
      </c>
      <c r="AC355" s="602">
        <v>0</v>
      </c>
      <c r="AD355" s="602">
        <v>0</v>
      </c>
      <c r="AE355" s="602">
        <v>0</v>
      </c>
      <c r="AF355" s="602">
        <v>0</v>
      </c>
      <c r="AG355" s="602">
        <v>0</v>
      </c>
      <c r="AH355" s="602">
        <v>0</v>
      </c>
      <c r="AI355" s="602">
        <v>0</v>
      </c>
      <c r="AJ355" s="498">
        <v>0</v>
      </c>
      <c r="AK355" s="498">
        <v>0</v>
      </c>
      <c r="AL355" s="602">
        <v>3.2677641214448601</v>
      </c>
      <c r="AM355" s="602">
        <v>3.2677641214448601</v>
      </c>
      <c r="AN355" s="498">
        <v>291805.182539</v>
      </c>
      <c r="AO355" s="603">
        <v>291805.182539</v>
      </c>
    </row>
    <row r="356" spans="1:41" ht="12" thickBot="1">
      <c r="A356" s="919"/>
      <c r="B356" s="919"/>
      <c r="C356" s="600" t="s">
        <v>512</v>
      </c>
      <c r="D356" s="600" t="s">
        <v>509</v>
      </c>
      <c r="E356" s="600" t="s">
        <v>509</v>
      </c>
      <c r="F356" s="600" t="s">
        <v>509</v>
      </c>
      <c r="G356" s="600" t="s">
        <v>509</v>
      </c>
      <c r="H356" s="601">
        <v>671051</v>
      </c>
      <c r="I356" s="602">
        <v>300044.03000000003</v>
      </c>
      <c r="J356" s="602">
        <v>0</v>
      </c>
      <c r="K356" s="776">
        <v>163849.02861899999</v>
      </c>
      <c r="L356" s="776">
        <v>0</v>
      </c>
      <c r="M356" s="498">
        <v>0</v>
      </c>
      <c r="N356" s="602">
        <v>3.2882019588785898</v>
      </c>
      <c r="O356" s="602">
        <v>3.2882019588785898</v>
      </c>
      <c r="P356" s="498">
        <v>2671.7023049999998</v>
      </c>
      <c r="Q356" s="602">
        <v>2671.7023049999998</v>
      </c>
      <c r="R356" s="602">
        <v>0</v>
      </c>
      <c r="S356" s="602">
        <v>0</v>
      </c>
      <c r="T356" s="602">
        <v>0</v>
      </c>
      <c r="U356" s="602">
        <v>0</v>
      </c>
      <c r="V356" s="602">
        <v>0</v>
      </c>
      <c r="W356" s="602">
        <v>0</v>
      </c>
      <c r="X356" s="602">
        <v>0</v>
      </c>
      <c r="Y356" s="602">
        <v>0</v>
      </c>
      <c r="Z356" s="602">
        <v>0</v>
      </c>
      <c r="AA356" s="602">
        <v>0</v>
      </c>
      <c r="AB356" s="602">
        <v>0</v>
      </c>
      <c r="AC356" s="602">
        <v>0</v>
      </c>
      <c r="AD356" s="602">
        <v>0</v>
      </c>
      <c r="AE356" s="602">
        <v>0</v>
      </c>
      <c r="AF356" s="602">
        <v>0</v>
      </c>
      <c r="AG356" s="602">
        <v>0</v>
      </c>
      <c r="AH356" s="602">
        <v>0</v>
      </c>
      <c r="AI356" s="602">
        <v>0</v>
      </c>
      <c r="AJ356" s="498">
        <v>0</v>
      </c>
      <c r="AK356" s="498">
        <v>0</v>
      </c>
      <c r="AL356" s="602">
        <v>3.2882019588785898</v>
      </c>
      <c r="AM356" s="602">
        <v>3.2882019588785898</v>
      </c>
      <c r="AN356" s="498">
        <v>2671.7023049999998</v>
      </c>
      <c r="AO356" s="603">
        <v>2671.7023049999998</v>
      </c>
    </row>
    <row r="357" spans="1:41" ht="12" thickBot="1">
      <c r="A357" s="917" t="s">
        <v>490</v>
      </c>
      <c r="B357" s="600" t="s">
        <v>513</v>
      </c>
      <c r="C357" s="600" t="s">
        <v>513</v>
      </c>
      <c r="D357" s="600" t="s">
        <v>513</v>
      </c>
      <c r="E357" s="600" t="s">
        <v>513</v>
      </c>
      <c r="F357" s="600" t="s">
        <v>513</v>
      </c>
      <c r="G357" s="600" t="s">
        <v>513</v>
      </c>
      <c r="H357" s="601">
        <v>770001</v>
      </c>
      <c r="I357" s="602">
        <v>2109736650</v>
      </c>
      <c r="J357" s="602">
        <v>0</v>
      </c>
      <c r="K357" s="776">
        <v>2109736650</v>
      </c>
      <c r="L357" s="776">
        <v>0</v>
      </c>
      <c r="M357" s="498">
        <v>0</v>
      </c>
      <c r="N357" s="602">
        <v>3.6926630552487798</v>
      </c>
      <c r="O357" s="602">
        <v>-3.6926630552487798</v>
      </c>
      <c r="P357" s="498">
        <v>38632573.470149003</v>
      </c>
      <c r="Q357" s="602">
        <v>-38632573.470149003</v>
      </c>
      <c r="R357" s="602">
        <v>0</v>
      </c>
      <c r="S357" s="602">
        <v>0</v>
      </c>
      <c r="T357" s="602">
        <v>0</v>
      </c>
      <c r="U357" s="602">
        <v>0</v>
      </c>
      <c r="V357" s="602">
        <v>0</v>
      </c>
      <c r="W357" s="602">
        <v>0</v>
      </c>
      <c r="X357" s="602">
        <v>0</v>
      </c>
      <c r="Y357" s="602">
        <v>0</v>
      </c>
      <c r="Z357" s="602">
        <v>0</v>
      </c>
      <c r="AA357" s="602">
        <v>0</v>
      </c>
      <c r="AB357" s="602">
        <v>0</v>
      </c>
      <c r="AC357" s="602">
        <v>0</v>
      </c>
      <c r="AD357" s="602">
        <v>0</v>
      </c>
      <c r="AE357" s="602">
        <v>0</v>
      </c>
      <c r="AF357" s="602">
        <v>0</v>
      </c>
      <c r="AG357" s="602">
        <v>0</v>
      </c>
      <c r="AH357" s="602">
        <v>0</v>
      </c>
      <c r="AI357" s="602">
        <v>0</v>
      </c>
      <c r="AJ357" s="498">
        <v>0</v>
      </c>
      <c r="AK357" s="498">
        <v>0</v>
      </c>
      <c r="AL357" s="602">
        <v>3.6926630552487798</v>
      </c>
      <c r="AM357" s="602">
        <v>-3.6926630552487798</v>
      </c>
      <c r="AN357" s="498">
        <v>38632573.470149003</v>
      </c>
      <c r="AO357" s="603">
        <v>-38632573.470149003</v>
      </c>
    </row>
    <row r="358" spans="1:41" ht="12" thickBot="1">
      <c r="A358" s="918"/>
      <c r="B358" s="600" t="s">
        <v>514</v>
      </c>
      <c r="C358" s="600" t="s">
        <v>515</v>
      </c>
      <c r="D358" s="600" t="s">
        <v>515</v>
      </c>
      <c r="E358" s="600" t="s">
        <v>515</v>
      </c>
      <c r="F358" s="600" t="s">
        <v>515</v>
      </c>
      <c r="G358" s="600" t="s">
        <v>515</v>
      </c>
      <c r="H358" s="601">
        <v>770521</v>
      </c>
      <c r="I358" s="602">
        <v>717677526.57000005</v>
      </c>
      <c r="J358" s="602">
        <v>0</v>
      </c>
      <c r="K358" s="776">
        <v>710756970.24303901</v>
      </c>
      <c r="L358" s="776">
        <v>0</v>
      </c>
      <c r="M358" s="498">
        <v>0</v>
      </c>
      <c r="N358" s="602">
        <v>4.1976765761036399</v>
      </c>
      <c r="O358" s="602">
        <v>-4.1976765761036399</v>
      </c>
      <c r="P358" s="498">
        <v>14795028.691446001</v>
      </c>
      <c r="Q358" s="602">
        <v>-14795028.691446001</v>
      </c>
      <c r="R358" s="602">
        <v>0</v>
      </c>
      <c r="S358" s="602">
        <v>0</v>
      </c>
      <c r="T358" s="602">
        <v>0</v>
      </c>
      <c r="U358" s="602">
        <v>0</v>
      </c>
      <c r="V358" s="602">
        <v>0</v>
      </c>
      <c r="W358" s="602">
        <v>0</v>
      </c>
      <c r="X358" s="602">
        <v>0</v>
      </c>
      <c r="Y358" s="602">
        <v>0</v>
      </c>
      <c r="Z358" s="602">
        <v>0</v>
      </c>
      <c r="AA358" s="602">
        <v>0</v>
      </c>
      <c r="AB358" s="602">
        <v>0</v>
      </c>
      <c r="AC358" s="602">
        <v>0</v>
      </c>
      <c r="AD358" s="602">
        <v>0</v>
      </c>
      <c r="AE358" s="602">
        <v>0</v>
      </c>
      <c r="AF358" s="602">
        <v>0</v>
      </c>
      <c r="AG358" s="602">
        <v>0</v>
      </c>
      <c r="AH358" s="602">
        <v>0</v>
      </c>
      <c r="AI358" s="602">
        <v>0</v>
      </c>
      <c r="AJ358" s="498">
        <v>0</v>
      </c>
      <c r="AK358" s="498">
        <v>0</v>
      </c>
      <c r="AL358" s="602">
        <v>4.1976765761036399</v>
      </c>
      <c r="AM358" s="602">
        <v>-4.1976765761036399</v>
      </c>
      <c r="AN358" s="498">
        <v>14795028.691446001</v>
      </c>
      <c r="AO358" s="603">
        <v>-14795028.691446001</v>
      </c>
    </row>
    <row r="359" spans="1:41" ht="12" thickBot="1">
      <c r="A359" s="918"/>
      <c r="B359" s="600" t="s">
        <v>516</v>
      </c>
      <c r="C359" s="600" t="s">
        <v>517</v>
      </c>
      <c r="D359" s="600" t="s">
        <v>517</v>
      </c>
      <c r="E359" s="600" t="s">
        <v>517</v>
      </c>
      <c r="F359" s="600" t="s">
        <v>517</v>
      </c>
      <c r="G359" s="600" t="s">
        <v>517</v>
      </c>
      <c r="H359" s="601">
        <v>771001</v>
      </c>
      <c r="I359" s="602">
        <v>7497909143.21768</v>
      </c>
      <c r="J359" s="602">
        <v>0</v>
      </c>
      <c r="K359" s="776">
        <v>6572829601.1012201</v>
      </c>
      <c r="L359" s="776">
        <v>0</v>
      </c>
      <c r="M359" s="498">
        <v>0</v>
      </c>
      <c r="N359" s="602">
        <v>2.89899860250426</v>
      </c>
      <c r="O359" s="602">
        <v>-1.94935857636653</v>
      </c>
      <c r="P359" s="498">
        <v>94490052.407793894</v>
      </c>
      <c r="Q359" s="602">
        <v>-63537455.272776298</v>
      </c>
      <c r="R359" s="602">
        <v>0</v>
      </c>
      <c r="S359" s="602">
        <v>0</v>
      </c>
      <c r="T359" s="602">
        <v>0</v>
      </c>
      <c r="U359" s="602">
        <v>0</v>
      </c>
      <c r="V359" s="602">
        <v>0</v>
      </c>
      <c r="W359" s="602">
        <v>0</v>
      </c>
      <c r="X359" s="602">
        <v>0</v>
      </c>
      <c r="Y359" s="602">
        <v>0</v>
      </c>
      <c r="Z359" s="602">
        <v>0</v>
      </c>
      <c r="AA359" s="602">
        <v>0</v>
      </c>
      <c r="AB359" s="602">
        <v>0</v>
      </c>
      <c r="AC359" s="602">
        <v>0</v>
      </c>
      <c r="AD359" s="602">
        <v>0</v>
      </c>
      <c r="AE359" s="602">
        <v>0</v>
      </c>
      <c r="AF359" s="602">
        <v>0</v>
      </c>
      <c r="AG359" s="602">
        <v>0</v>
      </c>
      <c r="AH359" s="602">
        <v>0</v>
      </c>
      <c r="AI359" s="602">
        <v>0</v>
      </c>
      <c r="AJ359" s="498">
        <v>0</v>
      </c>
      <c r="AK359" s="498">
        <v>0</v>
      </c>
      <c r="AL359" s="602">
        <v>2.89899860250426</v>
      </c>
      <c r="AM359" s="602">
        <v>-1.94935857636653</v>
      </c>
      <c r="AN359" s="498">
        <v>94490052.407793894</v>
      </c>
      <c r="AO359" s="603">
        <v>-63537455.272776298</v>
      </c>
    </row>
    <row r="360" spans="1:41" ht="12" thickBot="1">
      <c r="A360" s="918"/>
      <c r="B360" s="917" t="s">
        <v>490</v>
      </c>
      <c r="C360" s="917" t="s">
        <v>490</v>
      </c>
      <c r="D360" s="917" t="s">
        <v>490</v>
      </c>
      <c r="E360" s="917" t="s">
        <v>490</v>
      </c>
      <c r="F360" s="917" t="s">
        <v>490</v>
      </c>
      <c r="G360" s="600" t="s">
        <v>518</v>
      </c>
      <c r="H360" s="601">
        <v>999990</v>
      </c>
      <c r="I360" s="602">
        <v>0</v>
      </c>
      <c r="J360" s="602">
        <v>0</v>
      </c>
      <c r="K360" s="776">
        <v>0</v>
      </c>
      <c r="L360" s="776">
        <v>20971830.424527999</v>
      </c>
      <c r="M360" s="498">
        <v>0</v>
      </c>
      <c r="N360" s="602">
        <v>0</v>
      </c>
      <c r="O360" s="602">
        <v>0</v>
      </c>
      <c r="P360" s="498">
        <v>0</v>
      </c>
      <c r="Q360" s="602">
        <v>20971830.424527999</v>
      </c>
      <c r="R360" s="602">
        <v>0</v>
      </c>
      <c r="S360" s="602">
        <v>0</v>
      </c>
      <c r="T360" s="602">
        <v>0</v>
      </c>
      <c r="U360" s="602">
        <v>0</v>
      </c>
      <c r="V360" s="602">
        <v>0</v>
      </c>
      <c r="W360" s="602">
        <v>0</v>
      </c>
      <c r="X360" s="602">
        <v>0</v>
      </c>
      <c r="Y360" s="602">
        <v>0</v>
      </c>
      <c r="Z360" s="602">
        <v>0</v>
      </c>
      <c r="AA360" s="602">
        <v>0</v>
      </c>
      <c r="AB360" s="602">
        <v>0</v>
      </c>
      <c r="AC360" s="602">
        <v>0</v>
      </c>
      <c r="AD360" s="602">
        <v>0</v>
      </c>
      <c r="AE360" s="602">
        <v>0</v>
      </c>
      <c r="AF360" s="602">
        <v>0</v>
      </c>
      <c r="AG360" s="602">
        <v>0</v>
      </c>
      <c r="AH360" s="602">
        <v>0</v>
      </c>
      <c r="AI360" s="602">
        <v>0</v>
      </c>
      <c r="AJ360" s="498">
        <v>0</v>
      </c>
      <c r="AK360" s="498">
        <v>0</v>
      </c>
      <c r="AL360" s="602">
        <v>0</v>
      </c>
      <c r="AM360" s="602">
        <v>0</v>
      </c>
      <c r="AN360" s="498">
        <v>0</v>
      </c>
      <c r="AO360" s="603">
        <v>20971830.424527999</v>
      </c>
    </row>
    <row r="361" spans="1:41" s="500" customFormat="1" ht="12" thickBot="1">
      <c r="A361" s="919"/>
      <c r="B361" s="919"/>
      <c r="C361" s="919"/>
      <c r="D361" s="919"/>
      <c r="E361" s="919"/>
      <c r="F361" s="919"/>
      <c r="G361" s="604" t="s">
        <v>490</v>
      </c>
      <c r="H361" s="605">
        <v>999999</v>
      </c>
      <c r="I361" s="606">
        <v>7767248574.0755396</v>
      </c>
      <c r="J361" s="606">
        <v>0.90711594109611604</v>
      </c>
      <c r="K361" s="781">
        <v>3597822408.6298499</v>
      </c>
      <c r="L361" s="781">
        <v>5918997.1269810004</v>
      </c>
      <c r="M361" s="499">
        <v>0.331758987049731</v>
      </c>
      <c r="N361" s="606">
        <v>2.4941506325208098</v>
      </c>
      <c r="O361" s="606">
        <v>-1.56438400375061</v>
      </c>
      <c r="P361" s="499">
        <v>44498780.754763998</v>
      </c>
      <c r="Q361" s="606">
        <v>-27910576.005909</v>
      </c>
      <c r="R361" s="606">
        <v>-4.2554830751191E-2</v>
      </c>
      <c r="S361" s="606">
        <v>-759231.64341500006</v>
      </c>
      <c r="T361" s="606">
        <v>0</v>
      </c>
      <c r="U361" s="606">
        <v>0</v>
      </c>
      <c r="V361" s="606">
        <v>0</v>
      </c>
      <c r="W361" s="606">
        <v>0</v>
      </c>
      <c r="X361" s="606">
        <v>-1.34156737846E-4</v>
      </c>
      <c r="Y361" s="606">
        <v>-2393.5247479999998</v>
      </c>
      <c r="Z361" s="606">
        <v>0</v>
      </c>
      <c r="AA361" s="606">
        <v>0</v>
      </c>
      <c r="AB361" s="606">
        <v>0</v>
      </c>
      <c r="AC361" s="606">
        <v>0</v>
      </c>
      <c r="AD361" s="606">
        <v>0</v>
      </c>
      <c r="AE361" s="606">
        <v>0</v>
      </c>
      <c r="AF361" s="606">
        <v>0</v>
      </c>
      <c r="AG361" s="606">
        <v>0</v>
      </c>
      <c r="AH361" s="606">
        <v>0</v>
      </c>
      <c r="AI361" s="606">
        <v>0</v>
      </c>
      <c r="AJ361" s="499">
        <v>0</v>
      </c>
      <c r="AK361" s="499">
        <v>0</v>
      </c>
      <c r="AL361" s="606">
        <v>2.4514616450128299</v>
      </c>
      <c r="AM361" s="606">
        <v>-1.6066365281530199</v>
      </c>
      <c r="AN361" s="499">
        <v>43737155.586263001</v>
      </c>
      <c r="AO361" s="607">
        <v>-28664414.124265999</v>
      </c>
    </row>
    <row r="362" spans="1:41" s="500" customFormat="1">
      <c r="A362" s="296"/>
      <c r="B362" s="296"/>
      <c r="C362" s="296"/>
      <c r="D362" s="296"/>
      <c r="E362" s="296"/>
      <c r="F362" s="296"/>
      <c r="G362" s="296"/>
      <c r="H362" s="296"/>
      <c r="I362" s="296"/>
      <c r="J362" s="296"/>
      <c r="K362" s="732"/>
      <c r="L362" s="783"/>
      <c r="M362" s="296"/>
      <c r="N362" s="617"/>
      <c r="O362" s="617"/>
      <c r="P362" s="296"/>
      <c r="Q362" s="296"/>
      <c r="R362" s="296"/>
      <c r="S362" s="296"/>
      <c r="T362" s="296"/>
      <c r="U362" s="296"/>
      <c r="V362" s="296"/>
      <c r="W362" s="296"/>
      <c r="X362" s="296"/>
      <c r="Y362" s="296"/>
      <c r="Z362" s="296"/>
      <c r="AA362" s="296"/>
      <c r="AB362" s="296"/>
      <c r="AC362" s="296"/>
      <c r="AD362" s="296"/>
      <c r="AE362" s="296"/>
      <c r="AF362" s="296"/>
      <c r="AG362" s="296"/>
      <c r="AH362" s="296"/>
      <c r="AI362" s="296"/>
      <c r="AJ362" s="296"/>
      <c r="AK362" s="296"/>
      <c r="AL362" s="296"/>
      <c r="AM362" s="296"/>
      <c r="AN362" s="296"/>
      <c r="AO362" s="296"/>
    </row>
    <row r="363" spans="1:41" s="500" customFormat="1">
      <c r="A363" s="296"/>
      <c r="B363" s="296"/>
      <c r="C363" s="296"/>
      <c r="D363" s="296"/>
      <c r="E363" s="296"/>
      <c r="F363" s="296"/>
      <c r="G363" s="296"/>
      <c r="H363" s="296"/>
      <c r="I363" s="296"/>
      <c r="J363" s="296"/>
      <c r="K363" s="732"/>
      <c r="L363" s="783"/>
      <c r="M363" s="296"/>
      <c r="N363" s="617"/>
      <c r="O363" s="617"/>
      <c r="P363" s="296"/>
      <c r="Q363" s="296"/>
      <c r="R363" s="296"/>
      <c r="S363" s="296"/>
      <c r="T363" s="296"/>
      <c r="U363" s="296"/>
      <c r="V363" s="296"/>
      <c r="W363" s="296"/>
      <c r="X363" s="296"/>
      <c r="Y363" s="296"/>
      <c r="Z363" s="296"/>
      <c r="AA363" s="296"/>
      <c r="AB363" s="296"/>
      <c r="AC363" s="296"/>
      <c r="AD363" s="296"/>
      <c r="AE363" s="296"/>
      <c r="AF363" s="296"/>
      <c r="AG363" s="296"/>
      <c r="AH363" s="296"/>
      <c r="AI363" s="296"/>
      <c r="AJ363" s="296"/>
      <c r="AK363" s="296"/>
      <c r="AL363" s="296"/>
      <c r="AM363" s="296"/>
      <c r="AN363" s="296"/>
      <c r="AO363" s="296"/>
    </row>
    <row r="364" spans="1:41" s="500" customFormat="1">
      <c r="A364" s="296"/>
      <c r="B364" s="296"/>
      <c r="C364" s="296"/>
      <c r="D364" s="296"/>
      <c r="E364" s="296"/>
      <c r="F364" s="296"/>
      <c r="G364" s="296"/>
      <c r="H364" s="296"/>
      <c r="I364" s="296"/>
      <c r="J364" s="296"/>
      <c r="K364" s="732"/>
      <c r="L364" s="783"/>
      <c r="M364" s="296"/>
      <c r="N364" s="617"/>
      <c r="O364" s="617"/>
      <c r="P364" s="296"/>
      <c r="Q364" s="296"/>
      <c r="R364" s="296"/>
      <c r="S364" s="296"/>
      <c r="T364" s="296"/>
      <c r="U364" s="296"/>
      <c r="V364" s="296"/>
      <c r="W364" s="296"/>
      <c r="X364" s="296"/>
      <c r="Y364" s="296"/>
      <c r="Z364" s="296"/>
      <c r="AA364" s="296"/>
      <c r="AB364" s="296"/>
      <c r="AC364" s="296"/>
      <c r="AD364" s="296"/>
      <c r="AE364" s="296"/>
      <c r="AF364" s="296"/>
      <c r="AG364" s="296"/>
      <c r="AH364" s="296"/>
      <c r="AI364" s="296"/>
      <c r="AJ364" s="296"/>
      <c r="AK364" s="296"/>
      <c r="AL364" s="296"/>
      <c r="AM364" s="296"/>
      <c r="AN364" s="296"/>
      <c r="AO364" s="296"/>
    </row>
    <row r="365" spans="1:41" s="500" customFormat="1">
      <c r="A365" s="296"/>
      <c r="B365" s="296"/>
      <c r="C365" s="296"/>
      <c r="D365" s="296"/>
      <c r="E365" s="296"/>
      <c r="F365" s="296"/>
      <c r="G365" s="296"/>
      <c r="H365" s="296"/>
      <c r="I365" s="296"/>
      <c r="J365" s="296"/>
      <c r="K365" s="732"/>
      <c r="L365" s="783"/>
      <c r="M365" s="296"/>
      <c r="N365" s="617"/>
      <c r="O365" s="617"/>
      <c r="P365" s="296"/>
      <c r="Q365" s="296"/>
      <c r="R365" s="553"/>
      <c r="S365" s="553"/>
      <c r="T365" s="553"/>
      <c r="U365" s="553"/>
      <c r="V365" s="296"/>
      <c r="W365" s="553"/>
      <c r="X365" s="553"/>
      <c r="Y365" s="553"/>
      <c r="Z365" s="553"/>
      <c r="AA365" s="553"/>
      <c r="AB365" s="296"/>
      <c r="AC365" s="296"/>
      <c r="AD365" s="296"/>
      <c r="AE365" s="296"/>
      <c r="AF365" s="296"/>
      <c r="AG365" s="296"/>
      <c r="AH365" s="296"/>
      <c r="AI365" s="296"/>
      <c r="AJ365" s="296"/>
      <c r="AK365" s="296"/>
      <c r="AL365" s="296"/>
      <c r="AM365" s="296"/>
      <c r="AN365" s="296"/>
      <c r="AO365" s="296"/>
    </row>
    <row r="366" spans="1:41" s="500" customFormat="1">
      <c r="A366" s="296"/>
      <c r="B366" s="296"/>
      <c r="C366" s="296"/>
      <c r="D366" s="296"/>
      <c r="E366" s="296"/>
      <c r="F366" s="296"/>
      <c r="G366" s="296"/>
      <c r="H366" s="296"/>
      <c r="I366" s="296"/>
      <c r="J366" s="296"/>
      <c r="K366" s="732"/>
      <c r="L366" s="783"/>
      <c r="M366" s="296"/>
      <c r="N366" s="617"/>
      <c r="O366" s="617"/>
      <c r="P366" s="296"/>
      <c r="Q366" s="296"/>
      <c r="R366" s="553"/>
      <c r="S366" s="553"/>
      <c r="T366" s="553"/>
      <c r="U366" s="553"/>
      <c r="V366" s="296"/>
      <c r="W366" s="553"/>
      <c r="X366" s="553"/>
      <c r="Y366" s="553"/>
      <c r="Z366" s="553"/>
      <c r="AA366" s="553"/>
      <c r="AB366" s="296"/>
      <c r="AC366" s="296"/>
      <c r="AD366" s="296"/>
      <c r="AE366" s="296"/>
      <c r="AF366" s="296"/>
      <c r="AG366" s="296"/>
      <c r="AH366" s="296"/>
      <c r="AI366" s="296"/>
      <c r="AJ366" s="296"/>
      <c r="AK366" s="296"/>
      <c r="AL366" s="296"/>
      <c r="AM366" s="296"/>
      <c r="AN366" s="296"/>
      <c r="AO366" s="296"/>
    </row>
    <row r="367" spans="1:41" s="500" customFormat="1" ht="12">
      <c r="A367" s="296"/>
      <c r="B367" s="296"/>
      <c r="C367" s="296"/>
      <c r="D367" s="296"/>
      <c r="E367" s="296"/>
      <c r="F367" s="296"/>
      <c r="G367" s="296"/>
      <c r="H367" s="322" t="s">
        <v>108</v>
      </c>
      <c r="I367" s="556">
        <f>SUM(I192:I205,I210:I214,I219:I225,I252,I256,I260)</f>
        <v>163814249489.05518</v>
      </c>
      <c r="J367" s="556"/>
      <c r="K367" s="732">
        <f>SUM(K192:K205,K210:K214,K219:K225,K252,K256,K260)</f>
        <v>149861687940.00867</v>
      </c>
      <c r="L367" s="783">
        <f>SUM(L192:L205,L210:L214,L219:L225,L252,L256,L260)</f>
        <v>3962208786.0900521</v>
      </c>
      <c r="M367" s="556"/>
      <c r="N367" s="556"/>
      <c r="O367" s="662"/>
      <c r="P367" s="556"/>
      <c r="Q367" s="556"/>
      <c r="R367" s="556">
        <f>SUM(R180:R191,R194:R198,R203:R209,R233,R236,R239)</f>
        <v>-3.2296866658538383</v>
      </c>
      <c r="S367" s="556"/>
      <c r="T367" s="556">
        <f>SUM(T180:T191,T194:T198,T203:T209,T233,T236,T239)</f>
        <v>3.5213437849279048</v>
      </c>
      <c r="U367" s="556"/>
      <c r="V367" s="556"/>
      <c r="W367" s="556"/>
      <c r="X367" s="556"/>
      <c r="Y367" s="556"/>
      <c r="Z367" s="556"/>
      <c r="AA367" s="556"/>
      <c r="AB367" s="556"/>
      <c r="AC367" s="556"/>
      <c r="AD367" s="556"/>
      <c r="AE367" s="556"/>
      <c r="AF367" s="556"/>
      <c r="AG367" s="556"/>
      <c r="AH367" s="556"/>
      <c r="AI367" s="556"/>
      <c r="AJ367" s="556"/>
      <c r="AK367" s="296"/>
      <c r="AL367" s="296"/>
      <c r="AM367" s="296"/>
      <c r="AN367" s="296"/>
      <c r="AO367" s="296"/>
    </row>
    <row r="368" spans="1:41" s="500" customFormat="1" ht="12">
      <c r="A368" s="296"/>
      <c r="B368" s="296"/>
      <c r="C368" s="296"/>
      <c r="D368" s="296"/>
      <c r="E368" s="296"/>
      <c r="F368" s="296"/>
      <c r="G368" s="296"/>
      <c r="H368" s="322" t="s">
        <v>33</v>
      </c>
      <c r="I368" s="556">
        <f>SUM(I227:I251,I259)</f>
        <v>50396746271.179985</v>
      </c>
      <c r="J368" s="556"/>
      <c r="K368" s="732">
        <f>SUM(K227:K251,K259)</f>
        <v>46902419495.716797</v>
      </c>
      <c r="L368" s="783">
        <f>SUM(L227:L251,L259)</f>
        <v>1092434730.3360059</v>
      </c>
      <c r="M368" s="556"/>
      <c r="N368" s="556"/>
      <c r="O368" s="662"/>
      <c r="P368" s="556"/>
      <c r="Q368" s="556"/>
      <c r="R368" s="556">
        <f>SUM(R212:R232,R238)</f>
        <v>0</v>
      </c>
      <c r="S368" s="556"/>
      <c r="T368" s="556">
        <f>SUM(T212:T223,T238)</f>
        <v>0.235425099097642</v>
      </c>
      <c r="U368" s="556"/>
      <c r="V368" s="556"/>
      <c r="W368" s="556"/>
      <c r="X368" s="556"/>
      <c r="Y368" s="556"/>
      <c r="Z368" s="556"/>
      <c r="AA368" s="556"/>
      <c r="AB368" s="556"/>
      <c r="AC368" s="556"/>
      <c r="AD368" s="556"/>
      <c r="AE368" s="556"/>
      <c r="AF368" s="556"/>
      <c r="AG368" s="556"/>
      <c r="AH368" s="556"/>
      <c r="AI368" s="556"/>
      <c r="AJ368" s="556"/>
      <c r="AK368" s="296"/>
      <c r="AL368" s="296"/>
      <c r="AM368" s="296"/>
      <c r="AN368" s="296"/>
      <c r="AO368" s="296"/>
    </row>
    <row r="369" spans="1:41" s="500" customFormat="1" ht="12">
      <c r="A369" s="296"/>
      <c r="B369" s="296"/>
      <c r="C369" s="296"/>
      <c r="D369" s="296"/>
      <c r="E369" s="296"/>
      <c r="F369" s="296"/>
      <c r="G369" s="296"/>
      <c r="H369" s="322" t="s">
        <v>32</v>
      </c>
      <c r="I369" s="556">
        <f>SUM(I206:I209,I253:I255,I257:I258,I261)</f>
        <v>14638468369.310007</v>
      </c>
      <c r="J369" s="556"/>
      <c r="K369" s="732">
        <f>SUM(K206:K209,K253:K255,K257:K258,K261)</f>
        <v>16134579250.130713</v>
      </c>
      <c r="L369" s="783">
        <f>SUM(L206:L209,L253:L255,L257:L258,L261)</f>
        <v>550215374.929124</v>
      </c>
      <c r="M369" s="556"/>
      <c r="N369" s="556"/>
      <c r="O369" s="662"/>
      <c r="P369" s="556"/>
      <c r="Q369" s="556"/>
      <c r="R369" s="556">
        <f>SUM(R192:R193,R234:R235,R237,R240)</f>
        <v>0</v>
      </c>
      <c r="S369" s="556"/>
      <c r="T369" s="556">
        <f>SUM(T192:T193,T234:T235)</f>
        <v>1.3060187116278019</v>
      </c>
      <c r="U369" s="556"/>
      <c r="V369" s="556"/>
      <c r="W369" s="556"/>
      <c r="X369" s="556"/>
      <c r="Y369" s="556"/>
      <c r="Z369" s="556"/>
      <c r="AA369" s="556"/>
      <c r="AB369" s="556"/>
      <c r="AC369" s="556"/>
      <c r="AD369" s="556"/>
      <c r="AE369" s="556"/>
      <c r="AF369" s="556"/>
      <c r="AG369" s="556"/>
      <c r="AH369" s="556"/>
      <c r="AI369" s="556"/>
      <c r="AJ369" s="556"/>
      <c r="AK369" s="296"/>
      <c r="AL369" s="296"/>
      <c r="AM369" s="296"/>
      <c r="AN369" s="296"/>
      <c r="AO369" s="296"/>
    </row>
    <row r="370" spans="1:41" s="500" customFormat="1" ht="12">
      <c r="A370" s="296"/>
      <c r="B370" s="296"/>
      <c r="C370" s="296"/>
      <c r="D370" s="296"/>
      <c r="E370" s="296"/>
      <c r="F370" s="296"/>
      <c r="G370" s="296"/>
      <c r="H370" s="577" t="s">
        <v>3807</v>
      </c>
      <c r="I370" s="556">
        <f>I226</f>
        <v>895513.73</v>
      </c>
      <c r="J370" s="556"/>
      <c r="K370" s="732">
        <f>K226</f>
        <v>895513.73</v>
      </c>
      <c r="L370" s="783">
        <f>L226</f>
        <v>0</v>
      </c>
      <c r="M370" s="556"/>
      <c r="N370" s="556"/>
      <c r="O370" s="662"/>
      <c r="P370" s="556"/>
      <c r="Q370" s="556"/>
      <c r="R370" s="556">
        <f>R211</f>
        <v>0</v>
      </c>
      <c r="S370" s="556"/>
      <c r="T370" s="556">
        <f>T211</f>
        <v>0</v>
      </c>
      <c r="U370" s="556"/>
      <c r="V370" s="556"/>
      <c r="W370" s="556"/>
      <c r="X370" s="556"/>
      <c r="Y370" s="556"/>
      <c r="Z370" s="556"/>
      <c r="AA370" s="556"/>
      <c r="AB370" s="556"/>
      <c r="AC370" s="556"/>
      <c r="AD370" s="556"/>
      <c r="AE370" s="556"/>
      <c r="AF370" s="556"/>
      <c r="AG370" s="556"/>
      <c r="AH370" s="556"/>
      <c r="AI370" s="556"/>
      <c r="AJ370" s="556"/>
      <c r="AK370" s="296"/>
      <c r="AL370" s="296"/>
      <c r="AM370" s="296"/>
      <c r="AN370" s="296"/>
      <c r="AO370" s="296"/>
    </row>
    <row r="371" spans="1:41" s="500" customFormat="1">
      <c r="A371" s="296"/>
      <c r="B371" s="296"/>
      <c r="C371" s="296"/>
      <c r="D371" s="296"/>
      <c r="E371" s="296"/>
      <c r="F371" s="296"/>
      <c r="G371" s="296"/>
      <c r="H371" s="428" t="s">
        <v>3801</v>
      </c>
      <c r="I371" s="556">
        <f>SUM(I367:I370)</f>
        <v>228850359643.27518</v>
      </c>
      <c r="J371" s="556"/>
      <c r="K371" s="732">
        <f>SUM(K367:K370)</f>
        <v>212899582199.58618</v>
      </c>
      <c r="L371" s="783">
        <f>SUM(L367:L370)</f>
        <v>5604858891.3551817</v>
      </c>
      <c r="M371" s="556"/>
      <c r="N371" s="556"/>
      <c r="O371" s="662"/>
      <c r="P371" s="556"/>
      <c r="Q371" s="556"/>
      <c r="R371" s="556">
        <f>SUM(R367:R369)</f>
        <v>-3.2296866658538383</v>
      </c>
      <c r="S371" s="553"/>
      <c r="T371" s="556">
        <f>SUM(T367:T369)</f>
        <v>5.062787595653349</v>
      </c>
      <c r="U371" s="553"/>
      <c r="V371" s="556"/>
      <c r="W371" s="556"/>
      <c r="X371" s="553"/>
      <c r="Y371" s="553"/>
      <c r="Z371" s="556"/>
      <c r="AA371" s="553"/>
      <c r="AB371" s="296"/>
      <c r="AC371" s="296"/>
      <c r="AD371" s="296"/>
      <c r="AE371" s="296"/>
      <c r="AF371" s="296"/>
      <c r="AG371" s="296"/>
      <c r="AH371" s="296"/>
      <c r="AI371" s="296"/>
      <c r="AJ371" s="296"/>
      <c r="AK371" s="296"/>
      <c r="AL371" s="296"/>
      <c r="AM371" s="296"/>
      <c r="AN371" s="296"/>
      <c r="AO371" s="296"/>
    </row>
    <row r="372" spans="1:41" s="500" customFormat="1">
      <c r="A372" s="296"/>
      <c r="B372" s="296"/>
      <c r="C372" s="296"/>
      <c r="D372" s="296"/>
      <c r="E372" s="296"/>
      <c r="F372" s="296"/>
      <c r="G372" s="296"/>
      <c r="H372" s="296"/>
      <c r="I372" s="575"/>
      <c r="J372" s="575"/>
      <c r="K372" s="732"/>
      <c r="L372" s="783"/>
      <c r="M372" s="575"/>
      <c r="N372" s="575"/>
      <c r="O372" s="663"/>
      <c r="P372" s="575"/>
      <c r="Q372" s="575"/>
      <c r="R372" s="575"/>
      <c r="S372" s="575"/>
      <c r="T372" s="575"/>
      <c r="U372" s="575"/>
      <c r="V372" s="575"/>
      <c r="W372" s="575"/>
      <c r="X372" s="575"/>
      <c r="Y372" s="575"/>
      <c r="Z372" s="575"/>
      <c r="AA372" s="553"/>
      <c r="AB372" s="296"/>
      <c r="AC372" s="296"/>
      <c r="AD372" s="296"/>
      <c r="AE372" s="296"/>
      <c r="AF372" s="296"/>
      <c r="AG372" s="296"/>
      <c r="AH372" s="296"/>
      <c r="AI372" s="296"/>
      <c r="AJ372" s="296"/>
      <c r="AK372" s="296"/>
      <c r="AL372" s="296"/>
      <c r="AM372" s="296"/>
      <c r="AN372" s="296"/>
      <c r="AO372" s="296"/>
    </row>
    <row r="373" spans="1:41" s="545" customFormat="1">
      <c r="A373" s="296"/>
      <c r="B373" s="296"/>
      <c r="C373" s="296"/>
      <c r="D373" s="296"/>
      <c r="E373" s="296"/>
      <c r="F373" s="296"/>
      <c r="G373" s="296"/>
      <c r="H373" s="296"/>
      <c r="I373" s="556">
        <f>SUM(I192:I261)-SUM(I215:I218)-I371</f>
        <v>0</v>
      </c>
      <c r="J373" s="556"/>
      <c r="K373" s="732">
        <f>SUM(K192:K261)-SUM(K215:K218)-K371</f>
        <v>0</v>
      </c>
      <c r="L373" s="783">
        <f>SUM(L192:L261)-SUM(L215:L218)-L371</f>
        <v>0</v>
      </c>
      <c r="M373" s="556"/>
      <c r="N373" s="556"/>
      <c r="O373" s="662"/>
      <c r="P373" s="296"/>
      <c r="Q373" s="296"/>
      <c r="R373" s="556">
        <f>SUM(R180:R240)-SUM(R199:R202,R210)-R371-R370</f>
        <v>0</v>
      </c>
      <c r="S373" s="553"/>
      <c r="T373" s="556">
        <f>SUM(T180:T240)-SUM(T199:T202,T210)-T371-T370-T228</f>
        <v>2.9244876633132808</v>
      </c>
      <c r="U373" s="553"/>
      <c r="V373" s="296"/>
      <c r="W373" s="553"/>
      <c r="X373" s="553"/>
      <c r="Y373" s="553"/>
      <c r="Z373" s="553"/>
      <c r="AA373" s="553"/>
      <c r="AB373" s="296"/>
      <c r="AC373" s="296"/>
      <c r="AD373" s="296"/>
      <c r="AE373" s="296"/>
      <c r="AF373" s="296"/>
      <c r="AG373" s="296"/>
      <c r="AH373" s="296"/>
      <c r="AI373" s="296"/>
      <c r="AJ373" s="296"/>
      <c r="AK373" s="296"/>
      <c r="AL373" s="296"/>
      <c r="AM373" s="296"/>
      <c r="AN373" s="296"/>
      <c r="AO373" s="296"/>
    </row>
    <row r="374" spans="1:41" s="545" customFormat="1">
      <c r="A374" s="296"/>
      <c r="B374" s="296"/>
      <c r="C374" s="296"/>
      <c r="D374" s="296"/>
      <c r="E374" s="296"/>
      <c r="F374" s="296"/>
      <c r="G374" s="296"/>
      <c r="H374" s="296"/>
      <c r="I374" s="296"/>
      <c r="J374" s="296"/>
      <c r="K374" s="732"/>
      <c r="L374" s="783"/>
      <c r="M374" s="296"/>
      <c r="N374" s="617"/>
      <c r="O374" s="617"/>
      <c r="P374" s="296"/>
      <c r="Q374" s="296"/>
      <c r="R374" s="553"/>
      <c r="S374" s="553"/>
      <c r="T374" s="553"/>
      <c r="U374" s="553"/>
      <c r="V374" s="296"/>
      <c r="W374" s="553"/>
      <c r="X374" s="553"/>
      <c r="Y374" s="553"/>
      <c r="Z374" s="553"/>
      <c r="AA374" s="553"/>
      <c r="AB374" s="296"/>
      <c r="AC374" s="296"/>
      <c r="AD374" s="296"/>
      <c r="AE374" s="296"/>
      <c r="AF374" s="296"/>
      <c r="AG374" s="296"/>
      <c r="AH374" s="296"/>
      <c r="AI374" s="296"/>
      <c r="AJ374" s="296"/>
      <c r="AK374" s="296"/>
      <c r="AL374" s="296"/>
      <c r="AM374" s="296"/>
      <c r="AN374" s="296"/>
      <c r="AO374" s="296"/>
    </row>
    <row r="375" spans="1:41" s="545" customFormat="1">
      <c r="A375" s="296"/>
      <c r="B375" s="296"/>
      <c r="C375" s="296"/>
      <c r="D375" s="296"/>
      <c r="E375" s="296"/>
      <c r="F375" s="296"/>
      <c r="G375" s="296"/>
      <c r="H375" s="296"/>
      <c r="I375" s="296">
        <f>(I367+I369)/10^8</f>
        <v>1784.5271785836517</v>
      </c>
      <c r="J375" s="296"/>
      <c r="K375" s="732"/>
      <c r="L375" s="783"/>
      <c r="M375" s="296"/>
      <c r="N375" s="617"/>
      <c r="O375" s="617"/>
      <c r="P375" s="296"/>
      <c r="Q375" s="296"/>
      <c r="R375" s="553"/>
      <c r="S375" s="553"/>
      <c r="T375" s="553"/>
      <c r="U375" s="553"/>
      <c r="V375" s="296"/>
      <c r="W375" s="553"/>
      <c r="X375" s="553"/>
      <c r="Y375" s="553"/>
      <c r="Z375" s="553"/>
      <c r="AA375" s="553"/>
      <c r="AB375" s="296"/>
      <c r="AC375" s="296"/>
      <c r="AD375" s="296"/>
      <c r="AE375" s="296"/>
      <c r="AF375" s="296"/>
      <c r="AG375" s="296"/>
      <c r="AH375" s="296"/>
      <c r="AI375" s="296"/>
      <c r="AJ375" s="296"/>
      <c r="AK375" s="296"/>
      <c r="AL375" s="296"/>
      <c r="AM375" s="296"/>
      <c r="AN375" s="296"/>
      <c r="AO375" s="296"/>
    </row>
    <row r="376" spans="1:41" s="545" customFormat="1">
      <c r="A376" s="296"/>
      <c r="B376" s="296"/>
      <c r="C376" s="296"/>
      <c r="D376" s="296"/>
      <c r="E376" s="296"/>
      <c r="F376" s="296"/>
      <c r="G376" s="296"/>
      <c r="H376" s="296"/>
      <c r="I376" s="296">
        <f>I368/10^8</f>
        <v>503.96746271179984</v>
      </c>
      <c r="J376" s="296"/>
      <c r="K376" s="732"/>
      <c r="L376" s="783"/>
      <c r="M376" s="296"/>
      <c r="N376" s="617"/>
      <c r="O376" s="617"/>
      <c r="P376" s="296"/>
      <c r="Q376" s="296"/>
      <c r="R376" s="553"/>
      <c r="S376" s="553"/>
      <c r="T376" s="553"/>
      <c r="U376" s="553"/>
      <c r="V376" s="296"/>
      <c r="W376" s="553"/>
      <c r="X376" s="553"/>
      <c r="Y376" s="553"/>
      <c r="Z376" s="553"/>
      <c r="AA376" s="553"/>
      <c r="AB376" s="296"/>
      <c r="AC376" s="296"/>
      <c r="AD376" s="296"/>
      <c r="AE376" s="296"/>
      <c r="AF376" s="296"/>
      <c r="AG376" s="296"/>
      <c r="AH376" s="296"/>
      <c r="AI376" s="296"/>
      <c r="AJ376" s="296"/>
      <c r="AK376" s="296"/>
      <c r="AL376" s="296"/>
      <c r="AM376" s="296"/>
      <c r="AN376" s="296"/>
      <c r="AO376" s="296"/>
    </row>
    <row r="377" spans="1:41" s="544" customFormat="1">
      <c r="A377" s="296"/>
      <c r="B377" s="296"/>
      <c r="C377" s="296"/>
      <c r="D377" s="296"/>
      <c r="E377" s="296"/>
      <c r="F377" s="296"/>
      <c r="G377" s="296"/>
      <c r="H377" s="296"/>
      <c r="I377" s="296"/>
      <c r="J377" s="296"/>
      <c r="K377" s="732"/>
      <c r="L377" s="783"/>
      <c r="M377" s="296"/>
      <c r="N377" s="617"/>
      <c r="O377" s="617"/>
      <c r="P377" s="296"/>
      <c r="Q377" s="296"/>
      <c r="R377" s="553"/>
      <c r="S377" s="553"/>
      <c r="T377" s="553"/>
      <c r="U377" s="553"/>
      <c r="V377" s="296"/>
      <c r="W377" s="553"/>
      <c r="X377" s="553"/>
      <c r="Y377" s="553"/>
      <c r="Z377" s="553"/>
      <c r="AA377" s="553"/>
      <c r="AB377" s="296"/>
      <c r="AC377" s="296"/>
      <c r="AD377" s="296"/>
      <c r="AE377" s="296"/>
      <c r="AF377" s="296"/>
      <c r="AG377" s="296"/>
      <c r="AH377" s="296"/>
      <c r="AI377" s="296"/>
      <c r="AJ377" s="296"/>
      <c r="AK377" s="296"/>
      <c r="AL377" s="296"/>
      <c r="AM377" s="296"/>
      <c r="AN377" s="296"/>
      <c r="AO377" s="296"/>
    </row>
    <row r="378" spans="1:41" s="500" customFormat="1">
      <c r="A378" s="296"/>
      <c r="B378" s="296"/>
      <c r="C378" s="296"/>
      <c r="D378" s="296"/>
      <c r="E378" s="296"/>
      <c r="F378" s="296"/>
      <c r="G378" s="296"/>
      <c r="H378" s="296"/>
      <c r="I378" s="296">
        <f>(I368+I369)/10^8</f>
        <v>650.35214640489994</v>
      </c>
      <c r="J378" s="296"/>
      <c r="K378" s="732"/>
      <c r="L378" s="783"/>
      <c r="M378" s="296"/>
      <c r="N378" s="617"/>
      <c r="O378" s="617"/>
      <c r="P378" s="296"/>
      <c r="Q378" s="296"/>
      <c r="R378" s="553"/>
      <c r="S378" s="553"/>
      <c r="T378" s="553"/>
      <c r="U378" s="553"/>
      <c r="V378" s="296"/>
      <c r="W378" s="553"/>
      <c r="X378" s="553"/>
      <c r="Y378" s="553"/>
      <c r="Z378" s="553"/>
      <c r="AA378" s="553"/>
      <c r="AB378" s="296"/>
      <c r="AC378" s="296"/>
      <c r="AD378" s="296"/>
      <c r="AE378" s="296"/>
      <c r="AF378" s="296"/>
      <c r="AG378" s="296"/>
      <c r="AH378" s="296"/>
      <c r="AI378" s="296"/>
      <c r="AJ378" s="296"/>
      <c r="AK378" s="296"/>
      <c r="AL378" s="296"/>
      <c r="AM378" s="296"/>
      <c r="AN378" s="296"/>
      <c r="AO378" s="296"/>
    </row>
    <row r="379" spans="1:41" s="500" customFormat="1">
      <c r="K379" s="782"/>
      <c r="L379" s="785"/>
      <c r="N379" s="617"/>
      <c r="O379" s="617"/>
      <c r="R379" s="553"/>
      <c r="S379" s="553"/>
      <c r="T379" s="553"/>
      <c r="U379" s="553"/>
      <c r="W379" s="553"/>
      <c r="X379" s="553"/>
      <c r="Y379" s="553"/>
      <c r="Z379" s="553"/>
      <c r="AA379" s="553"/>
      <c r="AC379" s="529"/>
    </row>
    <row r="380" spans="1:41" s="500" customFormat="1">
      <c r="K380" s="782"/>
      <c r="L380" s="785"/>
      <c r="N380" s="617"/>
      <c r="O380" s="617"/>
      <c r="R380" s="553"/>
      <c r="S380" s="553"/>
      <c r="T380" s="553"/>
      <c r="U380" s="553"/>
      <c r="W380" s="553"/>
      <c r="X380" s="553"/>
      <c r="Y380" s="553"/>
      <c r="Z380" s="553"/>
      <c r="AA380" s="553"/>
      <c r="AC380" s="529"/>
    </row>
    <row r="381" spans="1:41" s="500" customFormat="1">
      <c r="K381" s="782"/>
      <c r="L381" s="785"/>
      <c r="N381" s="617"/>
      <c r="O381" s="617"/>
      <c r="R381" s="553"/>
      <c r="S381" s="553"/>
      <c r="T381" s="553"/>
      <c r="U381" s="553"/>
      <c r="W381" s="553"/>
      <c r="X381" s="553"/>
      <c r="Y381" s="553"/>
      <c r="Z381" s="553"/>
      <c r="AA381" s="553"/>
      <c r="AC381" s="529"/>
    </row>
    <row r="382" spans="1:41" s="500" customFormat="1">
      <c r="K382" s="782"/>
      <c r="L382" s="785"/>
      <c r="N382" s="617"/>
      <c r="O382" s="617"/>
      <c r="R382" s="553"/>
      <c r="S382" s="553"/>
      <c r="T382" s="553"/>
      <c r="U382" s="553"/>
      <c r="W382" s="553"/>
      <c r="X382" s="553"/>
      <c r="Y382" s="553"/>
      <c r="Z382" s="553"/>
      <c r="AA382" s="553"/>
      <c r="AC382" s="529"/>
    </row>
    <row r="383" spans="1:41" s="500" customFormat="1">
      <c r="K383" s="782"/>
      <c r="L383" s="785"/>
      <c r="N383" s="617"/>
      <c r="O383" s="617"/>
      <c r="R383" s="553"/>
      <c r="S383" s="553"/>
      <c r="T383" s="553"/>
      <c r="U383" s="553"/>
      <c r="W383" s="553"/>
      <c r="X383" s="553"/>
      <c r="Y383" s="553"/>
      <c r="Z383" s="553"/>
      <c r="AA383" s="553"/>
      <c r="AC383" s="529"/>
    </row>
  </sheetData>
  <mergeCells count="236">
    <mergeCell ref="F278:F279"/>
    <mergeCell ref="F282:F285"/>
    <mergeCell ref="F286:F290"/>
    <mergeCell ref="A2:AO2"/>
    <mergeCell ref="A3:AO3"/>
    <mergeCell ref="A4:AO4"/>
    <mergeCell ref="A5:H5"/>
    <mergeCell ref="I5:J5"/>
    <mergeCell ref="E268:E269"/>
    <mergeCell ref="E21:E25"/>
    <mergeCell ref="E9:E15"/>
    <mergeCell ref="E250:E251"/>
    <mergeCell ref="F260:F261"/>
    <mergeCell ref="R5:S5"/>
    <mergeCell ref="D53:D57"/>
    <mergeCell ref="E53:E57"/>
    <mergeCell ref="F53:F57"/>
    <mergeCell ref="E270:E271"/>
    <mergeCell ref="E240:E241"/>
    <mergeCell ref="C7:C16"/>
    <mergeCell ref="D7:D15"/>
    <mergeCell ref="E7:E8"/>
    <mergeCell ref="F7:F8"/>
    <mergeCell ref="E17:E20"/>
    <mergeCell ref="F22:F24"/>
    <mergeCell ref="F18:F19"/>
    <mergeCell ref="AL5:AO5"/>
    <mergeCell ref="E272:E273"/>
    <mergeCell ref="B227:B261"/>
    <mergeCell ref="C227:C237"/>
    <mergeCell ref="D227:D229"/>
    <mergeCell ref="D230:D235"/>
    <mergeCell ref="D236:D237"/>
    <mergeCell ref="D255:D258"/>
    <mergeCell ref="E256:E258"/>
    <mergeCell ref="F256:F258"/>
    <mergeCell ref="C259:C261"/>
    <mergeCell ref="D260:D261"/>
    <mergeCell ref="E260:E261"/>
    <mergeCell ref="AH5:AI5"/>
    <mergeCell ref="AJ5:AK5"/>
    <mergeCell ref="K5:M5"/>
    <mergeCell ref="T5:U5"/>
    <mergeCell ref="V5:W5"/>
    <mergeCell ref="X5:Y5"/>
    <mergeCell ref="Z5:AA5"/>
    <mergeCell ref="AB5:AC5"/>
    <mergeCell ref="AD5:AE5"/>
    <mergeCell ref="AF5:AG5"/>
    <mergeCell ref="N5:Q5"/>
    <mergeCell ref="F240:F241"/>
    <mergeCell ref="D244:D248"/>
    <mergeCell ref="E244:E248"/>
    <mergeCell ref="F244:F246"/>
    <mergeCell ref="D250:D251"/>
    <mergeCell ref="F250:F251"/>
    <mergeCell ref="C252:C254"/>
    <mergeCell ref="D252:D254"/>
    <mergeCell ref="E252:E254"/>
    <mergeCell ref="F252:F254"/>
    <mergeCell ref="F78:F79"/>
    <mergeCell ref="C81:C82"/>
    <mergeCell ref="C83:C130"/>
    <mergeCell ref="D83:D130"/>
    <mergeCell ref="E83:E94"/>
    <mergeCell ref="F84:F88"/>
    <mergeCell ref="F90:F91"/>
    <mergeCell ref="E95:E108"/>
    <mergeCell ref="F96:F100"/>
    <mergeCell ref="F102:F104"/>
    <mergeCell ref="E109:E120"/>
    <mergeCell ref="F109:F112"/>
    <mergeCell ref="B319:B327"/>
    <mergeCell ref="C320:C323"/>
    <mergeCell ref="B296:B299"/>
    <mergeCell ref="C296:C297"/>
    <mergeCell ref="D296:D297"/>
    <mergeCell ref="E296:E297"/>
    <mergeCell ref="F296:F297"/>
    <mergeCell ref="C298:C299"/>
    <mergeCell ref="D298:D299"/>
    <mergeCell ref="E298:E299"/>
    <mergeCell ref="F298:F299"/>
    <mergeCell ref="B300:B318"/>
    <mergeCell ref="C300:C304"/>
    <mergeCell ref="D300:D304"/>
    <mergeCell ref="E300:E304"/>
    <mergeCell ref="F300:F304"/>
    <mergeCell ref="C305:C311"/>
    <mergeCell ref="D305:D311"/>
    <mergeCell ref="E305:E311"/>
    <mergeCell ref="F305:F311"/>
    <mergeCell ref="C312:C318"/>
    <mergeCell ref="D312:D318"/>
    <mergeCell ref="E312:E318"/>
    <mergeCell ref="F312:F318"/>
    <mergeCell ref="A7:A191"/>
    <mergeCell ref="B7:B130"/>
    <mergeCell ref="C17:C58"/>
    <mergeCell ref="D17:D42"/>
    <mergeCell ref="E26:E31"/>
    <mergeCell ref="F26:F27"/>
    <mergeCell ref="F28:F31"/>
    <mergeCell ref="E32:E36"/>
    <mergeCell ref="F33:F36"/>
    <mergeCell ref="E37:E40"/>
    <mergeCell ref="F38:F40"/>
    <mergeCell ref="E41:E42"/>
    <mergeCell ref="D43:D44"/>
    <mergeCell ref="E43:E44"/>
    <mergeCell ref="F43:F44"/>
    <mergeCell ref="D45:D52"/>
    <mergeCell ref="E50:E52"/>
    <mergeCell ref="F50:F52"/>
    <mergeCell ref="C59:C80"/>
    <mergeCell ref="D59:D80"/>
    <mergeCell ref="E59:E80"/>
    <mergeCell ref="F59:F64"/>
    <mergeCell ref="F65:F66"/>
    <mergeCell ref="F67:F71"/>
    <mergeCell ref="F113:F114"/>
    <mergeCell ref="F115:F116"/>
    <mergeCell ref="E121:E123"/>
    <mergeCell ref="E124:E128"/>
    <mergeCell ref="F126:F127"/>
    <mergeCell ref="E129:E130"/>
    <mergeCell ref="B131:B191"/>
    <mergeCell ref="C131:C138"/>
    <mergeCell ref="D131:D138"/>
    <mergeCell ref="E135:E136"/>
    <mergeCell ref="F135:F136"/>
    <mergeCell ref="C139:C187"/>
    <mergeCell ref="D139:D154"/>
    <mergeCell ref="D155:D157"/>
    <mergeCell ref="D159:D165"/>
    <mergeCell ref="D168:D178"/>
    <mergeCell ref="E170:E171"/>
    <mergeCell ref="F170:F171"/>
    <mergeCell ref="D179:D185"/>
    <mergeCell ref="E181:E185"/>
    <mergeCell ref="D186:D187"/>
    <mergeCell ref="E186:E187"/>
    <mergeCell ref="F186:F187"/>
    <mergeCell ref="C188:C190"/>
    <mergeCell ref="D188:D190"/>
    <mergeCell ref="E188:E190"/>
    <mergeCell ref="F200:F201"/>
    <mergeCell ref="D202:D203"/>
    <mergeCell ref="E202:E203"/>
    <mergeCell ref="F202:F203"/>
    <mergeCell ref="C204:C205"/>
    <mergeCell ref="C206:C209"/>
    <mergeCell ref="D206:D207"/>
    <mergeCell ref="E206:E207"/>
    <mergeCell ref="F206:F207"/>
    <mergeCell ref="D208:D209"/>
    <mergeCell ref="E208:E209"/>
    <mergeCell ref="F208:F209"/>
    <mergeCell ref="D291:D292"/>
    <mergeCell ref="E291:E292"/>
    <mergeCell ref="B293:B295"/>
    <mergeCell ref="C293:C295"/>
    <mergeCell ref="D293:D295"/>
    <mergeCell ref="A192:A261"/>
    <mergeCell ref="B192:B225"/>
    <mergeCell ref="C192:C199"/>
    <mergeCell ref="D192:D197"/>
    <mergeCell ref="C200:C203"/>
    <mergeCell ref="D200:D201"/>
    <mergeCell ref="E200:E201"/>
    <mergeCell ref="C210:C214"/>
    <mergeCell ref="C215:C218"/>
    <mergeCell ref="D215:D216"/>
    <mergeCell ref="C219:C222"/>
    <mergeCell ref="C223:C224"/>
    <mergeCell ref="E293:E295"/>
    <mergeCell ref="C238:C251"/>
    <mergeCell ref="D240:D241"/>
    <mergeCell ref="C255:C258"/>
    <mergeCell ref="B328:B330"/>
    <mergeCell ref="C328:C330"/>
    <mergeCell ref="D328:D330"/>
    <mergeCell ref="E328:E330"/>
    <mergeCell ref="F328:F330"/>
    <mergeCell ref="A262:A332"/>
    <mergeCell ref="B262:B267"/>
    <mergeCell ref="C262:C267"/>
    <mergeCell ref="D262:D267"/>
    <mergeCell ref="E262:E263"/>
    <mergeCell ref="B268:B279"/>
    <mergeCell ref="C268:C279"/>
    <mergeCell ref="D268:D279"/>
    <mergeCell ref="E274:E275"/>
    <mergeCell ref="E278:E279"/>
    <mergeCell ref="B280:B290"/>
    <mergeCell ref="C280:C281"/>
    <mergeCell ref="C282:C290"/>
    <mergeCell ref="D282:D285"/>
    <mergeCell ref="E282:E285"/>
    <mergeCell ref="D286:D290"/>
    <mergeCell ref="E286:E290"/>
    <mergeCell ref="B291:B292"/>
    <mergeCell ref="C291:C292"/>
    <mergeCell ref="D351:D352"/>
    <mergeCell ref="D353:D354"/>
    <mergeCell ref="D320:D323"/>
    <mergeCell ref="E320:E323"/>
    <mergeCell ref="F320:F323"/>
    <mergeCell ref="C324:C327"/>
    <mergeCell ref="D324:D327"/>
    <mergeCell ref="E324:E327"/>
    <mergeCell ref="F324:F327"/>
    <mergeCell ref="A357:A361"/>
    <mergeCell ref="B360:B361"/>
    <mergeCell ref="C360:C361"/>
    <mergeCell ref="D360:D361"/>
    <mergeCell ref="E360:E361"/>
    <mergeCell ref="F360:F361"/>
    <mergeCell ref="A333:A356"/>
    <mergeCell ref="B333:B349"/>
    <mergeCell ref="C333:C348"/>
    <mergeCell ref="D333:D336"/>
    <mergeCell ref="E333:E334"/>
    <mergeCell ref="E335:E336"/>
    <mergeCell ref="D337:D340"/>
    <mergeCell ref="E337:E338"/>
    <mergeCell ref="E339:E340"/>
    <mergeCell ref="D341:D344"/>
    <mergeCell ref="E341:E342"/>
    <mergeCell ref="E343:E344"/>
    <mergeCell ref="D345:D346"/>
    <mergeCell ref="E345:E346"/>
    <mergeCell ref="D347:D348"/>
    <mergeCell ref="E347:E348"/>
    <mergeCell ref="B350:B356"/>
    <mergeCell ref="C350:C355"/>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9"/>
  <sheetViews>
    <sheetView topLeftCell="A2" workbookViewId="0">
      <selection activeCell="A27" sqref="A27:XFD27"/>
    </sheetView>
  </sheetViews>
  <sheetFormatPr defaultRowHeight="12"/>
  <cols>
    <col min="1" max="1" width="11.25" style="124" bestFit="1" customWidth="1"/>
    <col min="2" max="2" width="18" style="124" customWidth="1"/>
    <col min="3" max="3" width="22.875" style="124" customWidth="1"/>
    <col min="4" max="4" width="19.875" style="124" customWidth="1"/>
    <col min="5" max="5" width="9.125" style="124" bestFit="1" customWidth="1"/>
    <col min="6" max="7" width="11.25" style="124" bestFit="1" customWidth="1"/>
    <col min="8" max="8" width="10.25" style="124" bestFit="1" customWidth="1"/>
    <col min="9" max="9" width="9.125" style="124" bestFit="1" customWidth="1"/>
    <col min="10" max="10" width="9.375" style="124" bestFit="1" customWidth="1"/>
    <col min="11" max="16384" width="9" style="124"/>
  </cols>
  <sheetData>
    <row r="1" spans="2:10">
      <c r="B1" s="154">
        <v>42370</v>
      </c>
      <c r="C1" s="154">
        <v>42735</v>
      </c>
      <c r="D1" s="124">
        <v>366</v>
      </c>
      <c r="E1" s="124">
        <v>366</v>
      </c>
    </row>
    <row r="2" spans="2:10">
      <c r="C2" s="124" t="s">
        <v>4385</v>
      </c>
      <c r="G2" s="124" t="s">
        <v>4386</v>
      </c>
    </row>
    <row r="3" spans="2:10">
      <c r="C3" s="124" t="s">
        <v>128</v>
      </c>
      <c r="D3" s="124" t="s">
        <v>4387</v>
      </c>
      <c r="E3" s="124" t="s">
        <v>4388</v>
      </c>
      <c r="G3" s="124" t="s">
        <v>128</v>
      </c>
      <c r="H3" s="124" t="s">
        <v>4387</v>
      </c>
      <c r="J3" s="124" t="s">
        <v>4389</v>
      </c>
    </row>
    <row r="4" spans="2:10">
      <c r="B4" s="124" t="s">
        <v>139</v>
      </c>
    </row>
    <row r="5" spans="2:10">
      <c r="B5" s="124" t="s">
        <v>4390</v>
      </c>
      <c r="C5" s="152">
        <v>62811363171.334732</v>
      </c>
      <c r="D5" s="152">
        <v>314247919.03000003</v>
      </c>
      <c r="E5" s="152">
        <v>0.50030424936456974</v>
      </c>
      <c r="G5" s="152">
        <v>628.11363171334733</v>
      </c>
      <c r="H5" s="152">
        <v>3.1424791903000004</v>
      </c>
      <c r="I5" s="661">
        <v>0.40820174152655653</v>
      </c>
      <c r="J5" s="765">
        <v>0.27393960169105136</v>
      </c>
    </row>
    <row r="6" spans="2:10">
      <c r="B6" s="124" t="s">
        <v>171</v>
      </c>
      <c r="C6" s="152">
        <v>91061971460.796906</v>
      </c>
      <c r="D6" s="152">
        <v>3014478196.9000001</v>
      </c>
      <c r="E6" s="152">
        <v>3.3103590319234009</v>
      </c>
      <c r="G6" s="152">
        <v>910.61971460796906</v>
      </c>
      <c r="H6" s="152">
        <v>30.144781969</v>
      </c>
      <c r="I6" s="661"/>
      <c r="J6" s="765"/>
    </row>
    <row r="7" spans="2:10">
      <c r="B7" s="124" t="s">
        <v>4391</v>
      </c>
      <c r="C7" s="152">
        <v>73192429897.190063</v>
      </c>
      <c r="D7" s="152">
        <v>227875276.28</v>
      </c>
      <c r="E7" s="152">
        <v>0.31133721970986017</v>
      </c>
      <c r="G7" s="152">
        <v>731.92429897190061</v>
      </c>
      <c r="H7" s="152">
        <v>2.2787527627999999</v>
      </c>
      <c r="I7" s="661">
        <v>0.4106644092781403</v>
      </c>
      <c r="J7" s="765">
        <v>0.22866610691351219</v>
      </c>
    </row>
    <row r="8" spans="2:10">
      <c r="B8" s="124" t="s">
        <v>172</v>
      </c>
      <c r="C8" s="152">
        <v>105036869364.089</v>
      </c>
      <c r="D8" s="152">
        <v>2737942101.21</v>
      </c>
      <c r="E8" s="152">
        <v>2.6066486156584494</v>
      </c>
      <c r="F8" s="765"/>
      <c r="G8" s="152">
        <v>1050.3686936408901</v>
      </c>
      <c r="H8" s="152">
        <v>27.3794210121</v>
      </c>
      <c r="I8" s="152"/>
    </row>
    <row r="9" spans="2:10">
      <c r="B9" s="124" t="s">
        <v>523</v>
      </c>
      <c r="C9" s="152">
        <v>32835802493.045765</v>
      </c>
      <c r="D9" s="152">
        <v>1144380005.1800001</v>
      </c>
      <c r="E9" s="152">
        <v>3.4851592417221</v>
      </c>
      <c r="G9" s="152">
        <v>328.35802493045765</v>
      </c>
      <c r="H9" s="152">
        <v>11.4438000518</v>
      </c>
      <c r="I9" s="152"/>
    </row>
    <row r="10" spans="2:10">
      <c r="B10" s="124" t="s">
        <v>4392</v>
      </c>
      <c r="C10" s="152">
        <v>364938436386.45648</v>
      </c>
      <c r="D10" s="152">
        <v>7438923498.6000004</v>
      </c>
      <c r="E10" s="152">
        <v>2.0384050450422961</v>
      </c>
      <c r="G10" s="152">
        <v>3649.3843638645649</v>
      </c>
      <c r="H10" s="152">
        <v>74.389234985999991</v>
      </c>
    </row>
    <row r="11" spans="2:10">
      <c r="B11" s="124" t="s">
        <v>3289</v>
      </c>
      <c r="C11" s="152">
        <v>228934643317.9317</v>
      </c>
      <c r="D11" s="152">
        <v>6896800303.2900009</v>
      </c>
      <c r="E11" s="152">
        <v>3.0125629757625227</v>
      </c>
      <c r="G11" s="152">
        <v>2289.346433179317</v>
      </c>
      <c r="H11" s="152">
        <v>68.968003032900015</v>
      </c>
    </row>
    <row r="12" spans="2:10">
      <c r="B12" s="124" t="s">
        <v>3290</v>
      </c>
      <c r="C12" s="152">
        <v>111147201846.88869</v>
      </c>
      <c r="D12" s="152">
        <v>3734420912.0799999</v>
      </c>
      <c r="E12" s="152">
        <v>3.3598874735725404</v>
      </c>
      <c r="G12" s="152">
        <v>1111.472018468887</v>
      </c>
      <c r="H12" s="152">
        <v>37.344209120800002</v>
      </c>
    </row>
    <row r="13" spans="2:10">
      <c r="B13" s="124" t="s">
        <v>3291</v>
      </c>
      <c r="C13" s="152">
        <v>117787441471.043</v>
      </c>
      <c r="D13" s="152">
        <v>3162379391.21</v>
      </c>
      <c r="E13" s="152">
        <v>2.6848188157541761</v>
      </c>
      <c r="G13" s="152">
        <v>1177.8744147104301</v>
      </c>
      <c r="H13" s="152">
        <v>31.623793912100002</v>
      </c>
    </row>
    <row r="14" spans="2:10">
      <c r="B14" s="124" t="s">
        <v>3292</v>
      </c>
      <c r="C14" s="152">
        <v>136003793068.5248</v>
      </c>
      <c r="D14" s="152">
        <v>542123195.31000006</v>
      </c>
      <c r="E14" s="152">
        <v>0.39860887926622324</v>
      </c>
      <c r="G14" s="152">
        <v>1360.0379306852481</v>
      </c>
      <c r="H14" s="152">
        <v>5.4212319531000004</v>
      </c>
    </row>
    <row r="15" spans="2:10">
      <c r="B15" s="124" t="s">
        <v>4393</v>
      </c>
      <c r="C15" s="152">
        <v>62811363171.334732</v>
      </c>
      <c r="D15" s="152">
        <v>4048668831.1100001</v>
      </c>
      <c r="E15" s="152">
        <v>6.4457585804437603</v>
      </c>
      <c r="G15" s="152">
        <v>628.11363171334733</v>
      </c>
      <c r="H15" s="152">
        <v>40.486688311100004</v>
      </c>
    </row>
    <row r="16" spans="2:10">
      <c r="B16" s="124" t="s">
        <v>4394</v>
      </c>
      <c r="C16" s="152">
        <v>73192429897.190063</v>
      </c>
      <c r="D16" s="152">
        <v>3390254667.4900002</v>
      </c>
      <c r="E16" s="152">
        <v>4.6319744709283874</v>
      </c>
      <c r="G16" s="152">
        <v>731.92429897190061</v>
      </c>
      <c r="H16" s="152">
        <v>33.902546674900002</v>
      </c>
    </row>
    <row r="17" spans="2:9">
      <c r="C17" s="152">
        <v>0</v>
      </c>
      <c r="D17" s="152"/>
      <c r="E17" s="152"/>
    </row>
    <row r="18" spans="2:9">
      <c r="B18" s="124" t="s">
        <v>40</v>
      </c>
      <c r="C18" s="152">
        <f>C5+C6</f>
        <v>153873334632.13165</v>
      </c>
      <c r="D18" s="152">
        <f>D5+D6</f>
        <v>3328726115.9300003</v>
      </c>
      <c r="E18" s="152">
        <f>D18/C18*100</f>
        <v>2.1632897758978569</v>
      </c>
    </row>
    <row r="19" spans="2:9">
      <c r="B19" s="124" t="s">
        <v>43</v>
      </c>
      <c r="C19" s="152">
        <f>C7+C8</f>
        <v>178229299261.27905</v>
      </c>
      <c r="D19" s="152">
        <f>D7+D8</f>
        <v>2965817377.4900002</v>
      </c>
      <c r="E19" s="152">
        <f>D19/C19*100</f>
        <v>1.6640459171318387</v>
      </c>
    </row>
    <row r="20" spans="2:9">
      <c r="C20" s="152"/>
      <c r="D20" s="152"/>
      <c r="E20" s="152"/>
    </row>
    <row r="21" spans="2:9">
      <c r="B21" s="124" t="s">
        <v>165</v>
      </c>
      <c r="C21" s="152"/>
      <c r="D21" s="152"/>
      <c r="E21" s="152"/>
    </row>
    <row r="22" spans="2:9">
      <c r="B22" s="124" t="s">
        <v>4395</v>
      </c>
      <c r="C22" s="152">
        <v>129495935527.49669</v>
      </c>
      <c r="D22" s="152">
        <v>7119781065.9251347</v>
      </c>
      <c r="E22" s="152">
        <v>5.4980729989114954</v>
      </c>
      <c r="G22" s="152">
        <v>1294.9593552749668</v>
      </c>
      <c r="H22" s="152">
        <v>71.197810659251346</v>
      </c>
      <c r="I22" s="152"/>
    </row>
    <row r="23" spans="2:9">
      <c r="B23" s="124" t="s">
        <v>168</v>
      </c>
      <c r="C23" s="152">
        <v>37823993638.860779</v>
      </c>
      <c r="D23" s="152">
        <v>1877047601.0251977</v>
      </c>
      <c r="E23" s="152">
        <v>4.9625843821438753</v>
      </c>
      <c r="G23" s="152">
        <v>378.23993638860782</v>
      </c>
      <c r="H23" s="152">
        <v>18.770476010251979</v>
      </c>
      <c r="I23" s="152"/>
    </row>
    <row r="24" spans="2:9">
      <c r="B24" s="124" t="s">
        <v>167</v>
      </c>
      <c r="C24" s="152">
        <v>20021368040.002556</v>
      </c>
      <c r="D24" s="152">
        <v>1542118334.4596665</v>
      </c>
      <c r="E24" s="152">
        <v>7.7023624528479999</v>
      </c>
      <c r="G24" s="152">
        <v>200.21368040002557</v>
      </c>
      <c r="H24" s="152">
        <v>15.421183344596665</v>
      </c>
      <c r="I24" s="152"/>
    </row>
    <row r="25" spans="2:9">
      <c r="B25" s="124" t="s">
        <v>4396</v>
      </c>
      <c r="C25" s="152">
        <v>28418409368.752331</v>
      </c>
      <c r="D25" s="152">
        <v>1011836498.61</v>
      </c>
      <c r="E25" s="152">
        <v>3.5604965974013036</v>
      </c>
      <c r="G25" s="152">
        <v>284.18409368752333</v>
      </c>
      <c r="H25" s="152">
        <v>10.1183649861</v>
      </c>
      <c r="I25" s="152"/>
    </row>
    <row r="26" spans="2:9">
      <c r="B26" s="124" t="s">
        <v>494</v>
      </c>
      <c r="C26" s="152">
        <v>5007531174.729454</v>
      </c>
      <c r="D26" s="152">
        <v>174211633.03</v>
      </c>
      <c r="E26" s="152">
        <v>3.4789924805493047</v>
      </c>
      <c r="F26" s="152"/>
      <c r="G26" s="152">
        <v>50.075311747294542</v>
      </c>
      <c r="H26" s="152">
        <v>1.7421163303</v>
      </c>
      <c r="I26" s="152"/>
    </row>
    <row r="27" spans="2:9">
      <c r="B27" s="124" t="s">
        <v>4392</v>
      </c>
      <c r="C27" s="152">
        <v>220767237749.84183</v>
      </c>
      <c r="D27" s="152">
        <v>11724995133.050001</v>
      </c>
      <c r="E27" s="152">
        <v>5.3110213510647597</v>
      </c>
      <c r="G27" s="152">
        <v>2207.6723774984184</v>
      </c>
      <c r="H27" s="152">
        <v>117.24995133050001</v>
      </c>
    </row>
    <row r="28" spans="2:9">
      <c r="C28" s="152"/>
      <c r="D28" s="152"/>
      <c r="E28" s="152"/>
    </row>
    <row r="29" spans="2:9">
      <c r="B29" s="124" t="s">
        <v>4397</v>
      </c>
      <c r="C29" s="152">
        <v>57845361678.863335</v>
      </c>
      <c r="D29" s="152">
        <v>3419165935.4848642</v>
      </c>
      <c r="E29" s="152">
        <v>5.9108731214558663</v>
      </c>
      <c r="G29" s="152">
        <v>578.45361678863333</v>
      </c>
      <c r="H29" s="152">
        <v>34.191659354848639</v>
      </c>
    </row>
    <row r="30" spans="2:9">
      <c r="B30" s="124" t="s">
        <v>3293</v>
      </c>
      <c r="C30" s="152">
        <v>192348828381.08951</v>
      </c>
      <c r="D30" s="152">
        <v>10713158634.440001</v>
      </c>
      <c r="E30" s="152">
        <v>5.5696510993114261</v>
      </c>
      <c r="G30" s="152">
        <v>1923.4882838108952</v>
      </c>
      <c r="H30" s="152">
        <v>107.13158634440001</v>
      </c>
    </row>
    <row r="31" spans="2:9">
      <c r="C31" s="152"/>
      <c r="D31" s="152"/>
      <c r="E31" s="152"/>
      <c r="G31" s="152"/>
      <c r="H31" s="152"/>
    </row>
    <row r="32" spans="2:9">
      <c r="B32" s="124" t="s">
        <v>451</v>
      </c>
    </row>
    <row r="33" spans="2:11">
      <c r="B33" s="124" t="s">
        <v>137</v>
      </c>
      <c r="C33" s="152">
        <v>57958754090.479256</v>
      </c>
      <c r="D33" s="152">
        <v>892904701.23000002</v>
      </c>
      <c r="E33" s="152">
        <v>1.5405864312336475</v>
      </c>
      <c r="G33" s="152">
        <v>579.5875409047926</v>
      </c>
      <c r="H33" s="152">
        <v>8.9290470122999999</v>
      </c>
      <c r="I33" s="152"/>
    </row>
    <row r="34" spans="2:11">
      <c r="B34" s="124" t="s">
        <v>3354</v>
      </c>
      <c r="C34" s="152">
        <v>14332536966.015696</v>
      </c>
      <c r="D34" s="152">
        <v>454411171.49999994</v>
      </c>
      <c r="E34" s="152">
        <v>3.1704866526942701</v>
      </c>
      <c r="G34" s="152">
        <v>143.32536966015695</v>
      </c>
      <c r="H34" s="152">
        <v>4.5441117149999997</v>
      </c>
      <c r="I34" s="152"/>
    </row>
    <row r="35" spans="2:11">
      <c r="B35" s="124" t="s">
        <v>163</v>
      </c>
      <c r="C35" s="152">
        <v>29023581578.082218</v>
      </c>
      <c r="D35" s="152">
        <v>808605396.60000002</v>
      </c>
      <c r="E35" s="152">
        <v>2.7860289896496981</v>
      </c>
      <c r="G35" s="152">
        <v>290.23581578082218</v>
      </c>
      <c r="H35" s="152">
        <v>8.0860539659999997</v>
      </c>
      <c r="I35" s="152"/>
    </row>
    <row r="36" spans="2:11">
      <c r="B36" s="124" t="s">
        <v>1062</v>
      </c>
      <c r="C36" s="152">
        <v>90384360996.692368</v>
      </c>
      <c r="D36" s="152">
        <v>3271614042.3099995</v>
      </c>
      <c r="E36" s="152">
        <v>3.6196682769375608</v>
      </c>
      <c r="G36" s="152">
        <v>903.84360996692362</v>
      </c>
      <c r="H36" s="152">
        <v>32.716140423099993</v>
      </c>
      <c r="I36" s="152"/>
    </row>
    <row r="37" spans="2:11">
      <c r="B37" s="124" t="s">
        <v>135</v>
      </c>
      <c r="C37" s="152">
        <v>99139446900.006454</v>
      </c>
      <c r="D37" s="152">
        <v>3453348831.3499999</v>
      </c>
      <c r="E37" s="152">
        <v>3.4833246899522243</v>
      </c>
      <c r="G37" s="152">
        <v>991.39446900006453</v>
      </c>
      <c r="H37" s="152">
        <v>34.533488313500001</v>
      </c>
      <c r="I37" s="152"/>
    </row>
    <row r="38" spans="2:11">
      <c r="B38" s="124" t="s">
        <v>136</v>
      </c>
      <c r="C38" s="152">
        <v>39149594136.794548</v>
      </c>
      <c r="D38" s="152">
        <v>2037027167.01</v>
      </c>
      <c r="E38" s="152">
        <v>5.203188467017875</v>
      </c>
      <c r="G38" s="152">
        <v>391.49594136794548</v>
      </c>
      <c r="H38" s="152">
        <v>20.370271670099999</v>
      </c>
      <c r="I38" s="152"/>
      <c r="K38" s="152"/>
    </row>
    <row r="39" spans="2:11">
      <c r="B39" s="124" t="s">
        <v>4392</v>
      </c>
      <c r="C39" s="152">
        <v>272029520577.59131</v>
      </c>
      <c r="D39" s="152">
        <v>10025006608.77</v>
      </c>
      <c r="E39" s="152">
        <v>3.6852642270163307</v>
      </c>
      <c r="G39" s="152"/>
      <c r="H39" s="152"/>
      <c r="I39" s="152"/>
    </row>
    <row r="40" spans="2:11">
      <c r="C40" s="152"/>
      <c r="D40" s="152"/>
      <c r="E40" s="152"/>
      <c r="G40" s="152"/>
      <c r="H40" s="152"/>
      <c r="I40" s="152"/>
    </row>
    <row r="41" spans="2:11">
      <c r="B41" s="124" t="s">
        <v>4398</v>
      </c>
      <c r="C41" s="152">
        <v>272029520577.59131</v>
      </c>
      <c r="D41" s="152">
        <v>10025006608.77</v>
      </c>
      <c r="E41" s="152">
        <v>3.6852642270163307</v>
      </c>
      <c r="G41" s="152">
        <v>2720.295205775913</v>
      </c>
      <c r="H41" s="152">
        <v>100.25006608770001</v>
      </c>
      <c r="I41" s="152"/>
    </row>
    <row r="42" spans="2:11">
      <c r="B42" s="124" t="s">
        <v>25</v>
      </c>
      <c r="C42" s="152">
        <f>C34+C35</f>
        <v>43356118544.097916</v>
      </c>
      <c r="D42" s="152">
        <f>D34+D35</f>
        <v>1263016568.0999999</v>
      </c>
      <c r="E42" s="152">
        <f>D42/C42*100</f>
        <v>2.9131218626394655</v>
      </c>
      <c r="G42" s="152"/>
      <c r="H42" s="152"/>
      <c r="I42" s="152"/>
    </row>
    <row r="43" spans="2:11">
      <c r="C43" s="152"/>
      <c r="D43" s="152"/>
      <c r="E43" s="152"/>
      <c r="G43" s="152"/>
      <c r="H43" s="152"/>
      <c r="I43" s="152"/>
    </row>
    <row r="44" spans="2:11">
      <c r="B44" s="124" t="s">
        <v>37</v>
      </c>
      <c r="C44" s="152">
        <v>58177774897.127831</v>
      </c>
      <c r="D44" s="152">
        <v>1668325772.6900001</v>
      </c>
      <c r="E44" s="152">
        <v>2.8676342050551047</v>
      </c>
      <c r="G44" s="152">
        <v>581.77774897127836</v>
      </c>
      <c r="H44" s="152">
        <v>16.683257726899999</v>
      </c>
      <c r="I44" s="152"/>
    </row>
    <row r="45" spans="2:11">
      <c r="B45" s="124" t="s">
        <v>4399</v>
      </c>
      <c r="C45" s="152">
        <v>19836959693.203449</v>
      </c>
      <c r="D45" s="152">
        <v>451394045.22000003</v>
      </c>
      <c r="E45" s="152">
        <v>2.2755203025121684</v>
      </c>
      <c r="G45" s="152">
        <v>198.36959693203448</v>
      </c>
      <c r="H45" s="152">
        <v>4.5139404522</v>
      </c>
      <c r="I45" s="152"/>
    </row>
    <row r="46" spans="2:11">
      <c r="B46" s="124" t="s">
        <v>141</v>
      </c>
      <c r="C46" s="152">
        <v>7594608221.6318159</v>
      </c>
      <c r="D46" s="152">
        <v>475568698.42000002</v>
      </c>
      <c r="E46" s="152">
        <v>6.2619253625938445</v>
      </c>
      <c r="G46" s="152">
        <v>75.94608221631816</v>
      </c>
      <c r="H46" s="152">
        <v>4.7556869842000005</v>
      </c>
      <c r="I46" s="152"/>
    </row>
    <row r="47" spans="2:11">
      <c r="B47" s="124" t="s">
        <v>485</v>
      </c>
      <c r="C47" s="152">
        <v>60972766365.508018</v>
      </c>
      <c r="D47" s="152">
        <v>1885863689.0899999</v>
      </c>
      <c r="E47" s="152">
        <v>3.0929606798303699</v>
      </c>
      <c r="G47" s="152">
        <v>609.72766365508016</v>
      </c>
      <c r="H47" s="152">
        <v>18.858636890899998</v>
      </c>
      <c r="I47" s="152"/>
    </row>
    <row r="48" spans="2:11">
      <c r="B48" s="124" t="s">
        <v>4392</v>
      </c>
      <c r="C48" s="152">
        <v>85609342811.963104</v>
      </c>
      <c r="D48" s="152">
        <v>2595288516.3299999</v>
      </c>
      <c r="E48" s="152">
        <v>3.031548229531944</v>
      </c>
    </row>
    <row r="50" spans="2:8">
      <c r="B50" s="124" t="s">
        <v>4400</v>
      </c>
      <c r="C50" s="152">
        <v>138987500955.83929</v>
      </c>
      <c r="D50" s="152">
        <v>4005583507</v>
      </c>
      <c r="E50" s="152">
        <v>2.8819739037344805</v>
      </c>
      <c r="G50" s="152">
        <v>1389.875009558393</v>
      </c>
      <c r="H50" s="152">
        <v>40.055835070000001</v>
      </c>
    </row>
    <row r="54" spans="2:8">
      <c r="B54" s="124" t="s">
        <v>4401</v>
      </c>
      <c r="C54" s="152">
        <v>550755512417.91235</v>
      </c>
      <c r="D54" s="152">
        <v>22642906443.049999</v>
      </c>
      <c r="E54" s="152">
        <v>4.1112446326036229</v>
      </c>
    </row>
    <row r="55" spans="2:8">
      <c r="B55" s="124" t="s">
        <v>4402</v>
      </c>
      <c r="C55" s="152">
        <v>450547779198.41956</v>
      </c>
      <c r="D55" s="152">
        <v>10034212014.93</v>
      </c>
      <c r="E55" s="152">
        <v>2.2271138552235481</v>
      </c>
    </row>
    <row r="56" spans="2:8">
      <c r="E56" s="152">
        <v>1.8841307773800748</v>
      </c>
    </row>
    <row r="57" spans="2:8">
      <c r="C57" s="152"/>
      <c r="D57" s="152"/>
      <c r="E57" s="152">
        <v>2.2893451166318139</v>
      </c>
    </row>
    <row r="58" spans="2:8">
      <c r="C58" s="152">
        <v>272029520577.59131</v>
      </c>
    </row>
    <row r="60" spans="2:8">
      <c r="C60" s="152"/>
      <c r="D60" s="152"/>
    </row>
    <row r="61" spans="2:8">
      <c r="C61" s="152"/>
      <c r="D61" s="152"/>
    </row>
    <row r="63" spans="2:8">
      <c r="C63" s="124" t="s">
        <v>128</v>
      </c>
      <c r="D63" s="124" t="s">
        <v>4387</v>
      </c>
    </row>
    <row r="65" spans="1:9">
      <c r="A65" s="124">
        <v>2001</v>
      </c>
      <c r="B65" s="124" t="s">
        <v>230</v>
      </c>
      <c r="C65" s="365">
        <v>60557929921.456017</v>
      </c>
      <c r="D65" s="365">
        <v>310056698</v>
      </c>
      <c r="E65" s="661">
        <v>5.1200015985048584E-3</v>
      </c>
    </row>
    <row r="66" spans="1:9">
      <c r="A66" s="124">
        <v>2002</v>
      </c>
      <c r="B66" s="124" t="s">
        <v>241</v>
      </c>
      <c r="C66" s="365">
        <v>74218817342.773376</v>
      </c>
      <c r="D66" s="365">
        <v>2662701285.0799999</v>
      </c>
      <c r="E66" s="661">
        <v>3.5876363709523122E-2</v>
      </c>
    </row>
    <row r="67" spans="1:9">
      <c r="A67" s="124">
        <v>2003</v>
      </c>
      <c r="B67" s="124" t="s">
        <v>325</v>
      </c>
      <c r="C67" s="365">
        <v>73119142580.338745</v>
      </c>
      <c r="D67" s="365">
        <v>227730740.46000001</v>
      </c>
      <c r="E67" s="661">
        <v>3.1145160135019863E-3</v>
      </c>
    </row>
    <row r="68" spans="1:9">
      <c r="A68" s="124">
        <v>2004</v>
      </c>
      <c r="B68" s="124" t="s">
        <v>334</v>
      </c>
      <c r="C68" s="365">
        <v>104769924463.78592</v>
      </c>
      <c r="D68" s="365">
        <v>2733060599.5999999</v>
      </c>
      <c r="E68" s="661">
        <v>2.6086308772177186E-2</v>
      </c>
    </row>
    <row r="69" spans="1:9">
      <c r="A69" s="124">
        <v>2005</v>
      </c>
      <c r="B69" s="124" t="s">
        <v>521</v>
      </c>
      <c r="C69" s="365">
        <v>32668267.862650283</v>
      </c>
      <c r="D69" s="365">
        <v>0</v>
      </c>
      <c r="E69" s="661">
        <v>0</v>
      </c>
    </row>
    <row r="70" spans="1:9">
      <c r="A70" s="124">
        <v>2006</v>
      </c>
      <c r="B70" s="124" t="s">
        <v>324</v>
      </c>
      <c r="C70" s="365">
        <v>477549344.78530109</v>
      </c>
      <c r="D70" s="365">
        <v>1699105</v>
      </c>
      <c r="E70" s="661">
        <v>3.5579673986651404E-3</v>
      </c>
    </row>
    <row r="71" spans="1:9">
      <c r="A71" s="124">
        <v>2008</v>
      </c>
      <c r="B71" s="124" t="s">
        <v>523</v>
      </c>
      <c r="C71" s="365">
        <v>32835802493.045765</v>
      </c>
      <c r="D71" s="365">
        <v>1144380005.1800001</v>
      </c>
      <c r="E71" s="661">
        <v>3.4851592417220995E-2</v>
      </c>
    </row>
    <row r="72" spans="1:9">
      <c r="B72" s="124" t="s">
        <v>4403</v>
      </c>
      <c r="C72" s="365">
        <v>19680953063.687405</v>
      </c>
      <c r="D72" s="365">
        <v>706741719.12</v>
      </c>
      <c r="E72" s="661">
        <v>3.5909933672063007E-2</v>
      </c>
      <c r="F72" s="152" t="s">
        <v>171</v>
      </c>
      <c r="G72" s="152">
        <v>110742924524.48431</v>
      </c>
      <c r="H72" s="152">
        <v>3721219916.02</v>
      </c>
      <c r="I72" s="661">
        <v>6.7761597794421452E-2</v>
      </c>
    </row>
    <row r="73" spans="1:9">
      <c r="B73" s="124" t="s">
        <v>4404</v>
      </c>
      <c r="C73" s="365">
        <v>12750572106.953989</v>
      </c>
      <c r="D73" s="365">
        <v>424437290</v>
      </c>
      <c r="E73" s="661">
        <v>3.3287705558601381E-2</v>
      </c>
      <c r="F73" s="152" t="s">
        <v>172</v>
      </c>
      <c r="G73" s="152">
        <v>117787441471.043</v>
      </c>
      <c r="H73" s="152">
        <v>3162379391.21</v>
      </c>
      <c r="I73" s="661">
        <v>5.4141373908854935E-2</v>
      </c>
    </row>
    <row r="74" spans="1:9">
      <c r="B74" s="124" t="s">
        <v>4405</v>
      </c>
      <c r="C74" s="365">
        <v>404277322.40437156</v>
      </c>
      <c r="D74" s="365">
        <v>13200996.060000001</v>
      </c>
      <c r="E74" s="661">
        <v>3.2653318225937804E-2</v>
      </c>
      <c r="F74" s="152"/>
      <c r="G74" s="152"/>
      <c r="H74" s="152"/>
      <c r="I74" s="661"/>
    </row>
    <row r="75" spans="1:9">
      <c r="C75" s="152">
        <v>0</v>
      </c>
      <c r="D75" s="152">
        <v>6.1467289924621582E-8</v>
      </c>
    </row>
    <row r="76" spans="1:9">
      <c r="C76" s="152"/>
      <c r="D76" s="152"/>
      <c r="E76" s="661"/>
    </row>
    <row r="77" spans="1:9">
      <c r="C77" s="152"/>
      <c r="D77" s="152"/>
      <c r="E77" s="661"/>
    </row>
    <row r="78" spans="1:9">
      <c r="A78" s="124">
        <v>2009</v>
      </c>
      <c r="B78" s="124" t="s">
        <v>524</v>
      </c>
      <c r="C78" s="365">
        <v>6298633879.7814207</v>
      </c>
      <c r="D78" s="365">
        <v>170849520.28999999</v>
      </c>
      <c r="E78" s="661">
        <v>2.7124853349299441E-2</v>
      </c>
    </row>
    <row r="79" spans="1:9">
      <c r="A79" s="124">
        <v>2011</v>
      </c>
      <c r="B79" s="124" t="s">
        <v>525</v>
      </c>
      <c r="C79" s="365">
        <v>1421668519.8546455</v>
      </c>
    </row>
    <row r="80" spans="1:9">
      <c r="A80" s="124">
        <v>2012</v>
      </c>
      <c r="B80" s="124" t="s">
        <v>526</v>
      </c>
      <c r="C80" s="365">
        <v>1438493.4150000026</v>
      </c>
    </row>
    <row r="81" spans="1:5">
      <c r="A81" s="124">
        <v>2013</v>
      </c>
      <c r="B81" s="124" t="s">
        <v>527</v>
      </c>
      <c r="C81" s="152">
        <v>4098.3606557377052</v>
      </c>
    </row>
    <row r="82" spans="1:5">
      <c r="A82" s="124">
        <v>2014</v>
      </c>
      <c r="B82" s="124" t="s">
        <v>528</v>
      </c>
      <c r="C82" s="365">
        <v>11204856980.996971</v>
      </c>
      <c r="D82" s="365">
        <v>188445544.99000001</v>
      </c>
      <c r="E82" s="661">
        <v>1.6818201723555845E-2</v>
      </c>
    </row>
    <row r="83" spans="1:5">
      <c r="B83" s="124" t="s">
        <v>293</v>
      </c>
      <c r="C83" s="152">
        <v>1507975621.829973</v>
      </c>
      <c r="D83" s="365">
        <v>12874998.489999998</v>
      </c>
      <c r="E83" s="661">
        <v>8.537935430531567E-3</v>
      </c>
    </row>
    <row r="84" spans="1:5">
      <c r="B84" s="124" t="s">
        <v>316</v>
      </c>
      <c r="C84" s="152">
        <v>9389317409.875246</v>
      </c>
      <c r="D84" s="365">
        <v>170544509.06999996</v>
      </c>
      <c r="E84" s="661">
        <v>1.8163674911088765E-2</v>
      </c>
    </row>
    <row r="85" spans="1:5">
      <c r="B85" s="124" t="s">
        <v>369</v>
      </c>
      <c r="C85" s="152">
        <v>40619048.9886612</v>
      </c>
      <c r="D85" s="365">
        <v>144535.82</v>
      </c>
      <c r="E85" s="661">
        <v>3.5583260464898412E-3</v>
      </c>
    </row>
    <row r="86" spans="1:5">
      <c r="B86" s="124" t="s">
        <v>373</v>
      </c>
      <c r="C86" s="152">
        <v>266944900.30308744</v>
      </c>
      <c r="D86" s="365">
        <v>4881501.6099999994</v>
      </c>
      <c r="E86" s="661">
        <v>1.8286551286267598E-2</v>
      </c>
    </row>
    <row r="87" spans="1:5">
      <c r="B87" s="124" t="s">
        <v>287</v>
      </c>
      <c r="C87" s="365">
        <v>1155202828.3668599</v>
      </c>
      <c r="D87" s="365">
        <v>10382882.460000001</v>
      </c>
      <c r="E87" s="661">
        <v>8.9879302621501973E-3</v>
      </c>
    </row>
    <row r="88" spans="1:5">
      <c r="C88" s="152">
        <v>3.2186508178710938E-6</v>
      </c>
      <c r="D88" s="365">
        <v>3.7252902984619141E-8</v>
      </c>
    </row>
    <row r="89" spans="1:5">
      <c r="C89" s="152">
        <v>0</v>
      </c>
      <c r="D89" s="365">
        <v>0</v>
      </c>
    </row>
    <row r="90" spans="1:5">
      <c r="D90" s="152"/>
    </row>
    <row r="91" spans="1:5">
      <c r="A91" s="124" t="s">
        <v>2548</v>
      </c>
      <c r="B91" s="124" t="s">
        <v>2549</v>
      </c>
      <c r="C91" s="365">
        <v>220767237749.8418</v>
      </c>
      <c r="D91" s="365">
        <v>11724995133.050001</v>
      </c>
      <c r="E91" s="661">
        <v>5.3110213510647604E-2</v>
      </c>
    </row>
    <row r="92" spans="1:5">
      <c r="A92" s="124" t="s">
        <v>2550</v>
      </c>
      <c r="B92" s="124" t="s">
        <v>2551</v>
      </c>
      <c r="C92" s="365">
        <v>11329268302.805359</v>
      </c>
      <c r="D92" s="365"/>
      <c r="E92" s="661"/>
    </row>
    <row r="93" spans="1:5">
      <c r="A93" s="124">
        <v>1301</v>
      </c>
      <c r="B93" s="124" t="s">
        <v>835</v>
      </c>
      <c r="C93" s="365">
        <v>7187057032.3286266</v>
      </c>
      <c r="D93" s="365">
        <v>538319537.38</v>
      </c>
      <c r="E93" s="661">
        <v>7.490124747285927E-2</v>
      </c>
    </row>
    <row r="94" spans="1:5">
      <c r="A94" s="124">
        <v>1302</v>
      </c>
      <c r="B94" s="124" t="s">
        <v>859</v>
      </c>
      <c r="C94" s="365">
        <v>1587692.516420766</v>
      </c>
      <c r="D94" s="365">
        <v>3282.22</v>
      </c>
      <c r="E94" s="661">
        <v>2.0672894569027209E-3</v>
      </c>
    </row>
    <row r="95" spans="1:5">
      <c r="A95" s="124">
        <v>1303</v>
      </c>
      <c r="B95" s="124" t="s">
        <v>860</v>
      </c>
      <c r="C95" s="365">
        <v>4140623577.9603019</v>
      </c>
      <c r="D95" s="365">
        <v>232009890</v>
      </c>
      <c r="E95" s="661">
        <v>5.6032596451158108E-2</v>
      </c>
    </row>
    <row r="96" spans="1:5">
      <c r="A96" s="124">
        <v>1304</v>
      </c>
      <c r="B96" s="124" t="s">
        <v>876</v>
      </c>
      <c r="C96" s="365">
        <v>174900438667.68756</v>
      </c>
      <c r="D96" s="365">
        <v>9635401694.3799992</v>
      </c>
      <c r="E96" s="661">
        <v>5.5090780605115304E-2</v>
      </c>
    </row>
    <row r="97" spans="1:6">
      <c r="A97" s="124">
        <v>1305</v>
      </c>
      <c r="B97" s="124" t="s">
        <v>494</v>
      </c>
      <c r="C97" s="365">
        <v>5007531174.729454</v>
      </c>
      <c r="D97" s="365">
        <v>174211633.03</v>
      </c>
      <c r="E97" s="661">
        <v>3.4789924805493054E-2</v>
      </c>
    </row>
    <row r="98" spans="1:6">
      <c r="A98" s="124">
        <v>1306</v>
      </c>
      <c r="B98" s="124" t="s">
        <v>932</v>
      </c>
      <c r="C98" s="365">
        <v>28418409368.752331</v>
      </c>
      <c r="D98" s="365">
        <v>1011836498.61</v>
      </c>
      <c r="E98" s="661">
        <v>3.5604965974013039E-2</v>
      </c>
      <c r="F98" s="124" t="s">
        <v>4406</v>
      </c>
    </row>
    <row r="99" spans="1:6">
      <c r="A99" s="124">
        <v>1307</v>
      </c>
      <c r="B99" s="124" t="s">
        <v>956</v>
      </c>
      <c r="C99" s="365">
        <v>706436991.23262119</v>
      </c>
      <c r="D99" s="365">
        <v>932091.61</v>
      </c>
      <c r="E99" s="661">
        <v>1.3194263912676019E-3</v>
      </c>
    </row>
    <row r="100" spans="1:6">
      <c r="A100" s="124">
        <v>1308</v>
      </c>
      <c r="B100" s="124" t="s">
        <v>415</v>
      </c>
      <c r="C100" s="365">
        <v>405153244.63450855</v>
      </c>
      <c r="D100" s="365">
        <v>9379240.2699999996</v>
      </c>
      <c r="E100" s="661">
        <v>2.314985846518661E-2</v>
      </c>
    </row>
    <row r="101" spans="1:6">
      <c r="A101" s="124">
        <v>1309</v>
      </c>
      <c r="B101" s="124" t="s">
        <v>974</v>
      </c>
      <c r="C101" s="365">
        <v>6735835166.3291874</v>
      </c>
      <c r="D101" s="365">
        <v>122207574.09</v>
      </c>
      <c r="E101" s="661">
        <v>1.8142898552637711E-2</v>
      </c>
      <c r="F101" s="124" t="s">
        <v>2552</v>
      </c>
    </row>
    <row r="102" spans="1:6">
      <c r="B102" s="124" t="s">
        <v>2538</v>
      </c>
      <c r="C102" s="365">
        <v>0</v>
      </c>
      <c r="D102" s="365"/>
      <c r="E102" s="661"/>
    </row>
    <row r="103" spans="1:6">
      <c r="D103" s="365">
        <v>693691.46</v>
      </c>
      <c r="E103" s="661"/>
      <c r="F103" s="124" t="s">
        <v>2553</v>
      </c>
    </row>
    <row r="104" spans="1:6">
      <c r="D104" s="152"/>
    </row>
    <row r="105" spans="1:6">
      <c r="D105" s="152"/>
    </row>
    <row r="108" spans="1:6">
      <c r="B108" s="124" t="s">
        <v>4407</v>
      </c>
    </row>
    <row r="109" spans="1:6">
      <c r="B109" s="124" t="s">
        <v>4395</v>
      </c>
      <c r="C109" s="152">
        <v>129585698867.87608</v>
      </c>
      <c r="D109" s="152">
        <v>7032882824.6034184</v>
      </c>
      <c r="E109" s="661">
        <v>5.4272060003890212E-2</v>
      </c>
    </row>
    <row r="110" spans="1:6">
      <c r="B110" s="124" t="s">
        <v>168</v>
      </c>
      <c r="C110" s="152">
        <v>37850212284.269867</v>
      </c>
      <c r="D110" s="152">
        <v>1851665811.9088678</v>
      </c>
      <c r="E110" s="661">
        <v>4.8920883138042527E-2</v>
      </c>
    </row>
    <row r="111" spans="1:6">
      <c r="B111" s="124" t="s">
        <v>167</v>
      </c>
      <c r="C111" s="152">
        <v>20035246351.062397</v>
      </c>
      <c r="D111" s="152">
        <v>1528682996.397171</v>
      </c>
      <c r="E111" s="661">
        <v>7.6299685544725562E-2</v>
      </c>
    </row>
    <row r="112" spans="1:6">
      <c r="B112" s="124" t="s">
        <v>4408</v>
      </c>
      <c r="C112" s="152">
        <v>-129860296.84832764</v>
      </c>
      <c r="D112" s="365">
        <v>125715368.50054169</v>
      </c>
      <c r="F112" s="124" t="s">
        <v>4409</v>
      </c>
    </row>
    <row r="113" spans="1:10">
      <c r="C113" s="152"/>
      <c r="D113" s="365"/>
    </row>
    <row r="115" spans="1:10">
      <c r="A115" s="124" t="s">
        <v>4403</v>
      </c>
      <c r="B115" s="124">
        <v>999999</v>
      </c>
      <c r="C115" s="365"/>
      <c r="D115" s="365"/>
    </row>
    <row r="116" spans="1:10">
      <c r="B116" s="124">
        <v>370081</v>
      </c>
      <c r="C116" s="365"/>
      <c r="D116" s="365"/>
      <c r="F116" s="124" t="s">
        <v>4410</v>
      </c>
    </row>
    <row r="117" spans="1:10">
      <c r="B117" s="124">
        <v>999990</v>
      </c>
      <c r="C117" s="365"/>
      <c r="D117" s="365"/>
    </row>
    <row r="118" spans="1:10">
      <c r="C118" s="152"/>
    </row>
    <row r="119" spans="1:10">
      <c r="B119" s="124" t="s">
        <v>4411</v>
      </c>
    </row>
    <row r="120" spans="1:10">
      <c r="B120" s="124" t="s">
        <v>4395</v>
      </c>
      <c r="C120" s="152">
        <v>129495935527.49669</v>
      </c>
      <c r="D120" s="152">
        <v>7119781065.9251347</v>
      </c>
      <c r="E120" s="661">
        <v>5.4980729989114963E-2</v>
      </c>
      <c r="F120" s="152">
        <v>129585698867.87608</v>
      </c>
      <c r="G120" s="152">
        <v>7032882824.6034184</v>
      </c>
      <c r="J120" s="152">
        <v>-89763340.379394531</v>
      </c>
    </row>
    <row r="121" spans="1:10">
      <c r="B121" s="124" t="s">
        <v>168</v>
      </c>
      <c r="C121" s="152">
        <v>37823993638.860779</v>
      </c>
      <c r="D121" s="152">
        <v>1877047601.0251977</v>
      </c>
      <c r="E121" s="661">
        <v>4.9625843821438746E-2</v>
      </c>
      <c r="F121" s="152">
        <v>37850212284.269867</v>
      </c>
      <c r="G121" s="152">
        <v>1851665811.9088678</v>
      </c>
      <c r="J121" s="152">
        <v>-26218645.409088135</v>
      </c>
    </row>
    <row r="122" spans="1:10">
      <c r="B122" s="124" t="s">
        <v>167</v>
      </c>
      <c r="C122" s="152">
        <v>20021368040.002556</v>
      </c>
      <c r="D122" s="152">
        <v>1542118334.4596665</v>
      </c>
      <c r="E122" s="661">
        <v>7.7023624528480009E-2</v>
      </c>
      <c r="F122" s="152">
        <v>20035246351.062397</v>
      </c>
      <c r="G122" s="152">
        <v>1528682996.397171</v>
      </c>
      <c r="J122" s="152">
        <v>-13878311.059841156</v>
      </c>
    </row>
    <row r="123" spans="1:10">
      <c r="C123" s="152">
        <v>0</v>
      </c>
      <c r="D123" s="152">
        <v>0</v>
      </c>
    </row>
    <row r="124" spans="1:10">
      <c r="F124" s="152">
        <v>-89763340.379394531</v>
      </c>
      <c r="G124" s="152">
        <v>-30757470.399566699</v>
      </c>
    </row>
    <row r="125" spans="1:10">
      <c r="F125" s="152">
        <v>-26218645.409088135</v>
      </c>
      <c r="G125" s="152">
        <v>-13207523.4191055</v>
      </c>
    </row>
    <row r="126" spans="1:10">
      <c r="A126" s="124">
        <v>1002</v>
      </c>
      <c r="B126" s="124" t="s">
        <v>609</v>
      </c>
      <c r="C126" s="152">
        <v>57958754090.479256</v>
      </c>
      <c r="D126" s="152">
        <v>892904701.23000002</v>
      </c>
      <c r="E126" s="661">
        <v>1.5405864312336476E-2</v>
      </c>
      <c r="F126" s="152">
        <v>-13878311.059841156</v>
      </c>
    </row>
    <row r="127" spans="1:10">
      <c r="A127" s="124">
        <v>1011</v>
      </c>
      <c r="B127" s="124" t="s">
        <v>624</v>
      </c>
      <c r="C127" s="152">
        <v>11804969879.080673</v>
      </c>
      <c r="D127" s="152">
        <v>394947733.07999998</v>
      </c>
      <c r="E127" s="661">
        <v>3.345605597688802E-2</v>
      </c>
    </row>
    <row r="128" spans="1:10">
      <c r="A128" s="124">
        <v>1012</v>
      </c>
      <c r="B128" s="124" t="s">
        <v>634</v>
      </c>
      <c r="C128" s="152">
        <v>414106034.75021881</v>
      </c>
      <c r="D128" s="152">
        <v>3939644.51</v>
      </c>
      <c r="E128" s="661">
        <v>9.5136128899360791E-3</v>
      </c>
    </row>
    <row r="129" spans="1:6">
      <c r="A129" s="124">
        <v>1013</v>
      </c>
      <c r="B129" s="124" t="s">
        <v>640</v>
      </c>
      <c r="C129" s="152">
        <v>2322451489.3432736</v>
      </c>
      <c r="D129" s="152">
        <v>64302454.840000004</v>
      </c>
      <c r="E129" s="661">
        <v>2.7687318824550777E-2</v>
      </c>
    </row>
    <row r="130" spans="1:6">
      <c r="A130" s="124">
        <v>1014</v>
      </c>
      <c r="B130" s="124" t="s">
        <v>2648</v>
      </c>
      <c r="C130" s="152">
        <v>0</v>
      </c>
      <c r="D130" s="152">
        <v>51473</v>
      </c>
      <c r="E130" s="661" t="e">
        <v>#DIV/0!</v>
      </c>
    </row>
    <row r="131" spans="1:6">
      <c r="A131" s="124">
        <v>1031</v>
      </c>
      <c r="B131" s="124" t="s">
        <v>644</v>
      </c>
      <c r="C131" s="152">
        <v>1228142.0765027322</v>
      </c>
      <c r="D131" s="152">
        <v>19604.95</v>
      </c>
      <c r="E131" s="661">
        <v>1.5963096106785316E-2</v>
      </c>
    </row>
    <row r="132" spans="1:6">
      <c r="A132" s="124">
        <v>1101</v>
      </c>
      <c r="B132" s="124" t="s">
        <v>648</v>
      </c>
      <c r="C132" s="152">
        <v>45320355417.701698</v>
      </c>
      <c r="D132" s="152">
        <v>1215529472.02</v>
      </c>
      <c r="E132" s="661">
        <v>2.6820828319127125E-2</v>
      </c>
      <c r="F132" s="124" t="s">
        <v>1995</v>
      </c>
    </row>
    <row r="133" spans="1:6">
      <c r="A133" s="124">
        <v>1111</v>
      </c>
      <c r="B133" s="124" t="s">
        <v>660</v>
      </c>
      <c r="C133" s="152">
        <v>30740723654.584949</v>
      </c>
      <c r="D133" s="152">
        <v>854459728.11000001</v>
      </c>
      <c r="E133" s="661">
        <v>2.7795693351628636E-2</v>
      </c>
    </row>
    <row r="134" spans="1:6">
      <c r="A134" s="124">
        <v>1501</v>
      </c>
      <c r="B134" s="124" t="s">
        <v>1028</v>
      </c>
      <c r="C134" s="152">
        <v>14787434111.026556</v>
      </c>
      <c r="D134" s="152">
        <v>615346148.17999995</v>
      </c>
      <c r="E134" s="661">
        <v>4.1612773626572196E-2</v>
      </c>
    </row>
    <row r="135" spans="1:6">
      <c r="A135" s="124">
        <v>1503</v>
      </c>
      <c r="B135" s="124" t="s">
        <v>1036</v>
      </c>
      <c r="C135" s="152">
        <v>55139926806.302658</v>
      </c>
      <c r="D135" s="152">
        <v>1849108680.8800001</v>
      </c>
      <c r="E135" s="661">
        <v>3.3534841048585534E-2</v>
      </c>
    </row>
    <row r="136" spans="1:6">
      <c r="A136" s="124">
        <v>1531</v>
      </c>
      <c r="B136" s="124" t="s">
        <v>1062</v>
      </c>
      <c r="C136" s="152">
        <v>111498325042.72475</v>
      </c>
      <c r="D136" s="152">
        <v>5027301669.1999998</v>
      </c>
      <c r="E136" s="661">
        <v>4.5088584669532944E-2</v>
      </c>
    </row>
    <row r="137" spans="1:6">
      <c r="C137" s="152"/>
      <c r="D137" s="152"/>
      <c r="E137" s="661"/>
    </row>
    <row r="138" spans="1:6">
      <c r="C138" s="152"/>
      <c r="D138" s="152"/>
      <c r="E138" s="661"/>
    </row>
    <row r="139" spans="1:6">
      <c r="D139" s="152"/>
      <c r="E139" s="661"/>
    </row>
    <row r="140" spans="1:6">
      <c r="A140" s="766"/>
      <c r="B140" s="766" t="s">
        <v>136</v>
      </c>
      <c r="E140" s="661"/>
      <c r="F140" s="124" t="s">
        <v>2650</v>
      </c>
    </row>
    <row r="142" spans="1:6">
      <c r="A142" s="124">
        <v>2017</v>
      </c>
      <c r="B142" s="124" t="s">
        <v>1333</v>
      </c>
      <c r="C142" s="152">
        <v>50601497559.422913</v>
      </c>
      <c r="D142" s="152">
        <v>1513583505.29</v>
      </c>
      <c r="E142" s="661">
        <v>2.991183222418569E-2</v>
      </c>
    </row>
    <row r="143" spans="1:6">
      <c r="A143" s="124">
        <v>2018</v>
      </c>
      <c r="B143" s="124" t="s">
        <v>1347</v>
      </c>
      <c r="C143" s="152">
        <v>0</v>
      </c>
      <c r="D143" s="152"/>
    </row>
    <row r="144" spans="1:6">
      <c r="A144" s="124">
        <v>2019</v>
      </c>
      <c r="B144" s="124" t="s">
        <v>1349</v>
      </c>
      <c r="C144" s="152">
        <v>4681277337.7049179</v>
      </c>
      <c r="D144" s="152">
        <v>104269993.42</v>
      </c>
      <c r="E144" s="661">
        <v>2.2273833806035571E-2</v>
      </c>
    </row>
    <row r="145" spans="1:6">
      <c r="A145" s="124">
        <v>2020</v>
      </c>
      <c r="B145" s="124" t="s">
        <v>2557</v>
      </c>
      <c r="C145" s="152">
        <v>0</v>
      </c>
    </row>
    <row r="146" spans="1:6">
      <c r="A146" s="124">
        <v>2101</v>
      </c>
      <c r="B146" s="766" t="s">
        <v>484</v>
      </c>
      <c r="C146" s="152">
        <v>2895000000</v>
      </c>
      <c r="D146" s="152">
        <v>50472273.979999997</v>
      </c>
      <c r="E146" s="661">
        <v>1.7434291530224525E-2</v>
      </c>
    </row>
    <row r="147" spans="1:6">
      <c r="A147" s="124">
        <v>2111</v>
      </c>
      <c r="B147" s="124" t="s">
        <v>1351</v>
      </c>
      <c r="C147" s="152">
        <v>19836959693.203449</v>
      </c>
      <c r="D147" s="152">
        <v>451394045.22000003</v>
      </c>
      <c r="E147" s="661">
        <v>2.2755203025121681E-2</v>
      </c>
    </row>
    <row r="148" spans="1:6">
      <c r="C148" s="152"/>
    </row>
    <row r="149" spans="1:6">
      <c r="A149" s="124">
        <v>2502</v>
      </c>
      <c r="B149" s="124" t="s">
        <v>141</v>
      </c>
      <c r="C149" s="152">
        <v>7594608221.6318159</v>
      </c>
      <c r="D149" s="152">
        <v>475568698.42000002</v>
      </c>
      <c r="E149" s="661">
        <v>6.261925362593844E-2</v>
      </c>
    </row>
    <row r="150" spans="1:6">
      <c r="A150" s="124">
        <v>2503</v>
      </c>
      <c r="B150" s="766" t="s">
        <v>1662</v>
      </c>
      <c r="C150" s="152">
        <v>60972766365.508018</v>
      </c>
      <c r="D150" s="152">
        <v>1885863689.0899999</v>
      </c>
      <c r="E150" s="661">
        <v>3.0929606798303699E-2</v>
      </c>
    </row>
    <row r="151" spans="1:6">
      <c r="B151" s="124" t="s">
        <v>4412</v>
      </c>
      <c r="D151" s="152"/>
      <c r="E151" s="124" t="s">
        <v>4413</v>
      </c>
    </row>
    <row r="152" spans="1:6">
      <c r="B152" s="124" t="s">
        <v>4414</v>
      </c>
      <c r="D152" s="152"/>
    </row>
    <row r="153" spans="1:6">
      <c r="C153" s="152">
        <v>36254594136.794548</v>
      </c>
      <c r="D153" s="152">
        <v>1986554893.03</v>
      </c>
    </row>
    <row r="154" spans="1:6">
      <c r="A154" s="124" t="s">
        <v>4415</v>
      </c>
      <c r="B154" s="124" t="s">
        <v>4416</v>
      </c>
      <c r="D154" s="152"/>
    </row>
    <row r="158" spans="1:6">
      <c r="F158" s="152"/>
    </row>
    <row r="163" spans="1:3">
      <c r="B163" s="124" t="s">
        <v>4367</v>
      </c>
      <c r="C163" s="767">
        <v>42735</v>
      </c>
    </row>
    <row r="164" spans="1:3">
      <c r="A164" s="124">
        <v>6799574901005000</v>
      </c>
      <c r="B164" s="124" t="s">
        <v>3618</v>
      </c>
      <c r="C164" s="365">
        <v>7083333.3300000001</v>
      </c>
    </row>
    <row r="165" spans="1:3">
      <c r="A165" s="124">
        <v>60120419</v>
      </c>
      <c r="B165" s="124" t="s">
        <v>4368</v>
      </c>
      <c r="C165" s="365">
        <v>321944.44</v>
      </c>
    </row>
    <row r="166" spans="1:3">
      <c r="A166" s="124">
        <v>60120425</v>
      </c>
      <c r="B166" s="124" t="s">
        <v>4417</v>
      </c>
      <c r="C166" s="365">
        <v>1444461.11</v>
      </c>
    </row>
    <row r="167" spans="1:3">
      <c r="A167" s="124">
        <v>60120702</v>
      </c>
      <c r="B167" s="124" t="s">
        <v>4369</v>
      </c>
      <c r="C167" s="365">
        <v>45854331.509999998</v>
      </c>
    </row>
    <row r="168" spans="1:3">
      <c r="A168" s="124">
        <v>61110104</v>
      </c>
      <c r="B168" s="124" t="s">
        <v>4418</v>
      </c>
    </row>
    <row r="169" spans="1:3">
      <c r="A169" s="124">
        <v>61110403</v>
      </c>
      <c r="B169" s="124" t="s">
        <v>4370</v>
      </c>
      <c r="C169" s="365">
        <v>24734068.5</v>
      </c>
    </row>
    <row r="170" spans="1:3">
      <c r="A170" s="124">
        <v>61110404</v>
      </c>
      <c r="B170" s="124" t="s">
        <v>4419</v>
      </c>
      <c r="C170" s="365">
        <v>1755687626.8900001</v>
      </c>
    </row>
    <row r="171" spans="1:3">
      <c r="A171" s="124">
        <v>611105</v>
      </c>
      <c r="B171" s="124" t="s">
        <v>2991</v>
      </c>
      <c r="C171" s="365">
        <v>201901401.22999999</v>
      </c>
    </row>
    <row r="172" spans="1:3">
      <c r="C172" s="747">
        <v>2037027167.01</v>
      </c>
    </row>
    <row r="173" spans="1:3">
      <c r="B173" s="124" t="s">
        <v>4371</v>
      </c>
      <c r="C173" s="767">
        <v>42735</v>
      </c>
    </row>
    <row r="174" spans="1:3">
      <c r="B174" s="124" t="s">
        <v>4372</v>
      </c>
      <c r="C174" s="768">
        <v>210218579.23497269</v>
      </c>
    </row>
    <row r="175" spans="1:3">
      <c r="B175" s="124" t="s">
        <v>4373</v>
      </c>
      <c r="C175" s="768">
        <v>1717142076.5027323</v>
      </c>
    </row>
    <row r="176" spans="1:3">
      <c r="B176" s="124" t="s">
        <v>4374</v>
      </c>
      <c r="C176" s="768">
        <v>1260311143.7164481</v>
      </c>
    </row>
    <row r="177" spans="2:3">
      <c r="B177" s="124" t="s">
        <v>4375</v>
      </c>
      <c r="C177" s="768">
        <v>21113964046.032379</v>
      </c>
    </row>
    <row r="178" spans="2:3">
      <c r="B178" s="124" t="s">
        <v>4376</v>
      </c>
      <c r="C178" s="768">
        <v>14847958291.308012</v>
      </c>
    </row>
    <row r="179" spans="2:3">
      <c r="C179" s="768">
        <v>39149594136.794548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4" workbookViewId="0">
      <selection activeCell="D15" sqref="D15"/>
    </sheetView>
  </sheetViews>
  <sheetFormatPr defaultRowHeight="13.5"/>
  <cols>
    <col min="1" max="1" width="34.875" customWidth="1"/>
    <col min="2" max="2" width="14" customWidth="1"/>
    <col min="3" max="4" width="9" customWidth="1"/>
    <col min="5" max="5" width="9" style="517" customWidth="1"/>
    <col min="6" max="6" width="9" customWidth="1"/>
    <col min="7" max="7" width="11.625" customWidth="1"/>
    <col min="9" max="9" width="9" customWidth="1"/>
    <col min="10" max="10" width="9" style="517" customWidth="1"/>
    <col min="12" max="12" width="11.25" style="627" customWidth="1"/>
  </cols>
  <sheetData>
    <row r="1" spans="1:12" ht="14.25">
      <c r="A1" s="405" t="s">
        <v>215</v>
      </c>
      <c r="B1" s="847">
        <v>42736</v>
      </c>
      <c r="C1" s="848"/>
      <c r="D1" s="849"/>
      <c r="E1" s="852" t="s">
        <v>178</v>
      </c>
      <c r="F1" s="853"/>
      <c r="G1" s="854"/>
      <c r="I1" s="850" t="s">
        <v>124</v>
      </c>
      <c r="J1" s="851"/>
      <c r="K1" s="851"/>
      <c r="L1" s="622" t="s">
        <v>4089</v>
      </c>
    </row>
    <row r="2" spans="1:12" ht="14.25">
      <c r="A2" s="405" t="s">
        <v>3344</v>
      </c>
      <c r="B2" s="405" t="s">
        <v>128</v>
      </c>
      <c r="C2" s="405" t="s">
        <v>3347</v>
      </c>
      <c r="D2" s="405" t="s">
        <v>3348</v>
      </c>
      <c r="E2" s="518" t="s">
        <v>3527</v>
      </c>
      <c r="F2" s="518" t="s">
        <v>3319</v>
      </c>
      <c r="G2" s="518" t="s">
        <v>3320</v>
      </c>
      <c r="I2" s="418" t="s">
        <v>3350</v>
      </c>
      <c r="J2" s="418" t="s">
        <v>3526</v>
      </c>
      <c r="K2" s="527" t="s">
        <v>3351</v>
      </c>
      <c r="L2" s="622" t="s">
        <v>4090</v>
      </c>
    </row>
    <row r="3" spans="1:12" ht="16.5">
      <c r="A3" s="374" t="s">
        <v>3293</v>
      </c>
      <c r="B3" s="439">
        <f>'2017.06.30'!G29</f>
        <v>2196.0770767893259</v>
      </c>
      <c r="D3" s="441">
        <f>'2017.06.30'!E29/100</f>
        <v>5.2948749896251632E-2</v>
      </c>
      <c r="E3" s="441">
        <f t="shared" ref="E3:E19" si="0">D3-J3</f>
        <v>3.6630300084398992E-4</v>
      </c>
      <c r="F3" s="441">
        <f t="shared" ref="F3:F19" si="1">D3-I3</f>
        <v>-2.7477610968626304E-3</v>
      </c>
      <c r="G3" s="626">
        <f>D3-L3</f>
        <v>-4.7778910774727013E-3</v>
      </c>
      <c r="I3" s="770">
        <v>5.5696510993114262E-2</v>
      </c>
      <c r="J3" s="770">
        <v>5.2582446895407642E-2</v>
      </c>
      <c r="K3" s="439">
        <f>'2016.06.30'!G29</f>
        <v>1923.8918354177424</v>
      </c>
      <c r="L3" s="626">
        <f>'2016.06.30'!E29/100</f>
        <v>5.7726640973724333E-2</v>
      </c>
    </row>
    <row r="4" spans="1:12" ht="16.5">
      <c r="A4" s="373" t="s">
        <v>3333</v>
      </c>
      <c r="B4" s="440">
        <f>'2017.06.30'!G21</f>
        <v>1500.4208291889347</v>
      </c>
      <c r="D4" s="442">
        <f>'2017.06.30'!E21/100</f>
        <v>5.3839894070806277E-2</v>
      </c>
      <c r="E4" s="442">
        <f t="shared" si="0"/>
        <v>8.1195616246804853E-4</v>
      </c>
      <c r="F4" s="442">
        <f t="shared" si="1"/>
        <v>-1.1408359183086789E-3</v>
      </c>
      <c r="G4" s="624">
        <f t="shared" ref="G4:G19" si="2">D4-L4</f>
        <v>-2.703811410157797E-3</v>
      </c>
      <c r="I4" s="771">
        <v>5.4980729989114956E-2</v>
      </c>
      <c r="J4" s="771">
        <v>5.3027937908338228E-2</v>
      </c>
      <c r="K4" s="440">
        <f>'2016.06.30'!G21</f>
        <v>1315.0749652502298</v>
      </c>
      <c r="L4" s="624">
        <f>'2016.06.30'!E21/100</f>
        <v>5.6543705480964074E-2</v>
      </c>
    </row>
    <row r="5" spans="1:12" ht="16.5">
      <c r="A5" s="415" t="s">
        <v>3345</v>
      </c>
      <c r="B5" s="507">
        <f>'2017.06.30ftp'!L180/10^8</f>
        <v>9.8863918999999897E-2</v>
      </c>
      <c r="C5" s="457"/>
      <c r="D5" s="458">
        <f>'2017.06.30ftp'!U180</f>
        <v>0</v>
      </c>
      <c r="E5" s="443">
        <f t="shared" si="0"/>
        <v>-5.9583427300247835E-2</v>
      </c>
      <c r="F5" s="443">
        <f t="shared" si="1"/>
        <v>-5.9067304090169005E-2</v>
      </c>
      <c r="G5" s="623">
        <f t="shared" si="2"/>
        <v>0</v>
      </c>
      <c r="I5" s="772">
        <v>5.9067304090169005E-2</v>
      </c>
      <c r="J5" s="772">
        <v>5.9583427300247835E-2</v>
      </c>
      <c r="K5" s="507">
        <f>'2016.06.30ftp'!L150/10^8</f>
        <v>0</v>
      </c>
      <c r="L5" s="623">
        <f>'2016.06.30ftp'!Q150</f>
        <v>0</v>
      </c>
    </row>
    <row r="6" spans="1:12" ht="16.5">
      <c r="A6" s="416" t="s">
        <v>3334</v>
      </c>
      <c r="B6" s="509">
        <f>'2017.06.30ftp'!L188/10^8</f>
        <v>4.338651E-4</v>
      </c>
      <c r="C6" s="457"/>
      <c r="D6" s="458">
        <f>'2017.06.30ftp'!U188</f>
        <v>0</v>
      </c>
      <c r="E6" s="444">
        <f t="shared" si="0"/>
        <v>-4.8111724027754113E-2</v>
      </c>
      <c r="F6" s="444">
        <f t="shared" si="1"/>
        <v>-5.1614096168506859E-2</v>
      </c>
      <c r="G6" s="628">
        <f t="shared" si="2"/>
        <v>0</v>
      </c>
      <c r="I6" s="773">
        <v>5.1614096168506859E-2</v>
      </c>
      <c r="J6" s="773">
        <v>4.8111724027754113E-2</v>
      </c>
      <c r="K6" s="507">
        <f>'2016.06.30ftp'!L158/10^8</f>
        <v>0</v>
      </c>
      <c r="L6" s="623">
        <f>'2016.06.30ftp'!Q158</f>
        <v>0</v>
      </c>
    </row>
    <row r="7" spans="1:12" ht="16.5">
      <c r="A7" s="415" t="s">
        <v>3335</v>
      </c>
      <c r="B7" s="507">
        <f>'2017.06.30ftp'!L194/10^8</f>
        <v>5.35773334901E-2</v>
      </c>
      <c r="C7" s="457"/>
      <c r="D7" s="458">
        <f>'2017.06.30ftp'!U194</f>
        <v>275705.55557099998</v>
      </c>
      <c r="E7" s="443">
        <f t="shared" si="0"/>
        <v>275705.53977938264</v>
      </c>
      <c r="F7" s="443">
        <f t="shared" si="1"/>
        <v>275705.53049151291</v>
      </c>
      <c r="G7" s="623">
        <f t="shared" si="2"/>
        <v>-1436488631.5454252</v>
      </c>
      <c r="I7" s="772">
        <v>2.5079487049596637E-2</v>
      </c>
      <c r="J7" s="772">
        <v>1.5791617332260942E-2</v>
      </c>
      <c r="K7" s="507">
        <f>'2016.06.30ftp'!L165/10^8</f>
        <v>479.4341401622101</v>
      </c>
      <c r="L7" s="623">
        <f>'2016.06.30ftp'!Q165</f>
        <v>1436764337.1009963</v>
      </c>
    </row>
    <row r="8" spans="1:12" ht="16.5">
      <c r="A8" s="417" t="s">
        <v>3336</v>
      </c>
      <c r="B8" s="509">
        <f>'2017.06.30ftp'!L233/10^8</f>
        <v>3.98222811267E-3</v>
      </c>
      <c r="C8" s="457"/>
      <c r="D8" s="458">
        <f>'2017.06.30ftp'!U233</f>
        <v>34959.158962000001</v>
      </c>
      <c r="E8" s="445">
        <f t="shared" si="0"/>
        <v>34959.102964837941</v>
      </c>
      <c r="F8" s="445">
        <f t="shared" si="1"/>
        <v>34959.100422298034</v>
      </c>
      <c r="G8" s="628">
        <f t="shared" si="2"/>
        <v>34959.158962000001</v>
      </c>
      <c r="I8" s="774">
        <v>5.8539701969235608E-2</v>
      </c>
      <c r="J8" s="774">
        <v>5.5997162062714274E-2</v>
      </c>
      <c r="K8" s="507">
        <f>'2016.06.30ftp'!L201/10^8</f>
        <v>0</v>
      </c>
      <c r="L8" s="623">
        <f>'2016.06.30ftp'!Q201</f>
        <v>0</v>
      </c>
    </row>
    <row r="9" spans="1:12" ht="16.5">
      <c r="A9" s="415" t="s">
        <v>3337</v>
      </c>
      <c r="B9" s="507">
        <f>'2017.06.30ftp'!L190/10^8</f>
        <v>1.0548799999999999E-4</v>
      </c>
      <c r="C9" s="457"/>
      <c r="D9" s="458">
        <f>'2017.06.30ftp'!U190</f>
        <v>0</v>
      </c>
      <c r="E9" s="443">
        <f t="shared" si="0"/>
        <v>-2.4948222366698403E-2</v>
      </c>
      <c r="F9" s="443">
        <f t="shared" si="1"/>
        <v>-2.9271100852741486E-2</v>
      </c>
      <c r="G9" s="623">
        <f t="shared" si="2"/>
        <v>0</v>
      </c>
      <c r="I9" s="772">
        <v>2.9271100852741486E-2</v>
      </c>
      <c r="J9" s="772">
        <v>2.4948222366698403E-2</v>
      </c>
      <c r="K9" s="507">
        <f>'2016.06.30ftp'!L161/10^8</f>
        <v>0</v>
      </c>
      <c r="L9" s="623">
        <f>'2016.06.30ftp'!Q161</f>
        <v>0</v>
      </c>
    </row>
    <row r="10" spans="1:12" ht="16.5">
      <c r="A10" s="373" t="s">
        <v>3338</v>
      </c>
      <c r="B10" s="510">
        <f>'2017.06.30'!G28</f>
        <v>631.12879100686905</v>
      </c>
      <c r="D10" s="442">
        <f>'2017.06.30'!E28/100</f>
        <v>5.3073315182562579E-2</v>
      </c>
      <c r="E10" s="442">
        <f t="shared" si="0"/>
        <v>-5.316876170867943E-4</v>
      </c>
      <c r="F10" s="442">
        <f t="shared" si="1"/>
        <v>-6.0354160319960812E-3</v>
      </c>
      <c r="G10" s="624">
        <f t="shared" si="2"/>
        <v>-8.8384950166243911E-3</v>
      </c>
      <c r="I10" s="771">
        <v>5.910873121455866E-2</v>
      </c>
      <c r="J10" s="771">
        <v>5.3605002799649373E-2</v>
      </c>
      <c r="K10" s="510">
        <f>'2016.06.30'!G28</f>
        <v>564.70838870491923</v>
      </c>
      <c r="L10" s="624">
        <f>'2016.06.30'!E28/100</f>
        <v>6.191181019918697E-2</v>
      </c>
    </row>
    <row r="11" spans="1:12" ht="16.5">
      <c r="A11" s="415" t="s">
        <v>3339</v>
      </c>
      <c r="B11" s="507">
        <f>'2017.06.30ftp'!L212/10^8</f>
        <v>3.3144811314999998E-4</v>
      </c>
      <c r="C11" s="457"/>
      <c r="D11" s="458">
        <f>'2017.06.30ftp'!U212</f>
        <v>0</v>
      </c>
      <c r="E11" s="443">
        <f t="shared" si="0"/>
        <v>-4.264486127094342E-2</v>
      </c>
      <c r="F11" s="443">
        <f t="shared" si="1"/>
        <v>-4.3713316876548058E-2</v>
      </c>
      <c r="G11" s="623">
        <f t="shared" si="2"/>
        <v>0</v>
      </c>
      <c r="I11" s="772">
        <v>4.3713316876548058E-2</v>
      </c>
      <c r="J11" s="772">
        <v>4.264486127094342E-2</v>
      </c>
      <c r="K11" s="507">
        <f>'2016.06.30ftp'!L184/10^8</f>
        <v>0</v>
      </c>
      <c r="L11" s="623">
        <f>'2016.06.30ftp'!Q184</f>
        <v>0</v>
      </c>
    </row>
    <row r="12" spans="1:12" ht="16.5">
      <c r="A12" s="416" t="s">
        <v>3340</v>
      </c>
      <c r="B12" s="508">
        <f>'2017.06.30ftp'!L223/10^8</f>
        <v>5.8011734245769997E-2</v>
      </c>
      <c r="C12" s="457"/>
      <c r="D12" s="458">
        <f>'2017.06.30ftp'!U223</f>
        <v>0</v>
      </c>
      <c r="E12" s="444">
        <f t="shared" si="0"/>
        <v>-6.3066901782046311E-2</v>
      </c>
      <c r="F12" s="444">
        <f t="shared" si="1"/>
        <v>-6.6044787344978442E-2</v>
      </c>
      <c r="G12" s="629">
        <f t="shared" si="2"/>
        <v>0</v>
      </c>
      <c r="I12" s="773">
        <v>6.6044787344978442E-2</v>
      </c>
      <c r="J12" s="773">
        <v>6.3066901782046311E-2</v>
      </c>
      <c r="K12" s="507">
        <f>'2016.06.30ftp'!L194/10^8</f>
        <v>0</v>
      </c>
      <c r="L12" s="623">
        <f>'2016.06.30ftp'!Q194</f>
        <v>0</v>
      </c>
    </row>
    <row r="13" spans="1:12" s="538" customFormat="1" ht="16.5">
      <c r="A13" s="539" t="s">
        <v>3666</v>
      </c>
      <c r="B13" s="540">
        <f>'2017.06.30ftp'!L228/10^8</f>
        <v>0.15501591907330001</v>
      </c>
      <c r="C13" s="541"/>
      <c r="D13" s="458">
        <f>'2017.06.30ftp'!U228</f>
        <v>1867391.2977199999</v>
      </c>
      <c r="E13" s="542">
        <f>D13-J13</f>
        <v>1867391.173145659</v>
      </c>
      <c r="F13" s="542">
        <f>D13-I13</f>
        <v>1867391.1661999887</v>
      </c>
      <c r="G13" s="630">
        <f t="shared" si="2"/>
        <v>-615631750.73973274</v>
      </c>
      <c r="H13" s="543"/>
      <c r="I13" s="772">
        <v>0.13152001115600456</v>
      </c>
      <c r="J13" s="772">
        <v>0.12457434087229488</v>
      </c>
      <c r="K13" s="507">
        <f>'2016.06.30ftp'!L199/10^8</f>
        <v>273.52455852195203</v>
      </c>
      <c r="L13" s="623">
        <f>'2016.06.30ftp'!Q199</f>
        <v>617499142.0374527</v>
      </c>
    </row>
    <row r="14" spans="1:12" ht="16.5">
      <c r="A14" s="539" t="s">
        <v>3667</v>
      </c>
      <c r="B14" s="540">
        <f>'2017.06.30ftp'!L238/10^8</f>
        <v>1.859452858E-5</v>
      </c>
      <c r="C14" s="541"/>
      <c r="D14" s="458">
        <f>'2017.06.30ftp'!U238</f>
        <v>159.73659799999999</v>
      </c>
      <c r="E14" s="542">
        <f t="shared" si="0"/>
        <v>159.69038607699579</v>
      </c>
      <c r="F14" s="542">
        <f t="shared" si="1"/>
        <v>159.68652780396229</v>
      </c>
      <c r="G14" s="630">
        <f t="shared" si="2"/>
        <v>159.73659799999999</v>
      </c>
      <c r="H14" s="543"/>
      <c r="I14" s="773">
        <v>5.007019603768445E-2</v>
      </c>
      <c r="J14" s="773">
        <v>4.6211923004196978E-2</v>
      </c>
      <c r="K14" s="507">
        <f>'2016.06.30ftp'!L207/10^8</f>
        <v>0</v>
      </c>
      <c r="L14" s="623">
        <f>'2016.06.30ftp'!Q207</f>
        <v>0</v>
      </c>
    </row>
    <row r="15" spans="1:12" ht="16.5">
      <c r="A15" s="415" t="s">
        <v>3341</v>
      </c>
      <c r="B15" s="507">
        <f>'2017.06.30ftp'!L192/10^8</f>
        <v>0.58461565462325993</v>
      </c>
      <c r="C15" s="457"/>
      <c r="D15" s="458">
        <f>'2017.06.30ftp'!U192</f>
        <v>3196805.974345</v>
      </c>
      <c r="E15" s="443">
        <f t="shared" si="0"/>
        <v>3196805.8889025077</v>
      </c>
      <c r="F15" s="443">
        <f t="shared" si="1"/>
        <v>3196805.879180613</v>
      </c>
      <c r="G15" s="623">
        <f t="shared" si="2"/>
        <v>3196805.974345</v>
      </c>
      <c r="I15" s="772">
        <v>9.51643869425043E-2</v>
      </c>
      <c r="J15" s="772">
        <v>8.5442492445241172E-2</v>
      </c>
      <c r="K15" s="507">
        <f>'2016.06.30ftp'!L163/10^8</f>
        <v>0</v>
      </c>
      <c r="L15" s="623">
        <f>'2016.06.30ftp'!Q163</f>
        <v>0</v>
      </c>
    </row>
    <row r="16" spans="1:12" ht="16.5">
      <c r="A16" s="416" t="s">
        <v>3346</v>
      </c>
      <c r="B16" s="508">
        <f>'2017.06.30ftp'!L234/10^8</f>
        <v>3.1270372624400003E-3</v>
      </c>
      <c r="C16" s="457"/>
      <c r="D16" s="458">
        <f>'2017.06.30ftp'!U234</f>
        <v>35858.699925000001</v>
      </c>
      <c r="E16" s="444">
        <f t="shared" si="0"/>
        <v>35858.64178801392</v>
      </c>
      <c r="F16" s="444">
        <f t="shared" si="1"/>
        <v>35858.639444864726</v>
      </c>
      <c r="G16" s="629">
        <f t="shared" si="2"/>
        <v>35858.699925000001</v>
      </c>
      <c r="I16" s="773">
        <v>6.0480135275959711E-2</v>
      </c>
      <c r="J16" s="773">
        <v>5.8136986079756252E-2</v>
      </c>
      <c r="K16" s="507">
        <f>'2016.06.30ftp'!L202/10^8</f>
        <v>0</v>
      </c>
      <c r="L16" s="623">
        <f>'2016.06.30ftp'!Q202</f>
        <v>0</v>
      </c>
    </row>
    <row r="17" spans="1:12" ht="16.5">
      <c r="A17" s="373" t="s">
        <v>3540</v>
      </c>
      <c r="B17" s="511">
        <f>'2017.06.30'!G25</f>
        <v>64.527456593522103</v>
      </c>
      <c r="C17" s="459"/>
      <c r="D17" s="460">
        <f>'2017.06.30'!E25/100</f>
        <v>3.1009127685802711E-2</v>
      </c>
      <c r="E17" s="443">
        <f>D17-J17</f>
        <v>-1.292042867118974E-3</v>
      </c>
      <c r="F17" s="443">
        <f>D17-I17</f>
        <v>-3.7807971196903364E-3</v>
      </c>
      <c r="G17" s="625">
        <f t="shared" si="2"/>
        <v>-8.4046788635835368E-3</v>
      </c>
      <c r="I17" s="772">
        <v>3.4789924805493047E-2</v>
      </c>
      <c r="J17" s="772">
        <v>3.2301170552921685E-2</v>
      </c>
      <c r="K17" s="511">
        <f>'2016.06.30'!G25</f>
        <v>44.10848146259341</v>
      </c>
      <c r="L17" s="625">
        <f>'2016.06.30'!E25/100</f>
        <v>3.9413806549386247E-2</v>
      </c>
    </row>
    <row r="18" spans="1:12" ht="16.5">
      <c r="A18" s="374" t="s">
        <v>3342</v>
      </c>
      <c r="B18" s="439">
        <f>'2017.06.30'!G24</f>
        <v>172.14253969381721</v>
      </c>
      <c r="D18" s="441">
        <f>'2017.06.30'!E24/100</f>
        <v>3.1512696339221838E-2</v>
      </c>
      <c r="E18" s="441">
        <f t="shared" si="0"/>
        <v>-8.3699781958489414E-3</v>
      </c>
      <c r="F18" s="441">
        <f t="shared" si="1"/>
        <v>-4.0922696347912013E-3</v>
      </c>
      <c r="G18" s="626">
        <f t="shared" si="2"/>
        <v>-4.8699350496029942E-3</v>
      </c>
      <c r="I18" s="770">
        <v>3.5604965974013039E-2</v>
      </c>
      <c r="J18" s="770">
        <v>3.9882674535070779E-2</v>
      </c>
      <c r="K18" s="439">
        <f>'2016.06.30'!G24</f>
        <v>250.6996601050441</v>
      </c>
      <c r="L18" s="626">
        <f>'2016.06.30'!E24/100</f>
        <v>3.6382631388824832E-2</v>
      </c>
    </row>
    <row r="19" spans="1:12" ht="16.5">
      <c r="A19" s="374" t="s">
        <v>3343</v>
      </c>
      <c r="B19" s="439">
        <f>'2017.06.30'!G26</f>
        <v>2368.219616483143</v>
      </c>
      <c r="D19" s="441">
        <f>'2017.06.30'!E26/100</f>
        <v>5.1390593433634536E-2</v>
      </c>
      <c r="E19" s="441">
        <f t="shared" si="0"/>
        <v>-1.6998687620412012E-4</v>
      </c>
      <c r="F19" s="441">
        <f t="shared" si="1"/>
        <v>-1.7196200770130607E-3</v>
      </c>
      <c r="G19" s="626">
        <f t="shared" si="2"/>
        <v>-3.8753849470326632E-3</v>
      </c>
      <c r="I19" s="770">
        <v>5.3110213510647597E-2</v>
      </c>
      <c r="J19" s="770">
        <v>5.1560580309838656E-2</v>
      </c>
      <c r="K19" s="439">
        <f>'2016.06.30'!G26</f>
        <v>2174.5914955227863</v>
      </c>
      <c r="L19" s="626">
        <f>'2016.06.30'!E26/100</f>
        <v>5.5265978380667199E-2</v>
      </c>
    </row>
    <row r="21" spans="1:12">
      <c r="B21" s="284">
        <f>B3-B4-B10-B17</f>
        <v>0</v>
      </c>
      <c r="K21" s="284">
        <f>K3-K4-K10-K17</f>
        <v>0</v>
      </c>
    </row>
    <row r="22" spans="1:12">
      <c r="B22" s="285">
        <f>B4-B5-B6-B7-B8-B9</f>
        <v>1500.2638663552323</v>
      </c>
      <c r="K22" s="285">
        <f>K4-K5-K6-K7-K8-K9</f>
        <v>835.64082508801971</v>
      </c>
    </row>
    <row r="23" spans="1:12">
      <c r="K23" s="616"/>
    </row>
    <row r="24" spans="1:12">
      <c r="B24" s="285">
        <f>B10-B11-B12-B15-B16</f>
        <v>630.48270513262457</v>
      </c>
      <c r="K24" s="285">
        <f>K10-K11-K12-K15-K16</f>
        <v>564.70838870491923</v>
      </c>
    </row>
    <row r="25" spans="1:12">
      <c r="A25" s="306" t="s">
        <v>3668</v>
      </c>
    </row>
  </sheetData>
  <mergeCells count="3">
    <mergeCell ref="B1:D1"/>
    <mergeCell ref="I1:K1"/>
    <mergeCell ref="E1:G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1"/>
  <sheetViews>
    <sheetView workbookViewId="0">
      <selection activeCell="F15" sqref="F15"/>
    </sheetView>
  </sheetViews>
  <sheetFormatPr defaultColWidth="9" defaultRowHeight="12"/>
  <cols>
    <col min="1" max="1" width="17.25" style="124" customWidth="1"/>
    <col min="2" max="2" width="34.75" style="124" customWidth="1"/>
    <col min="3" max="4" width="21" style="124" customWidth="1"/>
    <col min="5" max="5" width="9.5" style="124" bestFit="1" customWidth="1"/>
    <col min="6" max="6" width="22.625" style="124" bestFit="1" customWidth="1"/>
    <col min="7" max="7" width="18" style="971" customWidth="1"/>
    <col min="8" max="8" width="14.875" style="971" customWidth="1"/>
    <col min="9" max="9" width="10.125" style="301" customWidth="1"/>
    <col min="10" max="10" width="15.125" style="124" bestFit="1" customWidth="1"/>
    <col min="11" max="11" width="19.375" style="124" bestFit="1" customWidth="1"/>
    <col min="12" max="13" width="25.5" style="124" customWidth="1"/>
    <col min="14" max="16384" width="9" style="124"/>
  </cols>
  <sheetData>
    <row r="1" spans="2:10">
      <c r="B1" s="259">
        <v>42370</v>
      </c>
      <c r="C1" s="259">
        <v>42551</v>
      </c>
      <c r="D1" s="258">
        <f>C1-B1+1</f>
        <v>182</v>
      </c>
      <c r="E1" s="124">
        <v>366</v>
      </c>
    </row>
    <row r="2" spans="2:10">
      <c r="C2" s="124" t="s">
        <v>106</v>
      </c>
      <c r="G2" s="971" t="s">
        <v>107</v>
      </c>
    </row>
    <row r="3" spans="2:10">
      <c r="C3" s="120" t="s">
        <v>90</v>
      </c>
      <c r="D3" s="120" t="s">
        <v>91</v>
      </c>
      <c r="E3" s="120" t="s">
        <v>92</v>
      </c>
      <c r="G3" s="972" t="s">
        <v>90</v>
      </c>
      <c r="H3" s="972" t="s">
        <v>91</v>
      </c>
      <c r="I3" s="302"/>
      <c r="J3" s="120" t="s">
        <v>3409</v>
      </c>
    </row>
    <row r="4" spans="2:10">
      <c r="B4" s="121" t="s">
        <v>39</v>
      </c>
    </row>
    <row r="5" spans="2:10">
      <c r="B5" s="122" t="s">
        <v>41</v>
      </c>
      <c r="C5" s="123">
        <f>C63+C68+C77+C78+C79+C81-C85</f>
        <v>58267659066.763367</v>
      </c>
      <c r="D5" s="123">
        <f>D63+D68+D77+D78+D79+D81-D85</f>
        <v>149034675.76760003</v>
      </c>
      <c r="E5" s="153">
        <f>D5*100/C5*$E$1/$D$1</f>
        <v>0.51436268424916143</v>
      </c>
      <c r="F5" s="155"/>
      <c r="G5" s="973">
        <f>C5/10^8</f>
        <v>582.67659066763372</v>
      </c>
      <c r="H5" s="973">
        <f>D5/10^8</f>
        <v>1.4903467576760003</v>
      </c>
      <c r="I5" s="402">
        <f>G5/(G5+G6)</f>
        <v>0.39536591483774763</v>
      </c>
      <c r="J5" s="401">
        <f>421.52/(G5+G6)</f>
        <v>0.28601567849405735</v>
      </c>
    </row>
    <row r="6" spans="2:10">
      <c r="B6" s="122" t="s">
        <v>42</v>
      </c>
      <c r="C6" s="123">
        <f>C64+C76+C82+C85</f>
        <v>89108877149.504959</v>
      </c>
      <c r="D6" s="123">
        <f>D64+D76+D82+D85</f>
        <v>1500648699.6824002</v>
      </c>
      <c r="E6" s="153">
        <f t="shared" ref="E6:E16" si="0">D6*100/C6*$E$1/$D$1</f>
        <v>3.3866300877667617</v>
      </c>
      <c r="F6" s="155"/>
      <c r="G6" s="973">
        <f t="shared" ref="G6:H9" si="1">C6/10^8</f>
        <v>891.08877149504963</v>
      </c>
      <c r="H6" s="973">
        <f t="shared" si="1"/>
        <v>15.006486996824002</v>
      </c>
      <c r="I6" s="402"/>
      <c r="J6" s="401"/>
    </row>
    <row r="7" spans="2:10">
      <c r="B7" s="122" t="s">
        <v>44</v>
      </c>
      <c r="C7" s="123">
        <f>C65+C67+C83</f>
        <v>71109032107.134842</v>
      </c>
      <c r="D7" s="123">
        <f>D65+D67+D83</f>
        <v>110172600.83999999</v>
      </c>
      <c r="E7" s="153">
        <f t="shared" si="0"/>
        <v>0.31157207887110089</v>
      </c>
      <c r="F7" s="155"/>
      <c r="G7" s="973">
        <f t="shared" si="1"/>
        <v>711.0903210713484</v>
      </c>
      <c r="H7" s="973">
        <f t="shared" si="1"/>
        <v>1.1017260083999998</v>
      </c>
      <c r="I7" s="402">
        <f>G7/(G7+G8)</f>
        <v>0.40233870972646724</v>
      </c>
      <c r="J7" s="401">
        <f>407.55/(G7+G8)</f>
        <v>0.23059397138464105</v>
      </c>
    </row>
    <row r="8" spans="2:10">
      <c r="B8" s="122" t="s">
        <v>45</v>
      </c>
      <c r="C8" s="123">
        <f>C66+C84</f>
        <v>105630193794.04381</v>
      </c>
      <c r="D8" s="123">
        <f>D66+D84</f>
        <v>1444660390.3500001</v>
      </c>
      <c r="E8" s="153">
        <f t="shared" si="0"/>
        <v>2.7503463406206121</v>
      </c>
      <c r="F8" s="403"/>
      <c r="G8" s="973">
        <f t="shared" si="1"/>
        <v>1056.3019379404382</v>
      </c>
      <c r="H8" s="973">
        <f t="shared" si="1"/>
        <v>14.446603903500002</v>
      </c>
      <c r="I8" s="303"/>
    </row>
    <row r="9" spans="2:10">
      <c r="B9" s="122" t="s">
        <v>523</v>
      </c>
      <c r="C9" s="123">
        <f>C69</f>
        <v>31023741829.67033</v>
      </c>
      <c r="D9" s="123">
        <f>D69</f>
        <v>579048356.72000003</v>
      </c>
      <c r="E9" s="153">
        <f t="shared" si="0"/>
        <v>3.753447564734131</v>
      </c>
      <c r="F9" s="155"/>
      <c r="G9" s="973">
        <f t="shared" si="1"/>
        <v>310.23741829670331</v>
      </c>
      <c r="H9" s="973">
        <f t="shared" si="1"/>
        <v>5.7904835671999999</v>
      </c>
      <c r="I9" s="303"/>
    </row>
    <row r="10" spans="2:10">
      <c r="B10" s="124" t="s">
        <v>116</v>
      </c>
      <c r="C10" s="152">
        <f>SUM(C5:C9)</f>
        <v>355139503947.11731</v>
      </c>
      <c r="D10" s="152">
        <f>SUM(D5:D9)</f>
        <v>3783564723.3600006</v>
      </c>
      <c r="E10" s="153">
        <f t="shared" si="0"/>
        <v>2.1424558508635037</v>
      </c>
      <c r="G10" s="974">
        <f>G5+G6+G7+G8+G9</f>
        <v>3551.3950394711733</v>
      </c>
      <c r="H10" s="974">
        <f>H5+H6+H7+H8+H9</f>
        <v>37.8356472336</v>
      </c>
    </row>
    <row r="11" spans="2:10" ht="16.5">
      <c r="B11" s="461" t="s">
        <v>4381</v>
      </c>
      <c r="C11" s="152">
        <f>C6+C8+C9</f>
        <v>225762812773.21909</v>
      </c>
      <c r="D11" s="152">
        <f>D6+D8+D9</f>
        <v>3524357446.7524004</v>
      </c>
      <c r="E11" s="153">
        <f t="shared" si="0"/>
        <v>3.1393319427392905</v>
      </c>
      <c r="G11" s="973">
        <f t="shared" ref="G11:H16" si="2">C11/10^8</f>
        <v>2257.6281277321909</v>
      </c>
      <c r="H11" s="973">
        <f t="shared" si="2"/>
        <v>35.243574467524006</v>
      </c>
    </row>
    <row r="12" spans="2:10" ht="16.5">
      <c r="B12" s="370" t="s">
        <v>3290</v>
      </c>
      <c r="C12" s="152">
        <f>C6+C70+C72</f>
        <v>108598472204.45001</v>
      </c>
      <c r="D12" s="152">
        <f>D6+D70+D72</f>
        <v>1871950068.9124002</v>
      </c>
      <c r="E12" s="153">
        <f t="shared" si="0"/>
        <v>3.4664125022089425</v>
      </c>
      <c r="G12" s="973">
        <f t="shared" si="2"/>
        <v>1085.9847220445001</v>
      </c>
      <c r="H12" s="973">
        <f t="shared" si="2"/>
        <v>18.719500689124004</v>
      </c>
    </row>
    <row r="13" spans="2:10" ht="16.5">
      <c r="B13" s="370" t="s">
        <v>3291</v>
      </c>
      <c r="C13" s="152">
        <f>C8+C71</f>
        <v>117164340568.76909</v>
      </c>
      <c r="D13" s="152">
        <f>D8+D71</f>
        <v>1652407377.8400002</v>
      </c>
      <c r="E13" s="153">
        <f t="shared" si="0"/>
        <v>2.8361641967019837</v>
      </c>
      <c r="G13" s="973">
        <f t="shared" si="2"/>
        <v>1171.6434056876908</v>
      </c>
      <c r="H13" s="973">
        <f t="shared" si="2"/>
        <v>16.524073778400002</v>
      </c>
    </row>
    <row r="14" spans="2:10" ht="16.5">
      <c r="B14" s="371" t="s">
        <v>3292</v>
      </c>
      <c r="C14" s="152">
        <f>C5+C7</f>
        <v>129376691173.89821</v>
      </c>
      <c r="D14" s="152">
        <f>D5+D7</f>
        <v>259207276.60760003</v>
      </c>
      <c r="E14" s="153">
        <f t="shared" si="0"/>
        <v>0.40290332060326922</v>
      </c>
      <c r="G14" s="973">
        <f t="shared" si="2"/>
        <v>1293.7669117389821</v>
      </c>
      <c r="H14" s="973">
        <f t="shared" si="2"/>
        <v>2.5920727660760003</v>
      </c>
    </row>
    <row r="15" spans="2:10" ht="16.5">
      <c r="B15" s="568" t="s">
        <v>3799</v>
      </c>
      <c r="C15" s="321">
        <f>C5</f>
        <v>58267659066.763367</v>
      </c>
      <c r="D15" s="152">
        <f>D5</f>
        <v>149034675.76760003</v>
      </c>
      <c r="E15" s="153">
        <f>D15*100/C15*$E$1/$D$1</f>
        <v>0.51436268424916143</v>
      </c>
      <c r="G15" s="973">
        <f t="shared" si="2"/>
        <v>582.67659066763372</v>
      </c>
      <c r="H15" s="973">
        <f t="shared" si="2"/>
        <v>1.4903467576760003</v>
      </c>
    </row>
    <row r="16" spans="2:10" ht="16.5">
      <c r="B16" s="568" t="s">
        <v>3800</v>
      </c>
      <c r="C16" s="321">
        <f>C7</f>
        <v>71109032107.134842</v>
      </c>
      <c r="D16" s="152">
        <f>D7</f>
        <v>110172600.83999999</v>
      </c>
      <c r="E16" s="153">
        <f t="shared" si="0"/>
        <v>0.31157207887110089</v>
      </c>
      <c r="G16" s="973">
        <f t="shared" si="2"/>
        <v>711.0903210713484</v>
      </c>
      <c r="H16" s="973">
        <f t="shared" si="2"/>
        <v>1.1017260083999998</v>
      </c>
    </row>
    <row r="17" spans="2:9" ht="12" customHeight="1">
      <c r="B17" s="746"/>
      <c r="C17" s="321">
        <f>C12+C13-C11</f>
        <v>0</v>
      </c>
      <c r="D17" s="321">
        <f>D12+D13-D11</f>
        <v>0</v>
      </c>
      <c r="E17" s="153"/>
      <c r="G17" s="973"/>
      <c r="H17" s="973"/>
    </row>
    <row r="18" spans="2:9" ht="12" customHeight="1">
      <c r="B18" s="746"/>
      <c r="C18" s="321">
        <f>C15+C16-C14</f>
        <v>0</v>
      </c>
      <c r="D18" s="321">
        <f>D15+D16-D14</f>
        <v>0</v>
      </c>
      <c r="E18" s="153"/>
      <c r="G18" s="973"/>
      <c r="H18" s="973"/>
    </row>
    <row r="19" spans="2:9" ht="12" customHeight="1">
      <c r="C19" s="152">
        <f>C11+C14-SUM(C63:C69,C76:C80)</f>
        <v>0</v>
      </c>
      <c r="D19" s="152">
        <f>D11+D14-SUM(D63:D69,D76:D80)</f>
        <v>0</v>
      </c>
      <c r="E19" s="153"/>
    </row>
    <row r="20" spans="2:9">
      <c r="B20" s="121" t="s">
        <v>30</v>
      </c>
      <c r="C20" s="152"/>
      <c r="D20" s="152"/>
      <c r="E20" s="153"/>
    </row>
    <row r="21" spans="2:9">
      <c r="B21" s="122" t="s">
        <v>108</v>
      </c>
      <c r="C21" s="123">
        <f>C118</f>
        <v>131507496525.02298</v>
      </c>
      <c r="D21" s="123">
        <f>D118</f>
        <v>3697643851.5657506</v>
      </c>
      <c r="E21" s="153">
        <f t="shared" ref="E21:E26" si="3">D21*100/C21*$E$1/$D$1</f>
        <v>5.6543705480964075</v>
      </c>
      <c r="F21" s="155"/>
      <c r="G21" s="973">
        <f t="shared" ref="G21:H26" si="4">C21/10^8</f>
        <v>1315.0749652502298</v>
      </c>
      <c r="H21" s="973">
        <f t="shared" si="4"/>
        <v>36.976438515657506</v>
      </c>
      <c r="I21" s="303"/>
    </row>
    <row r="22" spans="2:9">
      <c r="B22" s="122" t="s">
        <v>33</v>
      </c>
      <c r="C22" s="123">
        <f t="shared" ref="C22:D23" si="5">C119</f>
        <v>35563191929.273933</v>
      </c>
      <c r="D22" s="123">
        <f>D119</f>
        <v>913473744.33227038</v>
      </c>
      <c r="E22" s="153">
        <f t="shared" si="3"/>
        <v>5.1654127822172828</v>
      </c>
      <c r="F22" s="155"/>
      <c r="G22" s="973">
        <f t="shared" si="4"/>
        <v>355.63191929273933</v>
      </c>
      <c r="H22" s="973">
        <f t="shared" si="4"/>
        <v>9.1347374433227042</v>
      </c>
      <c r="I22" s="303"/>
    </row>
    <row r="23" spans="2:9">
      <c r="B23" s="122" t="s">
        <v>32</v>
      </c>
      <c r="C23" s="123">
        <f t="shared" si="5"/>
        <v>20907646941.217991</v>
      </c>
      <c r="D23" s="123">
        <f t="shared" si="5"/>
        <v>825079693.2219795</v>
      </c>
      <c r="E23" s="153">
        <f t="shared" si="3"/>
        <v>7.9359776876111994</v>
      </c>
      <c r="F23" s="155"/>
      <c r="G23" s="973">
        <f t="shared" si="4"/>
        <v>209.0764694121799</v>
      </c>
      <c r="H23" s="973">
        <f t="shared" si="4"/>
        <v>8.2507969322197958</v>
      </c>
      <c r="I23" s="303"/>
    </row>
    <row r="24" spans="2:9">
      <c r="B24" s="122" t="s">
        <v>111</v>
      </c>
      <c r="C24" s="123">
        <f>C96</f>
        <v>25069966010.50441</v>
      </c>
      <c r="D24" s="123">
        <f>D96</f>
        <v>453563558.68000001</v>
      </c>
      <c r="E24" s="153">
        <f t="shared" si="3"/>
        <v>3.6382631388824831</v>
      </c>
      <c r="F24" s="155"/>
      <c r="G24" s="973">
        <f t="shared" si="4"/>
        <v>250.6996601050441</v>
      </c>
      <c r="H24" s="973">
        <f t="shared" si="4"/>
        <v>4.5356355867999998</v>
      </c>
      <c r="I24" s="303"/>
    </row>
    <row r="25" spans="2:9">
      <c r="B25" s="122" t="s">
        <v>112</v>
      </c>
      <c r="C25" s="123">
        <f>C95</f>
        <v>4410848146.2593412</v>
      </c>
      <c r="D25" s="123">
        <f>D95</f>
        <v>86449162.379999995</v>
      </c>
      <c r="E25" s="153">
        <f t="shared" si="3"/>
        <v>3.9413806549386248</v>
      </c>
      <c r="F25" s="382"/>
      <c r="G25" s="973">
        <f t="shared" si="4"/>
        <v>44.10848146259341</v>
      </c>
      <c r="H25" s="973">
        <f t="shared" si="4"/>
        <v>0.8644916238</v>
      </c>
      <c r="I25" s="303"/>
    </row>
    <row r="26" spans="2:9">
      <c r="B26" s="124" t="s">
        <v>116</v>
      </c>
      <c r="C26" s="152">
        <f>SUM(C21:C25)</f>
        <v>217459149552.27863</v>
      </c>
      <c r="D26" s="152">
        <f>SUM(D21:D25)</f>
        <v>5976210010.1800003</v>
      </c>
      <c r="E26" s="153">
        <f t="shared" si="3"/>
        <v>5.5265978380667198</v>
      </c>
      <c r="G26" s="973">
        <f t="shared" si="4"/>
        <v>2174.5914955227863</v>
      </c>
      <c r="H26" s="973">
        <f t="shared" si="4"/>
        <v>59.762100101800002</v>
      </c>
    </row>
    <row r="27" spans="2:9">
      <c r="C27" s="152">
        <f>C26-SUM(C118:C120)-C25-C24</f>
        <v>0</v>
      </c>
      <c r="D27" s="152">
        <f>D26-SUM(D118:D120)-D25-D24</f>
        <v>0</v>
      </c>
      <c r="E27" s="153"/>
    </row>
    <row r="28" spans="2:9" ht="16.5">
      <c r="B28" s="373" t="s">
        <v>3541</v>
      </c>
      <c r="C28" s="152">
        <f>C22+C23</f>
        <v>56470838870.491928</v>
      </c>
      <c r="D28" s="152">
        <f>D22+D23</f>
        <v>1738553437.5542498</v>
      </c>
      <c r="E28" s="153">
        <f>D28*100/C28*$E$1/$D$1</f>
        <v>6.1911810199186972</v>
      </c>
      <c r="G28" s="973">
        <f t="shared" ref="G28:H29" si="6">C28/10^8</f>
        <v>564.70838870491923</v>
      </c>
      <c r="H28" s="973">
        <f t="shared" si="6"/>
        <v>17.385534375542498</v>
      </c>
    </row>
    <row r="29" spans="2:9" ht="16.5">
      <c r="B29" s="374" t="s">
        <v>3293</v>
      </c>
      <c r="C29" s="152">
        <f>C21+C22+C23+C25</f>
        <v>192389183541.77423</v>
      </c>
      <c r="D29" s="152">
        <f>D21+D22+D23+D25</f>
        <v>5522646451.5</v>
      </c>
      <c r="E29" s="153">
        <f t="shared" ref="E29" si="7">D29*100/C29*$E$1/$D$1</f>
        <v>5.7726640973724335</v>
      </c>
      <c r="G29" s="973">
        <f t="shared" si="6"/>
        <v>1923.8918354177424</v>
      </c>
      <c r="H29" s="973">
        <f t="shared" si="6"/>
        <v>55.226464515000004</v>
      </c>
    </row>
    <row r="30" spans="2:9">
      <c r="C30" s="152"/>
      <c r="D30" s="152"/>
      <c r="E30" s="153"/>
      <c r="G30" s="973"/>
      <c r="H30" s="973"/>
    </row>
    <row r="31" spans="2:9">
      <c r="B31" s="121" t="s">
        <v>96</v>
      </c>
    </row>
    <row r="32" spans="2:9">
      <c r="B32" s="122" t="s">
        <v>24</v>
      </c>
      <c r="C32" s="123">
        <f>C124</f>
        <v>56008057982.086311</v>
      </c>
      <c r="D32" s="123">
        <f>D124</f>
        <v>429822930.81</v>
      </c>
      <c r="E32" s="153">
        <f t="shared" ref="E32:E37" si="8">D32*100/C32*$E$1/$D$1</f>
        <v>1.5432943431219504</v>
      </c>
      <c r="F32" s="155"/>
      <c r="G32" s="973">
        <f t="shared" ref="G32:H45" si="9">C32/10^8</f>
        <v>560.08057982086314</v>
      </c>
      <c r="H32" s="973">
        <f t="shared" si="9"/>
        <v>4.2982293080999998</v>
      </c>
      <c r="I32" s="303"/>
    </row>
    <row r="33" spans="2:11">
      <c r="B33" s="122" t="s">
        <v>26</v>
      </c>
      <c r="C33" s="123">
        <f>SUM(C125:C129)-C166</f>
        <v>16862610485.947962</v>
      </c>
      <c r="D33" s="123">
        <f>SUM(D125:D129)-C157-C158</f>
        <v>279426406.15000004</v>
      </c>
      <c r="E33" s="153">
        <f t="shared" si="8"/>
        <v>3.332363234127167</v>
      </c>
      <c r="F33" s="155"/>
      <c r="G33" s="973">
        <f>C33/10^8</f>
        <v>168.62610485947963</v>
      </c>
      <c r="H33" s="973">
        <f t="shared" si="9"/>
        <v>2.7942640615000003</v>
      </c>
      <c r="I33" s="303"/>
    </row>
    <row r="34" spans="2:11">
      <c r="B34" s="122" t="s">
        <v>27</v>
      </c>
      <c r="C34" s="123">
        <f>C131-C167</f>
        <v>28147782398.473793</v>
      </c>
      <c r="D34" s="123">
        <f>D131-C159</f>
        <v>371839274.87</v>
      </c>
      <c r="E34" s="153">
        <f t="shared" si="8"/>
        <v>2.6565669900099733</v>
      </c>
      <c r="F34" s="155"/>
      <c r="G34" s="973">
        <f>C34/10^8</f>
        <v>281.47782398473794</v>
      </c>
      <c r="H34" s="973">
        <f t="shared" si="9"/>
        <v>3.7183927486999999</v>
      </c>
      <c r="I34" s="303"/>
    </row>
    <row r="35" spans="2:11">
      <c r="B35" s="122" t="s">
        <v>100</v>
      </c>
      <c r="C35" s="123">
        <f>C134-C169</f>
        <v>89209909667.852783</v>
      </c>
      <c r="D35" s="123">
        <f>D134-C161</f>
        <v>1678370756.5200002</v>
      </c>
      <c r="E35" s="153">
        <f t="shared" si="8"/>
        <v>3.783419532979639</v>
      </c>
      <c r="F35" s="155"/>
      <c r="G35" s="973">
        <f t="shared" si="9"/>
        <v>892.09909667852787</v>
      </c>
      <c r="H35" s="973">
        <f t="shared" si="9"/>
        <v>16.783707565200004</v>
      </c>
      <c r="I35" s="303"/>
    </row>
    <row r="36" spans="2:11">
      <c r="B36" s="122" t="s">
        <v>29</v>
      </c>
      <c r="C36" s="123">
        <f>C130+C132+C133-C168</f>
        <v>91476715803.359756</v>
      </c>
      <c r="D36" s="123">
        <f>D130+D132+D133-C160</f>
        <v>1637849156.5699999</v>
      </c>
      <c r="E36" s="153">
        <f t="shared" si="8"/>
        <v>3.6005847243139866</v>
      </c>
      <c r="F36" s="155"/>
      <c r="G36" s="973">
        <f t="shared" si="9"/>
        <v>914.76715803359752</v>
      </c>
      <c r="H36" s="973">
        <f t="shared" si="9"/>
        <v>16.378491565699999</v>
      </c>
      <c r="I36" s="303"/>
    </row>
    <row r="37" spans="2:11">
      <c r="B37" s="122" t="s">
        <v>102</v>
      </c>
      <c r="C37" s="123">
        <f>C171</f>
        <v>42152017695.787247</v>
      </c>
      <c r="D37" s="123">
        <f>C163</f>
        <v>1118074937.78</v>
      </c>
      <c r="E37" s="153">
        <f t="shared" si="8"/>
        <v>5.3341133740378819</v>
      </c>
      <c r="F37" s="155"/>
      <c r="G37" s="973">
        <f t="shared" si="9"/>
        <v>421.52017695787248</v>
      </c>
      <c r="H37" s="973">
        <f t="shared" si="9"/>
        <v>11.1807493778</v>
      </c>
      <c r="I37" s="303"/>
      <c r="K37" s="152"/>
    </row>
    <row r="38" spans="2:11">
      <c r="B38" s="124" t="s">
        <v>116</v>
      </c>
      <c r="C38" s="125">
        <f>SUM(C32:C37)</f>
        <v>323857094033.50781</v>
      </c>
      <c r="D38" s="125">
        <f>SUM(D32:D37)</f>
        <v>5515383462.6999998</v>
      </c>
      <c r="E38" s="153">
        <f>D38*100/C38*$E$1/$D$1</f>
        <v>3.4247746117714049</v>
      </c>
      <c r="G38" s="974"/>
      <c r="H38" s="974"/>
      <c r="I38" s="303"/>
    </row>
    <row r="39" spans="2:11">
      <c r="C39" s="125"/>
      <c r="D39" s="125"/>
      <c r="E39" s="153"/>
      <c r="G39" s="974"/>
      <c r="H39" s="974"/>
      <c r="I39" s="303"/>
    </row>
    <row r="40" spans="2:11" ht="16.5">
      <c r="B40" s="375" t="s">
        <v>3294</v>
      </c>
      <c r="C40" s="125">
        <f>C33+C34+C35+C36+C37</f>
        <v>267849036051.42151</v>
      </c>
      <c r="D40" s="125">
        <f>D33+D34+D35+D36+D37</f>
        <v>5085560531.8899994</v>
      </c>
      <c r="E40" s="153">
        <f t="shared" ref="E40" si="10">D40*100/C40*$E$1/$D$1</f>
        <v>3.8181979278756275</v>
      </c>
      <c r="G40" s="973">
        <f t="shared" ref="G40:H40" si="11">C40/10^8</f>
        <v>2678.4903605142149</v>
      </c>
      <c r="H40" s="973">
        <f t="shared" si="11"/>
        <v>50.855605318899997</v>
      </c>
      <c r="I40" s="303"/>
    </row>
    <row r="41" spans="2:11">
      <c r="C41" s="125"/>
      <c r="D41" s="125"/>
      <c r="E41" s="153"/>
      <c r="G41" s="974"/>
      <c r="H41" s="974"/>
      <c r="I41" s="303"/>
    </row>
    <row r="42" spans="2:11">
      <c r="B42" s="122" t="s">
        <v>37</v>
      </c>
      <c r="C42" s="123">
        <f>C140+C141+C142+C143+C144</f>
        <v>79883732075.544006</v>
      </c>
      <c r="D42" s="123">
        <f>D140+D141+D142+D143+D144</f>
        <v>1204816417.8100002</v>
      </c>
      <c r="E42" s="153">
        <f t="shared" ref="E42:E46" si="12">D42*100/C42*$E$1/$D$1</f>
        <v>3.0329987264288132</v>
      </c>
      <c r="F42" s="155"/>
      <c r="G42" s="973">
        <f t="shared" si="9"/>
        <v>798.83732075544003</v>
      </c>
      <c r="H42" s="973">
        <f t="shared" si="9"/>
        <v>12.048164178100002</v>
      </c>
      <c r="I42" s="303"/>
    </row>
    <row r="43" spans="2:11">
      <c r="B43" s="122" t="s">
        <v>104</v>
      </c>
      <c r="C43" s="123">
        <f>C145</f>
        <v>20236599429.224155</v>
      </c>
      <c r="D43" s="123">
        <f>D145</f>
        <v>224962581.59</v>
      </c>
      <c r="E43" s="153">
        <f t="shared" si="12"/>
        <v>2.2355400226378506</v>
      </c>
      <c r="F43" s="155"/>
      <c r="G43" s="973">
        <f t="shared" si="9"/>
        <v>202.36599429224157</v>
      </c>
      <c r="H43" s="973">
        <f t="shared" si="9"/>
        <v>2.2496258159</v>
      </c>
      <c r="I43" s="303"/>
    </row>
    <row r="44" spans="2:11">
      <c r="B44" s="122" t="s">
        <v>105</v>
      </c>
      <c r="C44" s="123">
        <f>C147</f>
        <v>7594411513.7841902</v>
      </c>
      <c r="D44" s="123">
        <f>D147</f>
        <v>232912514.38999999</v>
      </c>
      <c r="E44" s="153">
        <f t="shared" si="12"/>
        <v>6.167489161075502</v>
      </c>
      <c r="F44" s="155"/>
      <c r="G44" s="973">
        <f t="shared" si="9"/>
        <v>75.944115137841905</v>
      </c>
      <c r="H44" s="973">
        <f t="shared" si="9"/>
        <v>2.3291251438999998</v>
      </c>
      <c r="I44" s="303"/>
    </row>
    <row r="45" spans="2:11">
      <c r="B45" s="122" t="s">
        <v>3413</v>
      </c>
      <c r="C45" s="123">
        <f>C148</f>
        <v>40165155784.00296</v>
      </c>
      <c r="D45" s="123">
        <f>D148</f>
        <v>614419478.38</v>
      </c>
      <c r="E45" s="153">
        <f t="shared" si="12"/>
        <v>3.0762754308845306</v>
      </c>
      <c r="F45" s="155"/>
      <c r="G45" s="973">
        <f t="shared" si="9"/>
        <v>401.65155784002962</v>
      </c>
      <c r="H45" s="973">
        <f t="shared" si="9"/>
        <v>6.1441947837999997</v>
      </c>
      <c r="I45" s="303"/>
    </row>
    <row r="46" spans="2:11">
      <c r="B46" s="124" t="s">
        <v>116</v>
      </c>
      <c r="C46" s="152">
        <f>SUM(C42:C45)</f>
        <v>147879898802.5553</v>
      </c>
      <c r="D46" s="152">
        <f>SUM(D42:D45)</f>
        <v>2277110992.1700001</v>
      </c>
      <c r="E46" s="153">
        <f t="shared" si="12"/>
        <v>3.0965974545128825</v>
      </c>
    </row>
    <row r="48" spans="2:11" ht="16.5">
      <c r="B48" s="376" t="s">
        <v>3295</v>
      </c>
      <c r="C48" s="152">
        <f>C42+C43+C45</f>
        <v>140285487288.77112</v>
      </c>
      <c r="D48" s="152">
        <f>D42+D43+D45</f>
        <v>2044198477.7800002</v>
      </c>
      <c r="E48" s="153">
        <f t="shared" ref="E48" si="13">D48*100/C48*$E$1/$D$1</f>
        <v>2.9303534916865845</v>
      </c>
      <c r="G48" s="973">
        <f t="shared" ref="G48:H48" si="14">C48/10^8</f>
        <v>1402.8548728877113</v>
      </c>
      <c r="H48" s="973">
        <f t="shared" si="14"/>
        <v>20.441984777800002</v>
      </c>
    </row>
    <row r="52" spans="1:5">
      <c r="B52" s="124" t="s">
        <v>117</v>
      </c>
      <c r="C52" s="152">
        <f>SUM(C26,C38)</f>
        <v>541316243585.78644</v>
      </c>
      <c r="D52" s="152">
        <f>SUM(D26,D38)</f>
        <v>11491593472.880001</v>
      </c>
      <c r="E52" s="153">
        <f t="shared" ref="E52:E53" si="15">D52*100/C52*$E$1/$D$1</f>
        <v>4.2691252048216795</v>
      </c>
    </row>
    <row r="53" spans="1:5">
      <c r="B53" s="124" t="s">
        <v>118</v>
      </c>
      <c r="C53" s="152">
        <f>SUM(C10,C46)</f>
        <v>503019402749.67261</v>
      </c>
      <c r="D53" s="152">
        <f>SUM(D10,D46)</f>
        <v>6060675715.5300007</v>
      </c>
      <c r="E53" s="153">
        <f t="shared" si="15"/>
        <v>2.4229586764397881</v>
      </c>
    </row>
    <row r="54" spans="1:5">
      <c r="E54" s="152">
        <f>E52-E53</f>
        <v>1.8461665283818913</v>
      </c>
    </row>
    <row r="55" spans="1:5">
      <c r="C55" s="152"/>
      <c r="D55" s="152"/>
      <c r="E55" s="152">
        <f>(D52-D53)/C52*E1/D1*100</f>
        <v>2.0175851101880191</v>
      </c>
    </row>
    <row r="56" spans="1:5">
      <c r="C56" s="152">
        <f>SUM(C33:C37)</f>
        <v>267849036051.42151</v>
      </c>
    </row>
    <row r="58" spans="1:5">
      <c r="C58" s="152"/>
      <c r="D58" s="152"/>
    </row>
    <row r="59" spans="1:5">
      <c r="C59" s="152"/>
      <c r="D59" s="152"/>
    </row>
    <row r="61" spans="1:5">
      <c r="C61" s="120" t="s">
        <v>90</v>
      </c>
      <c r="D61" s="120" t="s">
        <v>91</v>
      </c>
    </row>
    <row r="63" spans="1:5">
      <c r="A63" s="300">
        <v>2001</v>
      </c>
      <c r="B63" s="304" t="s">
        <v>230</v>
      </c>
      <c r="C63" s="489">
        <v>55546435746.36911</v>
      </c>
      <c r="D63" s="490">
        <f>CUST_NS103_M!C67</f>
        <v>141519358.06999999</v>
      </c>
      <c r="E63" s="294">
        <f>D63/C63*$E$1/$D$1</f>
        <v>5.1235307917950786E-3</v>
      </c>
    </row>
    <row r="64" spans="1:5">
      <c r="A64" s="300">
        <v>2002</v>
      </c>
      <c r="B64" s="304" t="s">
        <v>241</v>
      </c>
      <c r="C64" s="489">
        <v>74170733862.065811</v>
      </c>
      <c r="D64" s="490">
        <f>CUST_NS103_M!C68</f>
        <v>1345622640.47</v>
      </c>
      <c r="E64" s="294">
        <f t="shared" ref="E64:E71" si="16">D64/C64*$E$1/$D$1</f>
        <v>3.6483828621077879E-2</v>
      </c>
    </row>
    <row r="65" spans="1:9">
      <c r="A65" s="300">
        <v>2003</v>
      </c>
      <c r="B65" s="304" t="s">
        <v>325</v>
      </c>
      <c r="C65" s="489">
        <v>71043532560.202652</v>
      </c>
      <c r="D65" s="490">
        <f>CUST_NS103_M!C69</f>
        <v>110107960.95999999</v>
      </c>
      <c r="E65" s="294">
        <f t="shared" si="16"/>
        <v>3.1167636452386371E-3</v>
      </c>
    </row>
    <row r="66" spans="1:9">
      <c r="A66" s="300">
        <v>2004</v>
      </c>
      <c r="B66" s="304" t="s">
        <v>334</v>
      </c>
      <c r="C66" s="489">
        <v>105350082120.25238</v>
      </c>
      <c r="D66" s="490">
        <f>CUST_NS103_M!C70</f>
        <v>1441896006.6800001</v>
      </c>
      <c r="E66" s="294">
        <f t="shared" si="16"/>
        <v>2.7523823105449624E-2</v>
      </c>
    </row>
    <row r="67" spans="1:9">
      <c r="A67" s="300">
        <v>2005</v>
      </c>
      <c r="B67" s="304" t="s">
        <v>521</v>
      </c>
      <c r="C67" s="489">
        <v>28968303.905000001</v>
      </c>
      <c r="D67" s="490">
        <f>CUST_NS103_M!C71</f>
        <v>0</v>
      </c>
      <c r="E67" s="294">
        <f t="shared" si="16"/>
        <v>0</v>
      </c>
    </row>
    <row r="68" spans="1:9">
      <c r="A68" s="300">
        <v>2006</v>
      </c>
      <c r="B68" s="304" t="s">
        <v>324</v>
      </c>
      <c r="C68" s="489">
        <v>333956801.13065922</v>
      </c>
      <c r="D68" s="490">
        <f>CUST_NS103_M!C72</f>
        <v>590831.11</v>
      </c>
      <c r="E68" s="294">
        <f t="shared" si="16"/>
        <v>3.5578100686608828E-3</v>
      </c>
    </row>
    <row r="69" spans="1:9">
      <c r="A69" s="300">
        <v>2008</v>
      </c>
      <c r="B69" s="304" t="s">
        <v>523</v>
      </c>
      <c r="C69" s="489">
        <v>31023741829.67033</v>
      </c>
      <c r="D69" s="490">
        <f>CUST_NS103_M!C74</f>
        <v>579048356.72000003</v>
      </c>
      <c r="E69" s="294">
        <f t="shared" si="16"/>
        <v>3.7534475647341303E-2</v>
      </c>
    </row>
    <row r="70" spans="1:9">
      <c r="A70" s="304"/>
      <c r="B70" s="450" t="s">
        <v>2581</v>
      </c>
      <c r="C70" s="490">
        <f>日均!G5+日均!G6</f>
        <v>18979993406.593407</v>
      </c>
      <c r="D70" s="489">
        <f>'日计表-2016.06.30'!G1296+'日计表-2016.06.30'!G1297</f>
        <v>362893542.83000004</v>
      </c>
      <c r="E70" s="294">
        <f t="shared" si="16"/>
        <v>3.8449693377474281E-2</v>
      </c>
      <c r="F70" s="152" t="s">
        <v>42</v>
      </c>
      <c r="G70" s="974">
        <f>C6+C70</f>
        <v>108088870556.09836</v>
      </c>
      <c r="H70" s="974">
        <f>D6+D70</f>
        <v>1863542242.5124002</v>
      </c>
      <c r="I70" s="294">
        <f>H70/G70*365/181</f>
        <v>3.4767427082680408E-2</v>
      </c>
    </row>
    <row r="71" spans="1:9">
      <c r="A71" s="304"/>
      <c r="B71" s="450" t="s">
        <v>2582</v>
      </c>
      <c r="C71" s="490">
        <f>日均!G8+日均!G9</f>
        <v>11534146774.725275</v>
      </c>
      <c r="D71" s="489">
        <f>'日计表-2016.06.30'!G1298+'日计表-2016.06.30'!G1299</f>
        <v>207746987.48999998</v>
      </c>
      <c r="E71" s="294">
        <f t="shared" si="16"/>
        <v>3.6220876764281706E-2</v>
      </c>
      <c r="F71" s="152" t="s">
        <v>45</v>
      </c>
      <c r="G71" s="974">
        <f>C8+C71</f>
        <v>117164340568.76909</v>
      </c>
      <c r="H71" s="974">
        <f>D8+D71</f>
        <v>1652407377.8400002</v>
      </c>
      <c r="I71" s="294">
        <f>H71/G71*365/181</f>
        <v>2.844041717038203E-2</v>
      </c>
    </row>
    <row r="72" spans="1:9" ht="9.75" customHeight="1">
      <c r="A72" s="304"/>
      <c r="B72" s="450" t="s">
        <v>3296</v>
      </c>
      <c r="C72" s="490">
        <f>日均!G7</f>
        <v>509601648.35164833</v>
      </c>
      <c r="D72" s="489">
        <f>'日计表-2016.06.30'!G1300</f>
        <v>8407826.4000000004</v>
      </c>
      <c r="E72" s="294">
        <f>D72/C72*$E$1/$D$1</f>
        <v>3.3178947814226797E-2</v>
      </c>
      <c r="F72" s="152"/>
      <c r="G72" s="974"/>
      <c r="H72" s="974"/>
      <c r="I72" s="294"/>
    </row>
    <row r="73" spans="1:9">
      <c r="A73" s="304"/>
      <c r="B73" s="304"/>
      <c r="C73" s="305">
        <f>C69-C70-C71-C72</f>
        <v>0</v>
      </c>
      <c r="D73" s="305">
        <f>D69-D70-D71-D72</f>
        <v>0</v>
      </c>
    </row>
    <row r="74" spans="1:9">
      <c r="A74" s="304"/>
      <c r="B74" s="304"/>
      <c r="C74" s="305"/>
      <c r="D74" s="305"/>
      <c r="E74" s="294"/>
    </row>
    <row r="75" spans="1:9">
      <c r="A75" s="304"/>
      <c r="B75" s="304"/>
      <c r="C75" s="305"/>
      <c r="D75" s="305"/>
      <c r="E75" s="294"/>
    </row>
    <row r="76" spans="1:9">
      <c r="A76" s="300">
        <v>2009</v>
      </c>
      <c r="B76" s="304" t="s">
        <v>524</v>
      </c>
      <c r="C76" s="489">
        <v>3467582417.5824175</v>
      </c>
      <c r="D76" s="489">
        <f>VLOOKUP(F76,'日计表-2016.06.30'!A:H,7,0)</f>
        <v>44768690.469999999</v>
      </c>
      <c r="E76" s="294">
        <f>D76/C76*$E$1/$D$1</f>
        <v>2.5963144845539535E-2</v>
      </c>
      <c r="F76" s="124">
        <v>64119905</v>
      </c>
    </row>
    <row r="77" spans="1:9">
      <c r="A77" s="300">
        <v>2011</v>
      </c>
      <c r="B77" s="304" t="s">
        <v>525</v>
      </c>
      <c r="C77" s="489">
        <v>1398825998.4677472</v>
      </c>
      <c r="D77" s="488"/>
    </row>
    <row r="78" spans="1:9">
      <c r="A78" s="300">
        <v>2012</v>
      </c>
      <c r="B78" s="304" t="s">
        <v>526</v>
      </c>
      <c r="C78" s="489">
        <v>1392912.0227472552</v>
      </c>
      <c r="D78" s="488"/>
    </row>
    <row r="79" spans="1:9">
      <c r="A79" s="300">
        <v>2013</v>
      </c>
      <c r="B79" s="304" t="s">
        <v>527</v>
      </c>
      <c r="C79" s="305">
        <v>0</v>
      </c>
      <c r="D79" s="488"/>
    </row>
    <row r="80" spans="1:9">
      <c r="A80" s="300">
        <v>2014</v>
      </c>
      <c r="B80" s="304" t="s">
        <v>528</v>
      </c>
      <c r="C80" s="489">
        <v>12774251395.44846</v>
      </c>
      <c r="D80" s="490">
        <f>CUST_NS103_M!C73</f>
        <v>120010878.88</v>
      </c>
      <c r="E80" s="294">
        <f t="shared" ref="E80:E85" si="17">D80/C80*$E$1/$D$1</f>
        <v>1.8892735954202704E-2</v>
      </c>
    </row>
    <row r="81" spans="1:6">
      <c r="B81" s="298" t="s">
        <v>519</v>
      </c>
      <c r="C81" s="321">
        <f>日均!I6</f>
        <v>1977808882.0321972</v>
      </c>
      <c r="D81" s="490">
        <f>保证金存款!E2</f>
        <v>11291317.460000001</v>
      </c>
      <c r="E81" s="503">
        <f t="shared" si="17"/>
        <v>1.1480742926140175E-2</v>
      </c>
    </row>
    <row r="82" spans="1:6">
      <c r="B82" s="298" t="s">
        <v>520</v>
      </c>
      <c r="C82" s="321">
        <f>日均!I7</f>
        <v>10479799596.597641</v>
      </c>
      <c r="D82" s="490">
        <f>保证金存款!E3</f>
        <v>105890537.87000002</v>
      </c>
      <c r="E82" s="503">
        <f t="shared" si="17"/>
        <v>2.0319540088669263E-2</v>
      </c>
    </row>
    <row r="83" spans="1:6">
      <c r="B83" s="298" t="s">
        <v>529</v>
      </c>
      <c r="C83" s="321">
        <f>日均!I8</f>
        <v>36531243.027197845</v>
      </c>
      <c r="D83" s="490">
        <f>保证金存款!E4</f>
        <v>64639.880000000005</v>
      </c>
      <c r="E83" s="503">
        <f t="shared" si="17"/>
        <v>3.5583264510016688E-3</v>
      </c>
    </row>
    <row r="84" spans="1:6">
      <c r="B84" s="298" t="s">
        <v>530</v>
      </c>
      <c r="C84" s="321">
        <f>日均!I9</f>
        <v>280111673.79142833</v>
      </c>
      <c r="D84" s="490">
        <f>保证金存款!E5</f>
        <v>2764383.67</v>
      </c>
      <c r="E84" s="503">
        <f t="shared" si="17"/>
        <v>1.98461745891634E-2</v>
      </c>
    </row>
    <row r="85" spans="1:6" ht="12.75">
      <c r="B85" s="506" t="s">
        <v>3515</v>
      </c>
      <c r="C85" s="489">
        <f>'2016.06.30ftp'!K50</f>
        <v>990761273.25909996</v>
      </c>
      <c r="D85" s="489">
        <f>'2016.06.30ftp'!M50</f>
        <v>4366830.8723999998</v>
      </c>
      <c r="E85" s="503">
        <f t="shared" si="17"/>
        <v>8.8635366906871568E-3</v>
      </c>
    </row>
    <row r="86" spans="1:6">
      <c r="B86" s="301"/>
      <c r="C86" s="321">
        <f>C80-C81-C82-C83-C84</f>
        <v>-5.4836273193359375E-6</v>
      </c>
      <c r="D86" s="490">
        <f>D80-D81-D82-D83-D84</f>
        <v>-3.2596290111541748E-8</v>
      </c>
    </row>
    <row r="87" spans="1:6">
      <c r="B87" s="301"/>
      <c r="C87" s="321">
        <f>C10-SUM(C63:C69,C76:C80)</f>
        <v>0</v>
      </c>
      <c r="D87" s="490">
        <f>D10-SUM(D63:D69,D76:D80)</f>
        <v>0</v>
      </c>
    </row>
    <row r="88" spans="1:6">
      <c r="D88" s="152"/>
    </row>
    <row r="89" spans="1:6">
      <c r="A89" s="304" t="s">
        <v>2548</v>
      </c>
      <c r="B89" s="304" t="s">
        <v>2549</v>
      </c>
      <c r="C89" s="489">
        <v>217459149552.27863</v>
      </c>
      <c r="D89" s="490">
        <f>CUST_NS103_M!F5</f>
        <v>5976210010.1800003</v>
      </c>
      <c r="E89" s="294">
        <f t="shared" ref="E89:E99" si="18">D89/C89*$E$1/$D$1</f>
        <v>5.5265978380667199E-2</v>
      </c>
    </row>
    <row r="90" spans="1:6">
      <c r="A90" s="304" t="s">
        <v>2550</v>
      </c>
      <c r="B90" s="304" t="s">
        <v>2551</v>
      </c>
      <c r="C90" s="489">
        <v>11127013250.47242</v>
      </c>
      <c r="D90" s="490"/>
      <c r="E90" s="294"/>
    </row>
    <row r="91" spans="1:6">
      <c r="A91" s="304">
        <v>1301</v>
      </c>
      <c r="B91" s="304" t="s">
        <v>835</v>
      </c>
      <c r="C91" s="489">
        <v>7229645655.6301098</v>
      </c>
      <c r="D91" s="490">
        <f>CUST_NS103_M!C6</f>
        <v>277711764.79000002</v>
      </c>
      <c r="E91" s="294">
        <f>D91/C91*$E$1/$D$1</f>
        <v>7.7247950150937272E-2</v>
      </c>
    </row>
    <row r="92" spans="1:6">
      <c r="A92" s="304">
        <v>1302</v>
      </c>
      <c r="B92" s="304" t="s">
        <v>859</v>
      </c>
      <c r="C92" s="489">
        <v>2824518.087472531</v>
      </c>
      <c r="D92" s="490">
        <f>CUST_NS103_M!C7</f>
        <v>83799.75</v>
      </c>
      <c r="E92" s="621">
        <f>D92/C92*$E$1/$D$1</f>
        <v>5.9663408466406317E-2</v>
      </c>
    </row>
    <row r="93" spans="1:6">
      <c r="A93" s="304">
        <v>1303</v>
      </c>
      <c r="B93" s="304" t="s">
        <v>860</v>
      </c>
      <c r="C93" s="489">
        <v>3894543076.7548447</v>
      </c>
      <c r="D93" s="490">
        <f>CUST_NS103_M!C8</f>
        <v>111134108.61</v>
      </c>
      <c r="E93" s="294">
        <f t="shared" si="18"/>
        <v>5.7385286734841674E-2</v>
      </c>
    </row>
    <row r="94" spans="1:6">
      <c r="A94" s="304">
        <v>1304</v>
      </c>
      <c r="B94" s="304" t="s">
        <v>876</v>
      </c>
      <c r="C94" s="489">
        <v>175758289127.83997</v>
      </c>
      <c r="D94" s="490">
        <f>CUST_NS103_M!C9</f>
        <v>4972066856.3100004</v>
      </c>
      <c r="E94" s="294">
        <f t="shared" si="18"/>
        <v>5.6889332842045129E-2</v>
      </c>
    </row>
    <row r="95" spans="1:6">
      <c r="A95" s="304">
        <v>1305</v>
      </c>
      <c r="B95" s="304" t="s">
        <v>494</v>
      </c>
      <c r="C95" s="489">
        <v>4410848146.2593412</v>
      </c>
      <c r="D95" s="490">
        <f>CUST_NS103_M!C10</f>
        <v>86449162.379999995</v>
      </c>
      <c r="E95" s="294">
        <f t="shared" si="18"/>
        <v>3.9413806549386247E-2</v>
      </c>
    </row>
    <row r="96" spans="1:6">
      <c r="A96" s="304">
        <v>1306</v>
      </c>
      <c r="B96" s="304" t="s">
        <v>932</v>
      </c>
      <c r="C96" s="489">
        <v>25069966010.50441</v>
      </c>
      <c r="D96" s="490">
        <f>CUST_NS103_M!F26</f>
        <v>453563558.68000001</v>
      </c>
      <c r="E96" s="294">
        <f t="shared" si="18"/>
        <v>3.6382631388824839E-2</v>
      </c>
      <c r="F96" s="335" t="s">
        <v>2559</v>
      </c>
    </row>
    <row r="97" spans="1:8">
      <c r="A97" s="304">
        <v>1307</v>
      </c>
      <c r="B97" s="304" t="s">
        <v>956</v>
      </c>
      <c r="C97" s="489">
        <v>679998893.14477897</v>
      </c>
      <c r="D97" s="490">
        <f>CUST_NS103_M!C12</f>
        <v>84682.3</v>
      </c>
      <c r="E97" s="294">
        <f t="shared" si="18"/>
        <v>2.5043448811764034E-4</v>
      </c>
    </row>
    <row r="98" spans="1:8">
      <c r="A98" s="304">
        <v>1308</v>
      </c>
      <c r="B98" s="304" t="s">
        <v>415</v>
      </c>
      <c r="C98" s="489">
        <v>413034124.05774796</v>
      </c>
      <c r="D98" s="490">
        <f>CUST_NS103_M!C13</f>
        <v>3149028.71</v>
      </c>
      <c r="E98" s="294">
        <f t="shared" si="18"/>
        <v>1.533205554273648E-2</v>
      </c>
    </row>
    <row r="99" spans="1:8">
      <c r="A99" s="304">
        <v>1309</v>
      </c>
      <c r="B99" s="304" t="s">
        <v>974</v>
      </c>
      <c r="C99" s="489">
        <v>6649464309.8070393</v>
      </c>
      <c r="D99" s="490">
        <f>CUST_NS103_M!C14</f>
        <v>71436639.959999993</v>
      </c>
      <c r="E99" s="294">
        <f t="shared" si="18"/>
        <v>2.1604491918192921E-2</v>
      </c>
      <c r="F99" s="324" t="s">
        <v>2552</v>
      </c>
    </row>
    <row r="100" spans="1:8">
      <c r="A100" s="304"/>
      <c r="B100" s="304" t="s">
        <v>2538</v>
      </c>
      <c r="C100" s="489">
        <v>0</v>
      </c>
      <c r="D100" s="490"/>
      <c r="E100" s="294"/>
    </row>
    <row r="101" spans="1:8">
      <c r="C101" s="488"/>
      <c r="D101" s="490">
        <f>CUST_NS103_M!C16</f>
        <v>530408.68999999994</v>
      </c>
      <c r="E101" s="294"/>
      <c r="F101" s="324" t="s">
        <v>2553</v>
      </c>
    </row>
    <row r="102" spans="1:8">
      <c r="D102" s="152"/>
    </row>
    <row r="103" spans="1:8">
      <c r="D103" s="152"/>
    </row>
    <row r="106" spans="1:8">
      <c r="B106" s="124" t="s">
        <v>2543</v>
      </c>
    </row>
    <row r="107" spans="1:8" s="301" customFormat="1">
      <c r="B107" s="488" t="s">
        <v>108</v>
      </c>
      <c r="C107" s="424">
        <f>'2016.06.30ftp'!K329</f>
        <v>131537628021.64941</v>
      </c>
      <c r="D107" s="424">
        <f>'2016.06.30ftp'!Q329</f>
        <v>3647124060.369947</v>
      </c>
      <c r="E107" s="503">
        <f t="shared" ref="E107:E109" si="19">D107/C107*$E$1/$D$1</f>
        <v>5.575839033611317E-2</v>
      </c>
      <c r="G107" s="975"/>
      <c r="H107" s="975"/>
    </row>
    <row r="108" spans="1:8" s="301" customFormat="1">
      <c r="B108" s="488" t="s">
        <v>33</v>
      </c>
      <c r="C108" s="424">
        <f>'2016.06.30ftp'!K330</f>
        <v>35571340302.758011</v>
      </c>
      <c r="D108" s="424">
        <f>'2016.06.30ftp'!Q330</f>
        <v>899811823.31637347</v>
      </c>
      <c r="E108" s="503">
        <f t="shared" si="19"/>
        <v>5.0869932739276418E-2</v>
      </c>
      <c r="G108" s="975"/>
      <c r="H108" s="975"/>
    </row>
    <row r="109" spans="1:8" s="301" customFormat="1">
      <c r="B109" s="488" t="s">
        <v>32</v>
      </c>
      <c r="C109" s="424">
        <f>'2016.06.30ftp'!K331</f>
        <v>20912437380.622002</v>
      </c>
      <c r="D109" s="424">
        <f>'2016.06.30ftp'!Q331</f>
        <v>817047832.02945089</v>
      </c>
      <c r="E109" s="503">
        <f t="shared" si="19"/>
        <v>7.8569235223921605E-2</v>
      </c>
      <c r="G109" s="975"/>
      <c r="H109" s="975"/>
    </row>
    <row r="110" spans="1:8">
      <c r="B110" s="453" t="s">
        <v>3524</v>
      </c>
      <c r="C110" s="504">
        <f>C89-C95-C96-SUM(C107:C109)-C114</f>
        <v>-43070309.514526367</v>
      </c>
      <c r="D110" s="505">
        <f>SUM(D91:D94,D97:D101)-SUM(D107:D109)</f>
        <v>72213573.404229164</v>
      </c>
      <c r="F110" s="124" t="s">
        <v>3525</v>
      </c>
    </row>
    <row r="111" spans="1:8">
      <c r="B111" s="301"/>
      <c r="C111" s="321"/>
      <c r="D111" s="516"/>
    </row>
    <row r="113" spans="1:10" s="301" customFormat="1">
      <c r="A113" s="579" t="s">
        <v>2554</v>
      </c>
      <c r="B113" s="562">
        <v>999999</v>
      </c>
      <c r="C113" s="563"/>
      <c r="D113" s="516"/>
      <c r="G113" s="975"/>
      <c r="H113" s="975"/>
    </row>
    <row r="114" spans="1:10" s="301" customFormat="1">
      <c r="A114" s="579"/>
      <c r="B114" s="562">
        <v>370081</v>
      </c>
      <c r="C114" s="563"/>
      <c r="D114" s="516"/>
      <c r="F114" s="301" t="s">
        <v>2555</v>
      </c>
      <c r="G114" s="975"/>
      <c r="H114" s="975"/>
    </row>
    <row r="115" spans="1:10" s="301" customFormat="1">
      <c r="A115" s="564"/>
      <c r="B115" s="562">
        <v>999990</v>
      </c>
      <c r="C115" s="565"/>
      <c r="D115" s="516"/>
      <c r="G115" s="975"/>
      <c r="H115" s="975"/>
    </row>
    <row r="116" spans="1:10">
      <c r="C116" s="152"/>
    </row>
    <row r="117" spans="1:10">
      <c r="B117" s="331" t="s">
        <v>2556</v>
      </c>
    </row>
    <row r="118" spans="1:10">
      <c r="B118" s="488" t="s">
        <v>108</v>
      </c>
      <c r="C118" s="152">
        <f>F118+F118/SUM($F$118:$F$120)*$C$110</f>
        <v>131507496525.02298</v>
      </c>
      <c r="D118" s="152">
        <f>G118+F118/SUM($F$118:$F$120)*$D$110</f>
        <v>3697643851.5657506</v>
      </c>
      <c r="E118" s="294">
        <f t="shared" ref="E118:E120" si="20">D118/C118*$E$1/$D$1</f>
        <v>5.6543705480964074E-2</v>
      </c>
      <c r="F118" s="152">
        <f>C107+C114</f>
        <v>131537628021.64941</v>
      </c>
      <c r="G118" s="974">
        <f>D107</f>
        <v>3647124060.369947</v>
      </c>
      <c r="J118" s="456">
        <f>C118-F118</f>
        <v>-30131496.626434326</v>
      </c>
    </row>
    <row r="119" spans="1:10">
      <c r="B119" s="488" t="s">
        <v>33</v>
      </c>
      <c r="C119" s="152">
        <f>F119+F119/SUM($F$118:$F$120)*$C$110</f>
        <v>35563191929.273933</v>
      </c>
      <c r="D119" s="152">
        <f>G119+F119/SUM($F$118:$F$120)*$D$110</f>
        <v>913473744.33227038</v>
      </c>
      <c r="E119" s="294">
        <f t="shared" si="20"/>
        <v>5.1654127822172831E-2</v>
      </c>
      <c r="F119" s="152">
        <f>C108</f>
        <v>35571340302.758011</v>
      </c>
      <c r="G119" s="974">
        <f>D108</f>
        <v>899811823.31637347</v>
      </c>
      <c r="J119" s="456">
        <f t="shared" ref="J119:J120" si="21">C119-F119</f>
        <v>-8148373.4840774536</v>
      </c>
    </row>
    <row r="120" spans="1:10">
      <c r="B120" s="488" t="s">
        <v>32</v>
      </c>
      <c r="C120" s="152">
        <f>F120+F120/SUM($F$118:$F$120)*$C$110</f>
        <v>20907646941.217991</v>
      </c>
      <c r="D120" s="152">
        <f>G120+F120/SUM($F$118:$F$120)*$D$110</f>
        <v>825079693.2219795</v>
      </c>
      <c r="E120" s="294">
        <f t="shared" si="20"/>
        <v>7.9359776876111995E-2</v>
      </c>
      <c r="F120" s="152">
        <f>C109</f>
        <v>20912437380.622002</v>
      </c>
      <c r="G120" s="974">
        <f>D109</f>
        <v>817047832.02945089</v>
      </c>
      <c r="J120" s="456">
        <f t="shared" si="21"/>
        <v>-4790439.4040107727</v>
      </c>
    </row>
    <row r="121" spans="1:10">
      <c r="C121" s="152">
        <f>C89-C95-C96-SUM(C118:C120)</f>
        <v>0</v>
      </c>
      <c r="D121" s="152">
        <f>D89-D95-D96-SUM(D118:D120)</f>
        <v>0</v>
      </c>
    </row>
    <row r="122" spans="1:10">
      <c r="F122" s="152">
        <f>C118-F118</f>
        <v>-30131496.626434326</v>
      </c>
      <c r="G122" s="976">
        <v>-30757470.399566699</v>
      </c>
    </row>
    <row r="123" spans="1:10">
      <c r="F123" s="152">
        <f t="shared" ref="F123:F124" si="22">C119-F119</f>
        <v>-8148373.4840774536</v>
      </c>
      <c r="G123" s="974">
        <v>-13207523.4191055</v>
      </c>
    </row>
    <row r="124" spans="1:10" s="301" customFormat="1">
      <c r="A124" s="742">
        <v>1002</v>
      </c>
      <c r="B124" s="506" t="s">
        <v>609</v>
      </c>
      <c r="C124" s="493">
        <v>56008057982.086311</v>
      </c>
      <c r="D124" s="743">
        <f>CUST_NS103_M!C19</f>
        <v>429822930.81</v>
      </c>
      <c r="E124" s="503">
        <f t="shared" ref="E124:E145" si="23">D124/C124*$E$1/$D$1</f>
        <v>1.5432943431219504E-2</v>
      </c>
      <c r="F124" s="321">
        <f t="shared" si="22"/>
        <v>-4790439.4040107727</v>
      </c>
      <c r="G124" s="975"/>
      <c r="H124" s="975"/>
    </row>
    <row r="125" spans="1:10" s="301" customFormat="1">
      <c r="A125" s="742">
        <v>1011</v>
      </c>
      <c r="B125" s="506" t="s">
        <v>624</v>
      </c>
      <c r="C125" s="493">
        <v>14548956336.167858</v>
      </c>
      <c r="D125" s="743">
        <f>CUST_NS103_M!C20</f>
        <v>252048714.58000001</v>
      </c>
      <c r="E125" s="503">
        <f t="shared" si="23"/>
        <v>3.4838732314718915E-2</v>
      </c>
      <c r="G125" s="975"/>
      <c r="H125" s="975"/>
    </row>
    <row r="126" spans="1:10" s="301" customFormat="1">
      <c r="A126" s="742">
        <v>1012</v>
      </c>
      <c r="B126" s="506" t="s">
        <v>634</v>
      </c>
      <c r="C126" s="493">
        <v>348708541.4464286</v>
      </c>
      <c r="D126" s="743">
        <f>CUST_NS103_M!C21</f>
        <v>1785976.08</v>
      </c>
      <c r="E126" s="503">
        <f t="shared" si="23"/>
        <v>1.0299656715810611E-2</v>
      </c>
      <c r="G126" s="975"/>
      <c r="H126" s="975"/>
    </row>
    <row r="127" spans="1:10" s="301" customFormat="1">
      <c r="A127" s="742">
        <v>1013</v>
      </c>
      <c r="B127" s="506" t="s">
        <v>640</v>
      </c>
      <c r="C127" s="493">
        <v>1997152751.1908188</v>
      </c>
      <c r="D127" s="743">
        <f>CUST_NS103_M!C22</f>
        <v>26294895.559999999</v>
      </c>
      <c r="E127" s="503">
        <f t="shared" si="23"/>
        <v>2.6477066406029454E-2</v>
      </c>
      <c r="G127" s="975"/>
      <c r="H127" s="975"/>
    </row>
    <row r="128" spans="1:10" s="301" customFormat="1">
      <c r="A128" s="742">
        <v>1014</v>
      </c>
      <c r="B128" s="506" t="s">
        <v>2648</v>
      </c>
      <c r="C128" s="493">
        <v>0</v>
      </c>
      <c r="D128" s="743">
        <f>CUST_NS103_M!C23</f>
        <v>21754.03</v>
      </c>
      <c r="E128" s="503" t="e">
        <f t="shared" si="23"/>
        <v>#DIV/0!</v>
      </c>
      <c r="G128" s="975"/>
      <c r="H128" s="975"/>
    </row>
    <row r="129" spans="1:8" s="301" customFormat="1">
      <c r="A129" s="742">
        <v>1031</v>
      </c>
      <c r="B129" s="506" t="s">
        <v>644</v>
      </c>
      <c r="C129" s="493">
        <v>1089560.4395604397</v>
      </c>
      <c r="D129" s="743">
        <f>CUST_NS103_M!C24</f>
        <v>6777</v>
      </c>
      <c r="E129" s="503">
        <f t="shared" si="23"/>
        <v>1.250822995461422E-2</v>
      </c>
      <c r="G129" s="975"/>
      <c r="H129" s="975"/>
    </row>
    <row r="130" spans="1:8" s="301" customFormat="1">
      <c r="A130" s="742">
        <v>1101</v>
      </c>
      <c r="B130" s="744" t="s">
        <v>648</v>
      </c>
      <c r="C130" s="493">
        <f>61281464580.9458-C170</f>
        <v>28530663979.752289</v>
      </c>
      <c r="D130" s="489">
        <f>VLOOKUP(F130,'日计表-2016.06.30'!A:H,8,0)</f>
        <v>521771785.16000003</v>
      </c>
      <c r="E130" s="503">
        <f t="shared" si="23"/>
        <v>3.6777178650505039E-2</v>
      </c>
      <c r="F130" s="301">
        <v>61110401</v>
      </c>
      <c r="G130" s="975"/>
      <c r="H130" s="975"/>
    </row>
    <row r="131" spans="1:8" s="301" customFormat="1">
      <c r="A131" s="742">
        <v>1111</v>
      </c>
      <c r="B131" s="506" t="s">
        <v>660</v>
      </c>
      <c r="C131" s="493">
        <v>28560419761.111156</v>
      </c>
      <c r="D131" s="743">
        <f>CUST_NS103_M!C25</f>
        <v>376743954.31999999</v>
      </c>
      <c r="E131" s="503">
        <f t="shared" si="23"/>
        <v>2.6527199475046864E-2</v>
      </c>
      <c r="G131" s="975"/>
      <c r="H131" s="975"/>
    </row>
    <row r="132" spans="1:8" s="301" customFormat="1">
      <c r="A132" s="742">
        <v>1501</v>
      </c>
      <c r="B132" s="506" t="s">
        <v>1028</v>
      </c>
      <c r="C132" s="493">
        <v>14844275763.191586</v>
      </c>
      <c r="D132" s="489">
        <f>VLOOKUP(F132,'日计表-2016.06.30'!A:H,8,0)</f>
        <v>296706448</v>
      </c>
      <c r="E132" s="503">
        <f t="shared" si="23"/>
        <v>4.0195521555663624E-2</v>
      </c>
      <c r="F132" s="301">
        <v>61110402</v>
      </c>
      <c r="G132" s="975"/>
      <c r="H132" s="975"/>
    </row>
    <row r="133" spans="1:8" s="301" customFormat="1">
      <c r="A133" s="742">
        <v>1503</v>
      </c>
      <c r="B133" s="506" t="s">
        <v>1036</v>
      </c>
      <c r="C133" s="493">
        <v>48440375754.016212</v>
      </c>
      <c r="D133" s="489">
        <f>VLOOKUP(F133,'日计表-2016.06.30'!A:H,8,0)</f>
        <v>833826880.07000005</v>
      </c>
      <c r="E133" s="503">
        <f t="shared" si="23"/>
        <v>3.461609590732781E-2</v>
      </c>
      <c r="F133" s="301">
        <v>61110403</v>
      </c>
      <c r="G133" s="975"/>
      <c r="H133" s="975"/>
    </row>
    <row r="134" spans="1:8" s="301" customFormat="1">
      <c r="A134" s="742">
        <v>1531</v>
      </c>
      <c r="B134" s="506" t="s">
        <v>100</v>
      </c>
      <c r="C134" s="493">
        <v>97826593002.912125</v>
      </c>
      <c r="D134" s="489">
        <f>VLOOKUP(F134,'日计表-2016.06.30'!A:H,8,0)</f>
        <v>2573188057.0100002</v>
      </c>
      <c r="E134" s="503">
        <f>D134/C134*$E$1/$D$1</f>
        <v>5.2896178298892961E-2</v>
      </c>
      <c r="F134" s="301">
        <v>61110404</v>
      </c>
      <c r="G134" s="975"/>
      <c r="H134" s="975"/>
    </row>
    <row r="135" spans="1:8" s="301" customFormat="1">
      <c r="A135" s="742"/>
      <c r="B135" s="506"/>
      <c r="C135" s="493"/>
      <c r="D135" s="493"/>
      <c r="E135" s="503"/>
      <c r="G135" s="975"/>
      <c r="H135" s="975"/>
    </row>
    <row r="136" spans="1:8" s="301" customFormat="1">
      <c r="C136" s="743"/>
      <c r="D136" s="493"/>
      <c r="E136" s="503"/>
      <c r="F136" s="742"/>
      <c r="G136" s="975"/>
      <c r="H136" s="975"/>
    </row>
    <row r="137" spans="1:8" s="301" customFormat="1">
      <c r="A137" s="742"/>
      <c r="B137" s="742"/>
      <c r="D137" s="743"/>
      <c r="E137" s="503"/>
      <c r="G137" s="975"/>
      <c r="H137" s="975"/>
    </row>
    <row r="138" spans="1:8" s="301" customFormat="1">
      <c r="A138" s="748"/>
      <c r="B138" s="748" t="s">
        <v>102</v>
      </c>
      <c r="D138" s="516"/>
      <c r="E138" s="503"/>
      <c r="F138" s="301">
        <v>611105</v>
      </c>
      <c r="G138" s="977" t="s">
        <v>2650</v>
      </c>
      <c r="H138" s="975"/>
    </row>
    <row r="140" spans="1:8">
      <c r="A140" s="300">
        <v>2017</v>
      </c>
      <c r="B140" s="304" t="s">
        <v>1333</v>
      </c>
      <c r="C140" s="762">
        <v>69049391416.203354</v>
      </c>
      <c r="D140" s="323">
        <f>CUST_NS103_M!C81</f>
        <v>1101174263.1800001</v>
      </c>
      <c r="E140" s="294">
        <f t="shared" si="23"/>
        <v>3.2070512093163091E-2</v>
      </c>
    </row>
    <row r="141" spans="1:8">
      <c r="A141" s="300">
        <v>2018</v>
      </c>
      <c r="B141" s="304" t="s">
        <v>1347</v>
      </c>
      <c r="C141" s="491">
        <v>0</v>
      </c>
      <c r="D141" s="323"/>
    </row>
    <row r="142" spans="1:8">
      <c r="A142" s="300">
        <v>2019</v>
      </c>
      <c r="B142" s="304" t="s">
        <v>1349</v>
      </c>
      <c r="C142" s="491">
        <v>5012527472.5274725</v>
      </c>
      <c r="D142" s="323">
        <f>CUST_NS103_M!C82</f>
        <v>53169880.649999999</v>
      </c>
      <c r="E142" s="294">
        <f t="shared" si="23"/>
        <v>2.1331363526439249E-2</v>
      </c>
    </row>
    <row r="143" spans="1:8">
      <c r="A143" s="300">
        <v>2020</v>
      </c>
      <c r="B143" s="304" t="s">
        <v>2557</v>
      </c>
      <c r="C143" s="491">
        <v>0</v>
      </c>
    </row>
    <row r="144" spans="1:8">
      <c r="A144" s="300">
        <v>2101</v>
      </c>
      <c r="B144" s="749" t="s">
        <v>3408</v>
      </c>
      <c r="C144" s="493">
        <v>5821813186.8131866</v>
      </c>
      <c r="D144" s="323">
        <f>-CUST_NS103_M!C63</f>
        <v>50472273.979999997</v>
      </c>
      <c r="E144" s="294">
        <f t="shared" si="23"/>
        <v>1.7434291530224525E-2</v>
      </c>
      <c r="F144" s="335"/>
    </row>
    <row r="145" spans="1:6">
      <c r="A145" s="300">
        <v>2111</v>
      </c>
      <c r="B145" s="304" t="s">
        <v>1351</v>
      </c>
      <c r="C145" s="491">
        <v>20236599429.224155</v>
      </c>
      <c r="D145" s="323">
        <f>CUST_NS103_M!C83</f>
        <v>224962581.59</v>
      </c>
      <c r="E145" s="294">
        <f t="shared" si="23"/>
        <v>2.2355400226378504E-2</v>
      </c>
    </row>
    <row r="146" spans="1:6">
      <c r="A146" s="300"/>
      <c r="B146" s="304"/>
      <c r="C146" s="491"/>
    </row>
    <row r="147" spans="1:6">
      <c r="A147" s="300">
        <v>2502</v>
      </c>
      <c r="B147" s="304" t="s">
        <v>141</v>
      </c>
      <c r="C147" s="491">
        <v>7594411513.7841902</v>
      </c>
      <c r="D147" s="489">
        <f>VLOOKUP(F147,'日计表-2016.06.30'!A:H,7,0)</f>
        <v>232912514.38999999</v>
      </c>
      <c r="E147" s="294">
        <f t="shared" ref="E147:E148" si="24">D147/C147*$E$1/$D$1</f>
        <v>6.1674891610755012E-2</v>
      </c>
      <c r="F147" s="124">
        <v>64119999</v>
      </c>
    </row>
    <row r="148" spans="1:6">
      <c r="A148" s="300">
        <v>2503</v>
      </c>
      <c r="B148" s="455" t="s">
        <v>2558</v>
      </c>
      <c r="C148" s="491">
        <v>40165155784.00296</v>
      </c>
      <c r="D148" s="323">
        <f>CUST_NS103_M!C86</f>
        <v>614419478.38</v>
      </c>
      <c r="E148" s="294">
        <f t="shared" si="24"/>
        <v>3.0762754308845307E-2</v>
      </c>
    </row>
    <row r="149" spans="1:6">
      <c r="A149" s="300"/>
      <c r="B149" s="455"/>
      <c r="C149" s="491"/>
      <c r="D149" s="323"/>
      <c r="E149" s="294"/>
    </row>
    <row r="150" spans="1:6">
      <c r="A150" s="300"/>
      <c r="B150" s="455"/>
      <c r="C150" s="491"/>
      <c r="D150" s="323"/>
      <c r="E150" s="294"/>
    </row>
    <row r="151" spans="1:6">
      <c r="C151" s="152">
        <f>C37-C144</f>
        <v>36330204508.97406</v>
      </c>
      <c r="D151" s="152">
        <f>D37-D144</f>
        <v>1067602663.8</v>
      </c>
    </row>
    <row r="152" spans="1:6">
      <c r="A152" s="525" t="s">
        <v>3544</v>
      </c>
      <c r="B152" s="526" t="s">
        <v>3545</v>
      </c>
      <c r="D152" s="152"/>
    </row>
    <row r="156" spans="1:6">
      <c r="B156" s="750" t="s">
        <v>4367</v>
      </c>
      <c r="C156" s="154">
        <v>42551</v>
      </c>
      <c r="F156" s="153"/>
    </row>
    <row r="157" spans="1:6">
      <c r="A157" s="124">
        <v>60120419</v>
      </c>
      <c r="B157" s="124" t="s">
        <v>4368</v>
      </c>
      <c r="C157" s="153">
        <v>175833.33</v>
      </c>
    </row>
    <row r="158" spans="1:6">
      <c r="A158" s="124">
        <v>60120425</v>
      </c>
      <c r="B158" s="124" t="s">
        <v>4382</v>
      </c>
      <c r="C158" s="153">
        <v>555877.77</v>
      </c>
    </row>
    <row r="159" spans="1:6">
      <c r="A159" s="124">
        <v>60120702</v>
      </c>
      <c r="B159" s="124" t="s">
        <v>4369</v>
      </c>
      <c r="C159" s="153">
        <v>4904679.45</v>
      </c>
    </row>
    <row r="160" spans="1:6">
      <c r="A160" s="124">
        <v>61110403</v>
      </c>
      <c r="B160" s="124" t="s">
        <v>4370</v>
      </c>
      <c r="C160" s="153">
        <v>14455956.66</v>
      </c>
    </row>
    <row r="161" spans="1:3">
      <c r="A161" s="124">
        <v>61110404</v>
      </c>
      <c r="B161" s="124" t="s">
        <v>4383</v>
      </c>
      <c r="C161" s="153">
        <v>894817300.49000001</v>
      </c>
    </row>
    <row r="162" spans="1:3">
      <c r="B162" s="124" t="s">
        <v>2991</v>
      </c>
      <c r="C162" s="153">
        <v>203165290.08000001</v>
      </c>
    </row>
    <row r="163" spans="1:3">
      <c r="C163" s="153">
        <f>SUM(C157:C162)</f>
        <v>1118074937.78</v>
      </c>
    </row>
    <row r="164" spans="1:3">
      <c r="C164" s="153"/>
    </row>
    <row r="165" spans="1:3">
      <c r="B165" s="750" t="s">
        <v>4371</v>
      </c>
      <c r="C165" s="154">
        <v>42551</v>
      </c>
    </row>
    <row r="166" spans="1:3">
      <c r="B166" s="124" t="s">
        <v>4372</v>
      </c>
      <c r="C166" s="153">
        <v>33296703.296703298</v>
      </c>
    </row>
    <row r="167" spans="1:3">
      <c r="B167" s="124" t="s">
        <v>4373</v>
      </c>
      <c r="C167" s="153">
        <v>412637362.6373626</v>
      </c>
    </row>
    <row r="168" spans="1:3">
      <c r="B168" s="124" t="s">
        <v>4374</v>
      </c>
      <c r="C168" s="153">
        <v>338599693.6003297</v>
      </c>
    </row>
    <row r="169" spans="1:3">
      <c r="B169" s="124" t="s">
        <v>4375</v>
      </c>
      <c r="C169" s="153">
        <v>8616683335.0593376</v>
      </c>
    </row>
    <row r="170" spans="1:3">
      <c r="B170" s="124" t="s">
        <v>4376</v>
      </c>
      <c r="C170" s="153">
        <v>32750800601.193512</v>
      </c>
    </row>
    <row r="171" spans="1:3">
      <c r="C171" s="153">
        <f>SUM(C166:C170)</f>
        <v>42152017695.787247</v>
      </c>
    </row>
  </sheetData>
  <phoneticPr fontId="1" type="noConversion"/>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43"/>
  <sheetViews>
    <sheetView topLeftCell="C1" workbookViewId="0">
      <pane xSplit="4" ySplit="6" topLeftCell="AG7" activePane="bottomRight" state="frozen"/>
      <selection activeCell="C1" sqref="C1"/>
      <selection pane="topRight" activeCell="G1" sqref="G1"/>
      <selection pane="bottomLeft" activeCell="C7" sqref="C7"/>
      <selection pane="bottomRight" activeCell="AM14" sqref="AM14"/>
    </sheetView>
  </sheetViews>
  <sheetFormatPr defaultRowHeight="11.25"/>
  <cols>
    <col min="1" max="1" width="10.5" style="296" hidden="1" customWidth="1"/>
    <col min="2" max="2" width="13.875" style="296" hidden="1" customWidth="1"/>
    <col min="3" max="3" width="15.5" style="296" bestFit="1" customWidth="1"/>
    <col min="4" max="4" width="20.5" style="296" bestFit="1" customWidth="1"/>
    <col min="5" max="5" width="22.25" style="296" bestFit="1" customWidth="1"/>
    <col min="6" max="6" width="25.5" style="296" bestFit="1" customWidth="1"/>
    <col min="7" max="7" width="32.125" style="296" bestFit="1" customWidth="1"/>
    <col min="8" max="8" width="10.25" style="296" bestFit="1" customWidth="1"/>
    <col min="9" max="9" width="15.125" style="296" bestFit="1" customWidth="1"/>
    <col min="10" max="10" width="16.125" style="296" bestFit="1" customWidth="1"/>
    <col min="11" max="11" width="15.125" style="296" bestFit="1" customWidth="1"/>
    <col min="12" max="12" width="13.625" style="325" customWidth="1"/>
    <col min="13" max="13" width="13" style="296" bestFit="1" customWidth="1"/>
    <col min="14" max="14" width="13" style="515" customWidth="1"/>
    <col min="15" max="16" width="12.75" style="325" customWidth="1"/>
    <col min="17" max="17" width="20" style="325" bestFit="1" customWidth="1"/>
    <col min="18" max="18" width="12.75" style="325" customWidth="1"/>
    <col min="19" max="19" width="14.125" style="296" bestFit="1" customWidth="1"/>
    <col min="20" max="21" width="8.125" style="296" customWidth="1"/>
    <col min="22" max="22" width="12.75" style="296" bestFit="1" customWidth="1"/>
    <col min="23" max="23" width="11.875" style="296" bestFit="1" customWidth="1"/>
    <col min="24" max="24" width="5" style="296" customWidth="1"/>
    <col min="25" max="25" width="11.125" style="296" bestFit="1" customWidth="1"/>
    <col min="26" max="26" width="5.75" style="296" customWidth="1"/>
    <col min="27" max="27" width="12" style="296" customWidth="1"/>
    <col min="28" max="28" width="5" style="296" customWidth="1"/>
    <col min="29" max="29" width="9.75" style="296" bestFit="1" customWidth="1"/>
    <col min="30" max="30" width="5" style="296" customWidth="1"/>
    <col min="31" max="31" width="11.125" style="296" bestFit="1" customWidth="1"/>
    <col min="32" max="32" width="5" style="296" customWidth="1"/>
    <col min="33" max="33" width="11.125" style="296" bestFit="1" customWidth="1"/>
    <col min="34" max="35" width="6" style="296" customWidth="1"/>
    <col min="36" max="36" width="5" style="296" customWidth="1"/>
    <col min="37" max="37" width="11.125" style="296" bestFit="1" customWidth="1"/>
    <col min="38" max="39" width="9.875" style="296" customWidth="1"/>
    <col min="40" max="40" width="6.5" style="296" customWidth="1"/>
    <col min="41" max="41" width="13.25" style="296" customWidth="1"/>
    <col min="42" max="42" width="5" style="296" customWidth="1"/>
    <col min="43" max="43" width="10.25" style="296" bestFit="1" customWidth="1"/>
    <col min="44" max="45" width="8.125" style="296" customWidth="1"/>
    <col min="46" max="46" width="12.75" style="296" bestFit="1" customWidth="1"/>
    <col min="47" max="47" width="11.875" style="296" bestFit="1" customWidth="1"/>
    <col min="48" max="16384" width="9" style="296"/>
  </cols>
  <sheetData>
    <row r="1" spans="1:47">
      <c r="G1" s="462" t="s">
        <v>3410</v>
      </c>
      <c r="H1" s="463">
        <v>182</v>
      </c>
      <c r="I1" s="325" t="s">
        <v>4356</v>
      </c>
      <c r="J1" s="325"/>
      <c r="L1" s="500"/>
      <c r="M1" s="500"/>
      <c r="O1" s="500"/>
      <c r="P1" s="500"/>
      <c r="Q1" s="500"/>
      <c r="R1" s="500"/>
    </row>
    <row r="2" spans="1:47" ht="15" customHeight="1">
      <c r="A2" s="934" t="s">
        <v>2619</v>
      </c>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c r="AN2" s="934"/>
      <c r="AO2" s="934"/>
      <c r="AP2" s="934"/>
      <c r="AQ2" s="934"/>
      <c r="AR2" s="934"/>
      <c r="AS2" s="934"/>
      <c r="AT2" s="934"/>
      <c r="AU2" s="934"/>
    </row>
    <row r="3" spans="1:47" ht="15">
      <c r="A3" s="934"/>
      <c r="B3" s="934"/>
      <c r="C3" s="934"/>
      <c r="D3" s="934"/>
      <c r="E3" s="934"/>
      <c r="F3" s="934"/>
      <c r="G3" s="934"/>
      <c r="H3" s="934"/>
      <c r="I3" s="934"/>
      <c r="J3" s="934"/>
      <c r="K3" s="934"/>
      <c r="L3" s="934"/>
      <c r="M3" s="934"/>
      <c r="N3" s="934"/>
      <c r="O3" s="934"/>
      <c r="P3" s="934"/>
      <c r="Q3" s="934"/>
      <c r="R3" s="934"/>
      <c r="S3" s="934"/>
      <c r="T3" s="934"/>
      <c r="U3" s="934"/>
      <c r="V3" s="934"/>
      <c r="W3" s="934"/>
      <c r="X3" s="934"/>
      <c r="Y3" s="934"/>
      <c r="Z3" s="934"/>
      <c r="AA3" s="934"/>
      <c r="AB3" s="934"/>
      <c r="AC3" s="934"/>
      <c r="AD3" s="934"/>
      <c r="AE3" s="934"/>
      <c r="AF3" s="934"/>
      <c r="AG3" s="934"/>
      <c r="AH3" s="934"/>
      <c r="AI3" s="934"/>
      <c r="AJ3" s="934"/>
      <c r="AK3" s="934"/>
      <c r="AL3" s="934"/>
      <c r="AM3" s="934"/>
      <c r="AN3" s="934"/>
      <c r="AO3" s="934"/>
      <c r="AP3" s="934"/>
      <c r="AQ3" s="934"/>
      <c r="AR3" s="934"/>
      <c r="AS3" s="934"/>
      <c r="AT3" s="934"/>
      <c r="AU3" s="934"/>
    </row>
    <row r="4" spans="1:47" ht="12.75" thickBot="1">
      <c r="A4" s="935" t="s">
        <v>4357</v>
      </c>
      <c r="B4" s="935"/>
      <c r="C4" s="935"/>
      <c r="D4" s="935"/>
      <c r="E4" s="935"/>
      <c r="F4" s="935"/>
      <c r="G4" s="935"/>
      <c r="H4" s="935"/>
      <c r="I4" s="935"/>
      <c r="J4" s="935"/>
      <c r="K4" s="935"/>
      <c r="L4" s="935"/>
      <c r="M4" s="935"/>
      <c r="N4" s="935"/>
      <c r="O4" s="935"/>
      <c r="P4" s="935"/>
      <c r="Q4" s="935"/>
      <c r="R4" s="935"/>
      <c r="S4" s="935"/>
      <c r="T4" s="935"/>
      <c r="U4" s="935"/>
      <c r="V4" s="935"/>
      <c r="W4" s="935"/>
      <c r="X4" s="935"/>
      <c r="Y4" s="935"/>
      <c r="Z4" s="935"/>
      <c r="AA4" s="935"/>
      <c r="AB4" s="935"/>
      <c r="AC4" s="935"/>
      <c r="AD4" s="935"/>
      <c r="AE4" s="935"/>
      <c r="AF4" s="935"/>
      <c r="AG4" s="935"/>
      <c r="AH4" s="935"/>
      <c r="AI4" s="935"/>
      <c r="AJ4" s="935"/>
      <c r="AK4" s="935"/>
      <c r="AL4" s="935"/>
      <c r="AM4" s="935"/>
      <c r="AN4" s="935"/>
      <c r="AO4" s="935"/>
      <c r="AP4" s="935"/>
      <c r="AQ4" s="935"/>
      <c r="AR4" s="935"/>
      <c r="AS4" s="935"/>
      <c r="AT4" s="935"/>
      <c r="AU4" s="935"/>
    </row>
    <row r="5" spans="1:47" ht="13.5" thickBot="1">
      <c r="A5" s="929" t="s">
        <v>2620</v>
      </c>
      <c r="B5" s="931"/>
      <c r="C5" s="931"/>
      <c r="D5" s="931"/>
      <c r="E5" s="931"/>
      <c r="F5" s="931"/>
      <c r="G5" s="931"/>
      <c r="H5" s="930"/>
      <c r="I5" s="929" t="s">
        <v>3391</v>
      </c>
      <c r="J5" s="930"/>
      <c r="K5" s="929" t="s">
        <v>3392</v>
      </c>
      <c r="L5" s="931"/>
      <c r="M5" s="931"/>
      <c r="N5" s="931"/>
      <c r="O5" s="931"/>
      <c r="P5" s="931"/>
      <c r="Q5" s="931"/>
      <c r="R5" s="931"/>
      <c r="S5" s="930"/>
      <c r="T5" s="929" t="s">
        <v>2621</v>
      </c>
      <c r="U5" s="931"/>
      <c r="V5" s="931"/>
      <c r="W5" s="930"/>
      <c r="X5" s="929" t="s">
        <v>2622</v>
      </c>
      <c r="Y5" s="930"/>
      <c r="Z5" s="929" t="s">
        <v>2623</v>
      </c>
      <c r="AA5" s="930"/>
      <c r="AB5" s="929" t="s">
        <v>2624</v>
      </c>
      <c r="AC5" s="930"/>
      <c r="AD5" s="929" t="s">
        <v>2625</v>
      </c>
      <c r="AE5" s="930"/>
      <c r="AF5" s="929" t="s">
        <v>2626</v>
      </c>
      <c r="AG5" s="930"/>
      <c r="AH5" s="929" t="s">
        <v>2627</v>
      </c>
      <c r="AI5" s="930"/>
      <c r="AJ5" s="929" t="s">
        <v>2628</v>
      </c>
      <c r="AK5" s="930"/>
      <c r="AL5" s="929" t="s">
        <v>2629</v>
      </c>
      <c r="AM5" s="930"/>
      <c r="AN5" s="929" t="s">
        <v>2630</v>
      </c>
      <c r="AO5" s="930"/>
      <c r="AP5" s="932" t="s">
        <v>2631</v>
      </c>
      <c r="AQ5" s="933"/>
      <c r="AR5" s="929" t="s">
        <v>2632</v>
      </c>
      <c r="AS5" s="931"/>
      <c r="AT5" s="931"/>
      <c r="AU5" s="930"/>
    </row>
    <row r="6" spans="1:47" ht="13.5" thickBot="1">
      <c r="A6" s="494" t="s">
        <v>220</v>
      </c>
      <c r="B6" s="494" t="s">
        <v>221</v>
      </c>
      <c r="C6" s="494" t="s">
        <v>222</v>
      </c>
      <c r="D6" s="494" t="s">
        <v>223</v>
      </c>
      <c r="E6" s="494" t="s">
        <v>224</v>
      </c>
      <c r="F6" s="494" t="s">
        <v>225</v>
      </c>
      <c r="G6" s="494" t="s">
        <v>226</v>
      </c>
      <c r="H6" s="494" t="s">
        <v>2633</v>
      </c>
      <c r="I6" s="495" t="s">
        <v>3322</v>
      </c>
      <c r="J6" s="495" t="s">
        <v>3393</v>
      </c>
      <c r="K6" s="496" t="s">
        <v>128</v>
      </c>
      <c r="L6" s="686"/>
      <c r="M6" s="687" t="s">
        <v>3394</v>
      </c>
      <c r="N6" s="688" t="s">
        <v>4358</v>
      </c>
      <c r="O6" s="689" t="s">
        <v>4359</v>
      </c>
      <c r="P6" s="686" t="s">
        <v>4360</v>
      </c>
      <c r="Q6" s="689" t="s">
        <v>4361</v>
      </c>
      <c r="R6" s="689" t="s">
        <v>66</v>
      </c>
      <c r="S6" s="495" t="s">
        <v>3395</v>
      </c>
      <c r="T6" s="495" t="s">
        <v>2634</v>
      </c>
      <c r="U6" s="495" t="s">
        <v>2635</v>
      </c>
      <c r="V6" s="495" t="s">
        <v>2636</v>
      </c>
      <c r="W6" s="495" t="s">
        <v>2637</v>
      </c>
      <c r="X6" s="495" t="s">
        <v>2638</v>
      </c>
      <c r="Y6" s="495" t="s">
        <v>2639</v>
      </c>
      <c r="Z6" s="495" t="s">
        <v>2638</v>
      </c>
      <c r="AA6" s="495" t="s">
        <v>2639</v>
      </c>
      <c r="AB6" s="496" t="s">
        <v>2638</v>
      </c>
      <c r="AC6" s="495" t="s">
        <v>2639</v>
      </c>
      <c r="AD6" s="495" t="s">
        <v>2638</v>
      </c>
      <c r="AE6" s="495" t="s">
        <v>2639</v>
      </c>
      <c r="AF6" s="495" t="s">
        <v>2638</v>
      </c>
      <c r="AG6" s="495" t="s">
        <v>2639</v>
      </c>
      <c r="AH6" s="495" t="s">
        <v>2638</v>
      </c>
      <c r="AI6" s="495" t="s">
        <v>2639</v>
      </c>
      <c r="AJ6" s="495" t="s">
        <v>2638</v>
      </c>
      <c r="AK6" s="495" t="s">
        <v>2639</v>
      </c>
      <c r="AL6" s="495" t="s">
        <v>2638</v>
      </c>
      <c r="AM6" s="496" t="s">
        <v>2639</v>
      </c>
      <c r="AN6" s="495" t="s">
        <v>2638</v>
      </c>
      <c r="AO6" s="495" t="s">
        <v>2639</v>
      </c>
      <c r="AP6" s="495" t="s">
        <v>2638</v>
      </c>
      <c r="AQ6" s="495" t="s">
        <v>2639</v>
      </c>
      <c r="AR6" s="495" t="s">
        <v>2634</v>
      </c>
      <c r="AS6" s="495" t="s">
        <v>2635</v>
      </c>
      <c r="AT6" s="495" t="s">
        <v>2636</v>
      </c>
      <c r="AU6" s="497" t="s">
        <v>2637</v>
      </c>
    </row>
    <row r="7" spans="1:47" ht="12" thickBot="1">
      <c r="A7" s="936" t="s">
        <v>139</v>
      </c>
      <c r="B7" s="936" t="s">
        <v>217</v>
      </c>
      <c r="C7" s="936" t="s">
        <v>230</v>
      </c>
      <c r="D7" s="936" t="s">
        <v>230</v>
      </c>
      <c r="E7" s="936" t="s">
        <v>231</v>
      </c>
      <c r="F7" s="936" t="s">
        <v>231</v>
      </c>
      <c r="G7" s="690" t="s">
        <v>231</v>
      </c>
      <c r="H7" s="691">
        <v>170001</v>
      </c>
      <c r="I7" s="692">
        <v>40824672513.484398</v>
      </c>
      <c r="J7" s="692">
        <v>0.29287795469691902</v>
      </c>
      <c r="K7" s="692">
        <v>35202613818.831001</v>
      </c>
      <c r="L7" s="693"/>
      <c r="M7" s="692">
        <v>51458443.203000002</v>
      </c>
      <c r="N7" s="694"/>
      <c r="O7" s="693"/>
      <c r="P7" s="693"/>
      <c r="Q7" s="693"/>
      <c r="R7" s="693"/>
      <c r="S7" s="498">
        <v>0.29396216268464298</v>
      </c>
      <c r="T7" s="692">
        <v>3.17188615800245</v>
      </c>
      <c r="U7" s="692">
        <v>2.8779239953178002</v>
      </c>
      <c r="V7" s="498">
        <v>555242619.81639004</v>
      </c>
      <c r="W7" s="692">
        <v>503784177.36122102</v>
      </c>
      <c r="X7" s="692">
        <v>-0.221950869535644</v>
      </c>
      <c r="Y7" s="692">
        <v>-38852775.961261801</v>
      </c>
      <c r="Z7" s="692">
        <v>0</v>
      </c>
      <c r="AA7" s="692">
        <v>0</v>
      </c>
      <c r="AB7" s="692">
        <v>3.947352412695E-3</v>
      </c>
      <c r="AC7" s="692">
        <v>690988.95287699997</v>
      </c>
      <c r="AD7" s="692">
        <v>0</v>
      </c>
      <c r="AE7" s="692">
        <v>0</v>
      </c>
      <c r="AF7" s="692">
        <v>0</v>
      </c>
      <c r="AG7" s="692">
        <v>0</v>
      </c>
      <c r="AH7" s="692">
        <v>0</v>
      </c>
      <c r="AI7" s="692">
        <v>0</v>
      </c>
      <c r="AJ7" s="692">
        <v>0</v>
      </c>
      <c r="AK7" s="692">
        <v>0</v>
      </c>
      <c r="AL7" s="692">
        <v>0</v>
      </c>
      <c r="AM7" s="692">
        <v>0</v>
      </c>
      <c r="AN7" s="692">
        <v>0</v>
      </c>
      <c r="AO7" s="692">
        <v>0</v>
      </c>
      <c r="AP7" s="498">
        <v>0</v>
      </c>
      <c r="AQ7" s="498">
        <v>0</v>
      </c>
      <c r="AR7" s="692">
        <v>2.95388264079839</v>
      </c>
      <c r="AS7" s="692">
        <v>2.65992047811375</v>
      </c>
      <c r="AT7" s="498">
        <v>517080832.79380703</v>
      </c>
      <c r="AU7" s="695">
        <v>465622390.33863801</v>
      </c>
    </row>
    <row r="8" spans="1:47" ht="12" thickBot="1">
      <c r="A8" s="937"/>
      <c r="B8" s="937"/>
      <c r="C8" s="937"/>
      <c r="D8" s="937"/>
      <c r="E8" s="938"/>
      <c r="F8" s="938"/>
      <c r="G8" s="690" t="s">
        <v>3511</v>
      </c>
      <c r="H8" s="691">
        <v>170002</v>
      </c>
      <c r="I8" s="692">
        <v>3889899.4872189998</v>
      </c>
      <c r="J8" s="692">
        <v>2.1270627626726601</v>
      </c>
      <c r="K8" s="692">
        <v>31368258.5066</v>
      </c>
      <c r="L8" s="693"/>
      <c r="M8" s="692">
        <v>281858.34499999997</v>
      </c>
      <c r="N8" s="694"/>
      <c r="O8" s="693"/>
      <c r="P8" s="693"/>
      <c r="Q8" s="693"/>
      <c r="R8" s="693"/>
      <c r="S8" s="498">
        <v>1.80694615936806</v>
      </c>
      <c r="T8" s="692">
        <v>1.6493736634223499</v>
      </c>
      <c r="U8" s="692">
        <v>-0.157572495945658</v>
      </c>
      <c r="V8" s="498">
        <v>257270.61493000001</v>
      </c>
      <c r="W8" s="692">
        <v>-24578.283155000001</v>
      </c>
      <c r="X8" s="692">
        <v>-0.101231928392418</v>
      </c>
      <c r="Y8" s="692">
        <v>-15790.236649</v>
      </c>
      <c r="Z8" s="692">
        <v>0</v>
      </c>
      <c r="AA8" s="692">
        <v>0</v>
      </c>
      <c r="AB8" s="692">
        <v>0</v>
      </c>
      <c r="AC8" s="692">
        <v>0</v>
      </c>
      <c r="AD8" s="692">
        <v>0</v>
      </c>
      <c r="AE8" s="692">
        <v>0</v>
      </c>
      <c r="AF8" s="692">
        <v>0</v>
      </c>
      <c r="AG8" s="692">
        <v>0</v>
      </c>
      <c r="AH8" s="692">
        <v>0</v>
      </c>
      <c r="AI8" s="692">
        <v>0</v>
      </c>
      <c r="AJ8" s="692">
        <v>0</v>
      </c>
      <c r="AK8" s="692">
        <v>0</v>
      </c>
      <c r="AL8" s="692">
        <v>0</v>
      </c>
      <c r="AM8" s="692">
        <v>0</v>
      </c>
      <c r="AN8" s="692">
        <v>0</v>
      </c>
      <c r="AO8" s="692">
        <v>0</v>
      </c>
      <c r="AP8" s="498">
        <v>0</v>
      </c>
      <c r="AQ8" s="498">
        <v>0</v>
      </c>
      <c r="AR8" s="692">
        <v>1.5481417352671401</v>
      </c>
      <c r="AS8" s="692">
        <v>-0.25880442410086701</v>
      </c>
      <c r="AT8" s="498">
        <v>241480.378318</v>
      </c>
      <c r="AU8" s="695">
        <v>-40368.519766999998</v>
      </c>
    </row>
    <row r="9" spans="1:47" ht="12" thickBot="1">
      <c r="A9" s="937"/>
      <c r="B9" s="937"/>
      <c r="C9" s="937"/>
      <c r="D9" s="937"/>
      <c r="E9" s="936" t="s">
        <v>232</v>
      </c>
      <c r="F9" s="690" t="s">
        <v>233</v>
      </c>
      <c r="G9" s="690" t="s">
        <v>233</v>
      </c>
      <c r="H9" s="691">
        <v>170011</v>
      </c>
      <c r="I9" s="692">
        <v>5185519836.3999996</v>
      </c>
      <c r="J9" s="692">
        <v>0.74793661683041102</v>
      </c>
      <c r="K9" s="692">
        <v>5403348678.5622997</v>
      </c>
      <c r="L9" s="693"/>
      <c r="M9" s="692">
        <v>20278066.403999999</v>
      </c>
      <c r="N9" s="694"/>
      <c r="O9" s="693"/>
      <c r="P9" s="693"/>
      <c r="Q9" s="693"/>
      <c r="R9" s="693"/>
      <c r="S9" s="498">
        <v>0.75469575671967504</v>
      </c>
      <c r="T9" s="692">
        <v>3.2424218639551499</v>
      </c>
      <c r="U9" s="692">
        <v>2.4877261072354799</v>
      </c>
      <c r="V9" s="498">
        <v>87121421.021090999</v>
      </c>
      <c r="W9" s="692">
        <v>66843317.331091002</v>
      </c>
      <c r="X9" s="692">
        <v>-0.232603863965445</v>
      </c>
      <c r="Y9" s="692">
        <v>-6249889.747211</v>
      </c>
      <c r="Z9" s="692">
        <v>0</v>
      </c>
      <c r="AA9" s="692">
        <v>0</v>
      </c>
      <c r="AB9" s="692">
        <v>5.3908321650999997E-5</v>
      </c>
      <c r="AC9" s="692">
        <v>1448.4757950000001</v>
      </c>
      <c r="AD9" s="692">
        <v>0</v>
      </c>
      <c r="AE9" s="692">
        <v>0</v>
      </c>
      <c r="AF9" s="692">
        <v>0</v>
      </c>
      <c r="AG9" s="692">
        <v>0</v>
      </c>
      <c r="AH9" s="692">
        <v>0</v>
      </c>
      <c r="AI9" s="692">
        <v>0</v>
      </c>
      <c r="AJ9" s="692">
        <v>0</v>
      </c>
      <c r="AK9" s="692">
        <v>0</v>
      </c>
      <c r="AL9" s="692">
        <v>0</v>
      </c>
      <c r="AM9" s="692">
        <v>0</v>
      </c>
      <c r="AN9" s="692">
        <v>0</v>
      </c>
      <c r="AO9" s="692">
        <v>0</v>
      </c>
      <c r="AP9" s="498">
        <v>0</v>
      </c>
      <c r="AQ9" s="498">
        <v>0</v>
      </c>
      <c r="AR9" s="692">
        <v>3.0098719083195098</v>
      </c>
      <c r="AS9" s="692">
        <v>2.2551761515998399</v>
      </c>
      <c r="AT9" s="498">
        <v>80872979.749893993</v>
      </c>
      <c r="AU9" s="695">
        <v>60594876.059894003</v>
      </c>
    </row>
    <row r="10" spans="1:47" ht="12" thickBot="1">
      <c r="A10" s="937"/>
      <c r="B10" s="937"/>
      <c r="C10" s="937"/>
      <c r="D10" s="937"/>
      <c r="E10" s="937"/>
      <c r="F10" s="690" t="s">
        <v>234</v>
      </c>
      <c r="G10" s="690" t="s">
        <v>234</v>
      </c>
      <c r="H10" s="691">
        <v>170012</v>
      </c>
      <c r="I10" s="692">
        <v>374.21</v>
      </c>
      <c r="J10" s="692">
        <v>0.3</v>
      </c>
      <c r="K10" s="692">
        <v>12897.939200000001</v>
      </c>
      <c r="L10" s="693"/>
      <c r="M10" s="692">
        <v>19.559999999999999</v>
      </c>
      <c r="N10" s="694"/>
      <c r="O10" s="693"/>
      <c r="P10" s="693"/>
      <c r="Q10" s="693"/>
      <c r="R10" s="693"/>
      <c r="S10" s="498">
        <v>0.30497077492920799</v>
      </c>
      <c r="T10" s="692">
        <v>3.2255790317325301</v>
      </c>
      <c r="U10" s="692">
        <v>2.9206082568001999</v>
      </c>
      <c r="V10" s="498">
        <v>206.879908</v>
      </c>
      <c r="W10" s="692">
        <v>187.319908</v>
      </c>
      <c r="X10" s="692">
        <v>-0.22995892516067001</v>
      </c>
      <c r="Y10" s="692">
        <v>-14.748943000000001</v>
      </c>
      <c r="Z10" s="692">
        <v>0</v>
      </c>
      <c r="AA10" s="692">
        <v>0</v>
      </c>
      <c r="AB10" s="692">
        <v>0</v>
      </c>
      <c r="AC10" s="692">
        <v>0</v>
      </c>
      <c r="AD10" s="692">
        <v>0</v>
      </c>
      <c r="AE10" s="692">
        <v>0</v>
      </c>
      <c r="AF10" s="692">
        <v>0</v>
      </c>
      <c r="AG10" s="692">
        <v>0</v>
      </c>
      <c r="AH10" s="692">
        <v>0</v>
      </c>
      <c r="AI10" s="692">
        <v>0</v>
      </c>
      <c r="AJ10" s="692">
        <v>0</v>
      </c>
      <c r="AK10" s="692">
        <v>0</v>
      </c>
      <c r="AL10" s="692">
        <v>0</v>
      </c>
      <c r="AM10" s="692">
        <v>0</v>
      </c>
      <c r="AN10" s="692">
        <v>0</v>
      </c>
      <c r="AO10" s="692">
        <v>0</v>
      </c>
      <c r="AP10" s="498">
        <v>0</v>
      </c>
      <c r="AQ10" s="498">
        <v>0</v>
      </c>
      <c r="AR10" s="692">
        <v>2.9956202313042799</v>
      </c>
      <c r="AS10" s="692">
        <v>2.6906494563719598</v>
      </c>
      <c r="AT10" s="498">
        <v>192.13097300000001</v>
      </c>
      <c r="AU10" s="695">
        <v>172.57097300000001</v>
      </c>
    </row>
    <row r="11" spans="1:47" ht="12" thickBot="1">
      <c r="A11" s="937"/>
      <c r="B11" s="937"/>
      <c r="C11" s="937"/>
      <c r="D11" s="937"/>
      <c r="E11" s="937"/>
      <c r="F11" s="690" t="s">
        <v>235</v>
      </c>
      <c r="G11" s="690" t="s">
        <v>235</v>
      </c>
      <c r="H11" s="691">
        <v>170013</v>
      </c>
      <c r="I11" s="692">
        <v>18459592.91</v>
      </c>
      <c r="J11" s="692">
        <v>0.3</v>
      </c>
      <c r="K11" s="692">
        <v>33284182.886700001</v>
      </c>
      <c r="L11" s="693"/>
      <c r="M11" s="692">
        <v>50481.02</v>
      </c>
      <c r="N11" s="694"/>
      <c r="O11" s="693"/>
      <c r="P11" s="693"/>
      <c r="Q11" s="693"/>
      <c r="R11" s="693"/>
      <c r="S11" s="498">
        <v>0.30500005611997599</v>
      </c>
      <c r="T11" s="692">
        <v>3.2291994136124198</v>
      </c>
      <c r="U11" s="692">
        <v>2.9241993574924598</v>
      </c>
      <c r="V11" s="498">
        <v>534469.67274800001</v>
      </c>
      <c r="W11" s="692">
        <v>483988.65274799999</v>
      </c>
      <c r="X11" s="692">
        <v>-0.23114360221598601</v>
      </c>
      <c r="Y11" s="692">
        <v>-38256.926751999999</v>
      </c>
      <c r="Z11" s="692">
        <v>0</v>
      </c>
      <c r="AA11" s="692">
        <v>0</v>
      </c>
      <c r="AB11" s="692">
        <v>0</v>
      </c>
      <c r="AC11" s="692">
        <v>0</v>
      </c>
      <c r="AD11" s="692">
        <v>0</v>
      </c>
      <c r="AE11" s="692">
        <v>0</v>
      </c>
      <c r="AF11" s="692">
        <v>0</v>
      </c>
      <c r="AG11" s="692">
        <v>0</v>
      </c>
      <c r="AH11" s="692">
        <v>0</v>
      </c>
      <c r="AI11" s="692">
        <v>0</v>
      </c>
      <c r="AJ11" s="692">
        <v>0</v>
      </c>
      <c r="AK11" s="692">
        <v>0</v>
      </c>
      <c r="AL11" s="692">
        <v>0</v>
      </c>
      <c r="AM11" s="692">
        <v>0</v>
      </c>
      <c r="AN11" s="692">
        <v>0</v>
      </c>
      <c r="AO11" s="692">
        <v>0</v>
      </c>
      <c r="AP11" s="498">
        <v>0</v>
      </c>
      <c r="AQ11" s="498">
        <v>0</v>
      </c>
      <c r="AR11" s="692">
        <v>2.9980558105868198</v>
      </c>
      <c r="AS11" s="692">
        <v>2.6930557544668599</v>
      </c>
      <c r="AT11" s="498">
        <v>496212.74586199998</v>
      </c>
      <c r="AU11" s="695">
        <v>445731.72586200002</v>
      </c>
    </row>
    <row r="12" spans="1:47" ht="12" thickBot="1">
      <c r="A12" s="937"/>
      <c r="B12" s="937"/>
      <c r="C12" s="937"/>
      <c r="D12" s="937"/>
      <c r="E12" s="937"/>
      <c r="F12" s="690" t="s">
        <v>236</v>
      </c>
      <c r="G12" s="690" t="s">
        <v>236</v>
      </c>
      <c r="H12" s="691">
        <v>170014</v>
      </c>
      <c r="I12" s="692">
        <v>575203450.61000001</v>
      </c>
      <c r="J12" s="692">
        <v>0.91198004226277196</v>
      </c>
      <c r="K12" s="692">
        <v>453545855.90219998</v>
      </c>
      <c r="L12" s="693"/>
      <c r="M12" s="692">
        <v>2146764.8701999998</v>
      </c>
      <c r="N12" s="694"/>
      <c r="O12" s="693"/>
      <c r="P12" s="693"/>
      <c r="Q12" s="693"/>
      <c r="R12" s="693"/>
      <c r="S12" s="498">
        <v>0.95185977483092499</v>
      </c>
      <c r="T12" s="692">
        <v>3.2264633955935502</v>
      </c>
      <c r="U12" s="692">
        <v>2.2746036207626199</v>
      </c>
      <c r="V12" s="498">
        <v>7276763.2955510002</v>
      </c>
      <c r="W12" s="692">
        <v>5129998.4255510001</v>
      </c>
      <c r="X12" s="692">
        <v>-0.23115101996498599</v>
      </c>
      <c r="Y12" s="692">
        <v>-521323.52101299999</v>
      </c>
      <c r="Z12" s="692">
        <v>0</v>
      </c>
      <c r="AA12" s="692">
        <v>0</v>
      </c>
      <c r="AB12" s="692">
        <v>0</v>
      </c>
      <c r="AC12" s="692">
        <v>0</v>
      </c>
      <c r="AD12" s="692">
        <v>0</v>
      </c>
      <c r="AE12" s="692">
        <v>0</v>
      </c>
      <c r="AF12" s="692">
        <v>0</v>
      </c>
      <c r="AG12" s="692">
        <v>0</v>
      </c>
      <c r="AH12" s="692">
        <v>0</v>
      </c>
      <c r="AI12" s="692">
        <v>0</v>
      </c>
      <c r="AJ12" s="692">
        <v>0</v>
      </c>
      <c r="AK12" s="692">
        <v>0</v>
      </c>
      <c r="AL12" s="692">
        <v>0</v>
      </c>
      <c r="AM12" s="692">
        <v>0</v>
      </c>
      <c r="AN12" s="692">
        <v>0</v>
      </c>
      <c r="AO12" s="692">
        <v>0</v>
      </c>
      <c r="AP12" s="498">
        <v>0</v>
      </c>
      <c r="AQ12" s="498">
        <v>0</v>
      </c>
      <c r="AR12" s="692">
        <v>2.9953123756525</v>
      </c>
      <c r="AS12" s="692">
        <v>2.0434526008215799</v>
      </c>
      <c r="AT12" s="498">
        <v>6755439.7745920001</v>
      </c>
      <c r="AU12" s="695">
        <v>4608674.9045919999</v>
      </c>
    </row>
    <row r="13" spans="1:47" ht="12" thickBot="1">
      <c r="A13" s="937"/>
      <c r="B13" s="937"/>
      <c r="C13" s="937"/>
      <c r="D13" s="937"/>
      <c r="E13" s="937"/>
      <c r="F13" s="690" t="s">
        <v>237</v>
      </c>
      <c r="G13" s="690" t="s">
        <v>237</v>
      </c>
      <c r="H13" s="691">
        <v>170015</v>
      </c>
      <c r="I13" s="692">
        <v>2119675172.7</v>
      </c>
      <c r="J13" s="692">
        <v>0.29999999999858701</v>
      </c>
      <c r="K13" s="692">
        <v>1981654318.1629</v>
      </c>
      <c r="L13" s="693"/>
      <c r="M13" s="692">
        <v>3005496.9865999999</v>
      </c>
      <c r="N13" s="694"/>
      <c r="O13" s="693"/>
      <c r="P13" s="693"/>
      <c r="Q13" s="693"/>
      <c r="R13" s="693"/>
      <c r="S13" s="498">
        <v>0.304998775212389</v>
      </c>
      <c r="T13" s="692">
        <v>3.2332017750632298</v>
      </c>
      <c r="U13" s="692">
        <v>2.9282029998508401</v>
      </c>
      <c r="V13" s="498">
        <v>31860384.238974001</v>
      </c>
      <c r="W13" s="692">
        <v>28854887.258974001</v>
      </c>
      <c r="X13" s="692">
        <v>-0.232036661781059</v>
      </c>
      <c r="Y13" s="692">
        <v>-2286518.9728930001</v>
      </c>
      <c r="Z13" s="692">
        <v>0</v>
      </c>
      <c r="AA13" s="692">
        <v>0</v>
      </c>
      <c r="AB13" s="692">
        <v>5.3670465272890001E-3</v>
      </c>
      <c r="AC13" s="692">
        <v>52887.563624000002</v>
      </c>
      <c r="AD13" s="692">
        <v>0</v>
      </c>
      <c r="AE13" s="692">
        <v>0</v>
      </c>
      <c r="AF13" s="692">
        <v>0</v>
      </c>
      <c r="AG13" s="692">
        <v>0</v>
      </c>
      <c r="AH13" s="692">
        <v>0</v>
      </c>
      <c r="AI13" s="692">
        <v>0</v>
      </c>
      <c r="AJ13" s="692">
        <v>0</v>
      </c>
      <c r="AK13" s="692">
        <v>0</v>
      </c>
      <c r="AL13" s="692">
        <v>0</v>
      </c>
      <c r="AM13" s="692">
        <v>0</v>
      </c>
      <c r="AN13" s="692">
        <v>0</v>
      </c>
      <c r="AO13" s="692">
        <v>0</v>
      </c>
      <c r="AP13" s="498">
        <v>0</v>
      </c>
      <c r="AQ13" s="498">
        <v>0</v>
      </c>
      <c r="AR13" s="692">
        <v>3.0065321597874402</v>
      </c>
      <c r="AS13" s="692">
        <v>2.70153338457505</v>
      </c>
      <c r="AT13" s="498">
        <v>29626752.829488002</v>
      </c>
      <c r="AU13" s="695">
        <v>26621255.849488001</v>
      </c>
    </row>
    <row r="14" spans="1:47" ht="12" thickBot="1">
      <c r="A14" s="937"/>
      <c r="B14" s="937"/>
      <c r="C14" s="937"/>
      <c r="D14" s="937"/>
      <c r="E14" s="937"/>
      <c r="F14" s="690" t="s">
        <v>238</v>
      </c>
      <c r="G14" s="690" t="s">
        <v>238</v>
      </c>
      <c r="H14" s="691">
        <v>170016</v>
      </c>
      <c r="I14" s="692">
        <v>7858886.5</v>
      </c>
      <c r="J14" s="692">
        <v>0.3</v>
      </c>
      <c r="K14" s="692">
        <v>13201109.6417</v>
      </c>
      <c r="L14" s="693"/>
      <c r="M14" s="692">
        <v>20021.669999999998</v>
      </c>
      <c r="N14" s="694"/>
      <c r="O14" s="693"/>
      <c r="P14" s="693"/>
      <c r="Q14" s="693"/>
      <c r="R14" s="693"/>
      <c r="S14" s="498">
        <v>0.30499980262611698</v>
      </c>
      <c r="T14" s="692">
        <v>3.25272889062063</v>
      </c>
      <c r="U14" s="692">
        <v>2.9477290879945501</v>
      </c>
      <c r="V14" s="498">
        <v>213524.93964500001</v>
      </c>
      <c r="W14" s="692">
        <v>193503.26964499999</v>
      </c>
      <c r="X14" s="692">
        <v>-0.23433900108144001</v>
      </c>
      <c r="Y14" s="692">
        <v>-15383.151422999999</v>
      </c>
      <c r="Z14" s="692">
        <v>0</v>
      </c>
      <c r="AA14" s="692">
        <v>0</v>
      </c>
      <c r="AB14" s="692">
        <v>0</v>
      </c>
      <c r="AC14" s="692">
        <v>0</v>
      </c>
      <c r="AD14" s="692">
        <v>0</v>
      </c>
      <c r="AE14" s="692">
        <v>0</v>
      </c>
      <c r="AF14" s="692">
        <v>0</v>
      </c>
      <c r="AG14" s="692">
        <v>0</v>
      </c>
      <c r="AH14" s="692">
        <v>0</v>
      </c>
      <c r="AI14" s="692">
        <v>0</v>
      </c>
      <c r="AJ14" s="692">
        <v>0</v>
      </c>
      <c r="AK14" s="692">
        <v>0</v>
      </c>
      <c r="AL14" s="692">
        <v>0</v>
      </c>
      <c r="AM14" s="692">
        <v>0</v>
      </c>
      <c r="AN14" s="692">
        <v>0</v>
      </c>
      <c r="AO14" s="692">
        <v>0</v>
      </c>
      <c r="AP14" s="498">
        <v>0</v>
      </c>
      <c r="AQ14" s="498">
        <v>0</v>
      </c>
      <c r="AR14" s="692">
        <v>3.0183898897372301</v>
      </c>
      <c r="AS14" s="692">
        <v>2.71339008711114</v>
      </c>
      <c r="AT14" s="498">
        <v>198141.78823500001</v>
      </c>
      <c r="AU14" s="695">
        <v>178120.118235</v>
      </c>
    </row>
    <row r="15" spans="1:47" ht="12" thickBot="1">
      <c r="A15" s="937"/>
      <c r="B15" s="937"/>
      <c r="C15" s="937"/>
      <c r="D15" s="938"/>
      <c r="E15" s="938"/>
      <c r="F15" s="690" t="s">
        <v>239</v>
      </c>
      <c r="G15" s="690" t="s">
        <v>239</v>
      </c>
      <c r="H15" s="691">
        <v>170017</v>
      </c>
      <c r="I15" s="692">
        <v>3192674602.7577901</v>
      </c>
      <c r="J15" s="692">
        <v>0.29999996036677101</v>
      </c>
      <c r="K15" s="692">
        <v>2055031269.5639</v>
      </c>
      <c r="L15" s="693"/>
      <c r="M15" s="692">
        <v>3166889.3999000001</v>
      </c>
      <c r="N15" s="694"/>
      <c r="O15" s="693"/>
      <c r="P15" s="693"/>
      <c r="Q15" s="693"/>
      <c r="R15" s="693"/>
      <c r="S15" s="498">
        <v>0.30990183712945502</v>
      </c>
      <c r="T15" s="692">
        <v>3.2358679169980902</v>
      </c>
      <c r="U15" s="692">
        <v>2.92596607986864</v>
      </c>
      <c r="V15" s="498">
        <v>33067359.976914998</v>
      </c>
      <c r="W15" s="692">
        <v>29900470.638806999</v>
      </c>
      <c r="X15" s="692">
        <v>-0.23205322975153</v>
      </c>
      <c r="Y15" s="692">
        <v>-2371353.8002249999</v>
      </c>
      <c r="Z15" s="692">
        <v>0</v>
      </c>
      <c r="AA15" s="692">
        <v>0</v>
      </c>
      <c r="AB15" s="692">
        <v>6.8841747247746998E-2</v>
      </c>
      <c r="AC15" s="692">
        <v>703494.362586</v>
      </c>
      <c r="AD15" s="692">
        <v>0</v>
      </c>
      <c r="AE15" s="692">
        <v>0</v>
      </c>
      <c r="AF15" s="692">
        <v>0</v>
      </c>
      <c r="AG15" s="692">
        <v>0</v>
      </c>
      <c r="AH15" s="692">
        <v>0</v>
      </c>
      <c r="AI15" s="692">
        <v>0</v>
      </c>
      <c r="AJ15" s="692">
        <v>0</v>
      </c>
      <c r="AK15" s="692">
        <v>0</v>
      </c>
      <c r="AL15" s="692">
        <v>0</v>
      </c>
      <c r="AM15" s="692">
        <v>0</v>
      </c>
      <c r="AN15" s="692">
        <v>0</v>
      </c>
      <c r="AO15" s="692">
        <v>0</v>
      </c>
      <c r="AP15" s="498">
        <v>0</v>
      </c>
      <c r="AQ15" s="498">
        <v>0</v>
      </c>
      <c r="AR15" s="692">
        <v>3.0726564337773201</v>
      </c>
      <c r="AS15" s="692">
        <v>2.7627545966478699</v>
      </c>
      <c r="AT15" s="498">
        <v>31399500.531948999</v>
      </c>
      <c r="AU15" s="695">
        <v>28232611.1938411</v>
      </c>
    </row>
    <row r="16" spans="1:47" ht="12" thickBot="1">
      <c r="A16" s="937"/>
      <c r="B16" s="937"/>
      <c r="C16" s="938"/>
      <c r="D16" s="690" t="s">
        <v>240</v>
      </c>
      <c r="E16" s="690" t="s">
        <v>240</v>
      </c>
      <c r="F16" s="690" t="s">
        <v>240</v>
      </c>
      <c r="G16" s="690" t="s">
        <v>240</v>
      </c>
      <c r="H16" s="691">
        <v>170022</v>
      </c>
      <c r="I16" s="692">
        <v>13088802974.530001</v>
      </c>
      <c r="J16" s="692">
        <v>1.1375528057533499</v>
      </c>
      <c r="K16" s="692">
        <v>10787106856.344101</v>
      </c>
      <c r="L16" s="693"/>
      <c r="M16" s="692">
        <v>56617594.436899997</v>
      </c>
      <c r="N16" s="694"/>
      <c r="O16" s="693"/>
      <c r="P16" s="693"/>
      <c r="Q16" s="693"/>
      <c r="R16" s="693"/>
      <c r="S16" s="498">
        <v>1.05549487628561</v>
      </c>
      <c r="T16" s="692">
        <v>3.2365240651487901</v>
      </c>
      <c r="U16" s="692">
        <v>2.1810291888631901</v>
      </c>
      <c r="V16" s="498">
        <v>173609754.91543099</v>
      </c>
      <c r="W16" s="692">
        <v>116992160.51543</v>
      </c>
      <c r="X16" s="692">
        <v>-0.23184156772220901</v>
      </c>
      <c r="Y16" s="692">
        <v>-12436168.22902</v>
      </c>
      <c r="Z16" s="692">
        <v>0</v>
      </c>
      <c r="AA16" s="692">
        <v>0</v>
      </c>
      <c r="AB16" s="692">
        <v>8.0424278184658998E-2</v>
      </c>
      <c r="AC16" s="692">
        <v>4314022.9900460001</v>
      </c>
      <c r="AD16" s="692">
        <v>0</v>
      </c>
      <c r="AE16" s="692">
        <v>0</v>
      </c>
      <c r="AF16" s="692">
        <v>0</v>
      </c>
      <c r="AG16" s="692">
        <v>0</v>
      </c>
      <c r="AH16" s="692">
        <v>0</v>
      </c>
      <c r="AI16" s="692">
        <v>0</v>
      </c>
      <c r="AJ16" s="692">
        <v>0</v>
      </c>
      <c r="AK16" s="692">
        <v>0</v>
      </c>
      <c r="AL16" s="692">
        <v>0</v>
      </c>
      <c r="AM16" s="692">
        <v>0</v>
      </c>
      <c r="AN16" s="692">
        <v>0</v>
      </c>
      <c r="AO16" s="692">
        <v>0</v>
      </c>
      <c r="AP16" s="498">
        <v>0</v>
      </c>
      <c r="AQ16" s="498">
        <v>0</v>
      </c>
      <c r="AR16" s="692">
        <v>3.08510677562623</v>
      </c>
      <c r="AS16" s="692">
        <v>2.0296118993406198</v>
      </c>
      <c r="AT16" s="498">
        <v>165487609.67726099</v>
      </c>
      <c r="AU16" s="695">
        <v>108870015.27726001</v>
      </c>
    </row>
    <row r="17" spans="1:47" ht="12" thickBot="1">
      <c r="A17" s="937"/>
      <c r="B17" s="937"/>
      <c r="C17" s="936" t="s">
        <v>241</v>
      </c>
      <c r="D17" s="936" t="s">
        <v>242</v>
      </c>
      <c r="E17" s="936" t="s">
        <v>243</v>
      </c>
      <c r="F17" s="690" t="s">
        <v>244</v>
      </c>
      <c r="G17" s="690" t="s">
        <v>244</v>
      </c>
      <c r="H17" s="691">
        <v>170031</v>
      </c>
      <c r="I17" s="692">
        <v>1306602598.5799999</v>
      </c>
      <c r="J17" s="692">
        <v>1.33339675734338</v>
      </c>
      <c r="K17" s="692">
        <v>1952739534.4761</v>
      </c>
      <c r="L17" s="693"/>
      <c r="M17" s="692">
        <v>13288798.759199999</v>
      </c>
      <c r="N17" s="694"/>
      <c r="O17" s="693"/>
      <c r="P17" s="693"/>
      <c r="Q17" s="693"/>
      <c r="R17" s="693"/>
      <c r="S17" s="498">
        <v>1.36851985549969</v>
      </c>
      <c r="T17" s="692">
        <v>3.2779477977279701</v>
      </c>
      <c r="U17" s="692">
        <v>1.90942794222829</v>
      </c>
      <c r="V17" s="498">
        <v>31830001.166558001</v>
      </c>
      <c r="W17" s="692">
        <v>18541202.416558001</v>
      </c>
      <c r="X17" s="692">
        <v>-0.23881636682500501</v>
      </c>
      <c r="Y17" s="692">
        <v>-2318989.1065079998</v>
      </c>
      <c r="Z17" s="692">
        <v>0</v>
      </c>
      <c r="AA17" s="692">
        <v>0</v>
      </c>
      <c r="AB17" s="692">
        <v>0</v>
      </c>
      <c r="AC17" s="692">
        <v>0</v>
      </c>
      <c r="AD17" s="692">
        <v>0</v>
      </c>
      <c r="AE17" s="692">
        <v>0</v>
      </c>
      <c r="AF17" s="692">
        <v>0</v>
      </c>
      <c r="AG17" s="692">
        <v>0</v>
      </c>
      <c r="AH17" s="692">
        <v>0</v>
      </c>
      <c r="AI17" s="692">
        <v>0</v>
      </c>
      <c r="AJ17" s="692">
        <v>0</v>
      </c>
      <c r="AK17" s="692">
        <v>0</v>
      </c>
      <c r="AL17" s="692">
        <v>0</v>
      </c>
      <c r="AM17" s="692">
        <v>0</v>
      </c>
      <c r="AN17" s="692">
        <v>0</v>
      </c>
      <c r="AO17" s="692">
        <v>0</v>
      </c>
      <c r="AP17" s="498">
        <v>0</v>
      </c>
      <c r="AQ17" s="498">
        <v>0</v>
      </c>
      <c r="AR17" s="692">
        <v>3.0391314310774198</v>
      </c>
      <c r="AS17" s="692">
        <v>1.67061157557774</v>
      </c>
      <c r="AT17" s="498">
        <v>29511012.061744001</v>
      </c>
      <c r="AU17" s="695">
        <v>16222213.311744001</v>
      </c>
    </row>
    <row r="18" spans="1:47" ht="12" thickBot="1">
      <c r="A18" s="937"/>
      <c r="B18" s="937"/>
      <c r="C18" s="937"/>
      <c r="D18" s="937"/>
      <c r="E18" s="937"/>
      <c r="F18" s="936" t="s">
        <v>245</v>
      </c>
      <c r="G18" s="690" t="s">
        <v>246</v>
      </c>
      <c r="H18" s="691">
        <v>170032</v>
      </c>
      <c r="I18" s="692">
        <v>110000000</v>
      </c>
      <c r="J18" s="692">
        <v>1.35</v>
      </c>
      <c r="K18" s="692">
        <v>119065934.0659</v>
      </c>
      <c r="L18" s="693"/>
      <c r="M18" s="692">
        <v>749030.9</v>
      </c>
      <c r="N18" s="694"/>
      <c r="O18" s="693"/>
      <c r="P18" s="693"/>
      <c r="Q18" s="693"/>
      <c r="R18" s="693"/>
      <c r="S18" s="498">
        <v>1.2650914139363201</v>
      </c>
      <c r="T18" s="692">
        <v>3.2862840221155198</v>
      </c>
      <c r="U18" s="692">
        <v>2.0211926081792102</v>
      </c>
      <c r="V18" s="498">
        <v>1945731.5507990001</v>
      </c>
      <c r="W18" s="692">
        <v>1196700.6507989999</v>
      </c>
      <c r="X18" s="692">
        <v>-0.243089667051168</v>
      </c>
      <c r="Y18" s="692">
        <v>-143927.67991800001</v>
      </c>
      <c r="Z18" s="692">
        <v>0</v>
      </c>
      <c r="AA18" s="692">
        <v>0</v>
      </c>
      <c r="AB18" s="692">
        <v>0</v>
      </c>
      <c r="AC18" s="692">
        <v>0</v>
      </c>
      <c r="AD18" s="692">
        <v>0</v>
      </c>
      <c r="AE18" s="692">
        <v>0</v>
      </c>
      <c r="AF18" s="692">
        <v>0</v>
      </c>
      <c r="AG18" s="692">
        <v>0</v>
      </c>
      <c r="AH18" s="692">
        <v>0</v>
      </c>
      <c r="AI18" s="692">
        <v>0</v>
      </c>
      <c r="AJ18" s="692">
        <v>0</v>
      </c>
      <c r="AK18" s="692">
        <v>0</v>
      </c>
      <c r="AL18" s="692">
        <v>0</v>
      </c>
      <c r="AM18" s="692">
        <v>0</v>
      </c>
      <c r="AN18" s="692">
        <v>0</v>
      </c>
      <c r="AO18" s="692">
        <v>0</v>
      </c>
      <c r="AP18" s="498">
        <v>0</v>
      </c>
      <c r="AQ18" s="498">
        <v>0</v>
      </c>
      <c r="AR18" s="692">
        <v>3.0431943550204399</v>
      </c>
      <c r="AS18" s="692">
        <v>1.77810294108413</v>
      </c>
      <c r="AT18" s="498">
        <v>1801803.8708550001</v>
      </c>
      <c r="AU18" s="695">
        <v>1052772.970855</v>
      </c>
    </row>
    <row r="19" spans="1:47" ht="12" thickBot="1">
      <c r="A19" s="937"/>
      <c r="B19" s="937"/>
      <c r="C19" s="937"/>
      <c r="D19" s="937"/>
      <c r="E19" s="938"/>
      <c r="F19" s="938"/>
      <c r="G19" s="690" t="s">
        <v>247</v>
      </c>
      <c r="H19" s="691">
        <v>170038</v>
      </c>
      <c r="I19" s="692">
        <v>415813628.75</v>
      </c>
      <c r="J19" s="692">
        <v>1.3540402716117199</v>
      </c>
      <c r="K19" s="692">
        <v>402714394.41299999</v>
      </c>
      <c r="L19" s="693"/>
      <c r="M19" s="692">
        <v>2777440.7924000002</v>
      </c>
      <c r="N19" s="694"/>
      <c r="O19" s="693"/>
      <c r="P19" s="693"/>
      <c r="Q19" s="693"/>
      <c r="R19" s="693"/>
      <c r="S19" s="498">
        <v>1.38693897830568</v>
      </c>
      <c r="T19" s="692">
        <v>3.2763969266513899</v>
      </c>
      <c r="U19" s="692">
        <v>1.8894579483457099</v>
      </c>
      <c r="V19" s="498">
        <v>6561210.4141950002</v>
      </c>
      <c r="W19" s="692">
        <v>3783769.6241950002</v>
      </c>
      <c r="X19" s="692">
        <v>-0.239207182016168</v>
      </c>
      <c r="Y19" s="692">
        <v>-479028.85057299997</v>
      </c>
      <c r="Z19" s="692">
        <v>0</v>
      </c>
      <c r="AA19" s="692">
        <v>0</v>
      </c>
      <c r="AB19" s="692">
        <v>0</v>
      </c>
      <c r="AC19" s="692">
        <v>0</v>
      </c>
      <c r="AD19" s="692">
        <v>0</v>
      </c>
      <c r="AE19" s="692">
        <v>0</v>
      </c>
      <c r="AF19" s="692">
        <v>0</v>
      </c>
      <c r="AG19" s="692">
        <v>0</v>
      </c>
      <c r="AH19" s="692">
        <v>0</v>
      </c>
      <c r="AI19" s="692">
        <v>0</v>
      </c>
      <c r="AJ19" s="692">
        <v>0</v>
      </c>
      <c r="AK19" s="692">
        <v>0</v>
      </c>
      <c r="AL19" s="692">
        <v>0</v>
      </c>
      <c r="AM19" s="692">
        <v>0</v>
      </c>
      <c r="AN19" s="692">
        <v>0</v>
      </c>
      <c r="AO19" s="692">
        <v>0</v>
      </c>
      <c r="AP19" s="498">
        <v>0</v>
      </c>
      <c r="AQ19" s="498">
        <v>0</v>
      </c>
      <c r="AR19" s="692">
        <v>3.0371897446831602</v>
      </c>
      <c r="AS19" s="692">
        <v>1.6502507663774799</v>
      </c>
      <c r="AT19" s="498">
        <v>6082181.5637180004</v>
      </c>
      <c r="AU19" s="695">
        <v>3304740.7737179999</v>
      </c>
    </row>
    <row r="20" spans="1:47" ht="12" thickBot="1">
      <c r="A20" s="937"/>
      <c r="B20" s="937"/>
      <c r="C20" s="937"/>
      <c r="D20" s="937"/>
      <c r="E20" s="936" t="s">
        <v>248</v>
      </c>
      <c r="F20" s="690" t="s">
        <v>249</v>
      </c>
      <c r="G20" s="690" t="s">
        <v>249</v>
      </c>
      <c r="H20" s="691">
        <v>170041</v>
      </c>
      <c r="I20" s="692">
        <v>3358637121.0799999</v>
      </c>
      <c r="J20" s="692">
        <v>1.67553546491975</v>
      </c>
      <c r="K20" s="692">
        <v>2267745983.2856002</v>
      </c>
      <c r="L20" s="693"/>
      <c r="M20" s="692">
        <v>18316615.826400001</v>
      </c>
      <c r="N20" s="694"/>
      <c r="O20" s="693"/>
      <c r="P20" s="693"/>
      <c r="Q20" s="693"/>
      <c r="R20" s="693"/>
      <c r="S20" s="498">
        <v>1.6242786177953199</v>
      </c>
      <c r="T20" s="692">
        <v>3.4119414911222599</v>
      </c>
      <c r="U20" s="692">
        <v>1.78766287332694</v>
      </c>
      <c r="V20" s="498">
        <v>38475678.233030997</v>
      </c>
      <c r="W20" s="692">
        <v>20159062.423030999</v>
      </c>
      <c r="X20" s="692">
        <v>-0.25991887040841799</v>
      </c>
      <c r="Y20" s="692">
        <v>-2931045.2276360001</v>
      </c>
      <c r="Z20" s="692">
        <v>0</v>
      </c>
      <c r="AA20" s="692">
        <v>0</v>
      </c>
      <c r="AB20" s="692">
        <v>3.09554112331E-4</v>
      </c>
      <c r="AC20" s="692">
        <v>3490.7704170000002</v>
      </c>
      <c r="AD20" s="692">
        <v>0</v>
      </c>
      <c r="AE20" s="692">
        <v>0</v>
      </c>
      <c r="AF20" s="692">
        <v>0</v>
      </c>
      <c r="AG20" s="692">
        <v>0</v>
      </c>
      <c r="AH20" s="692">
        <v>0</v>
      </c>
      <c r="AI20" s="692">
        <v>0</v>
      </c>
      <c r="AJ20" s="692">
        <v>0</v>
      </c>
      <c r="AK20" s="692">
        <v>0</v>
      </c>
      <c r="AL20" s="692">
        <v>0</v>
      </c>
      <c r="AM20" s="692">
        <v>0</v>
      </c>
      <c r="AN20" s="692">
        <v>0</v>
      </c>
      <c r="AO20" s="692">
        <v>0</v>
      </c>
      <c r="AP20" s="498">
        <v>0</v>
      </c>
      <c r="AQ20" s="498">
        <v>0</v>
      </c>
      <c r="AR20" s="692">
        <v>3.1523321748441799</v>
      </c>
      <c r="AS20" s="692">
        <v>1.52805355704886</v>
      </c>
      <c r="AT20" s="498">
        <v>35548123.776014999</v>
      </c>
      <c r="AU20" s="695">
        <v>17231507.966015</v>
      </c>
    </row>
    <row r="21" spans="1:47" ht="12" thickBot="1">
      <c r="A21" s="937"/>
      <c r="B21" s="937"/>
      <c r="C21" s="937"/>
      <c r="D21" s="937"/>
      <c r="E21" s="937"/>
      <c r="F21" s="936" t="s">
        <v>250</v>
      </c>
      <c r="G21" s="690" t="s">
        <v>251</v>
      </c>
      <c r="H21" s="691">
        <v>170042</v>
      </c>
      <c r="I21" s="692">
        <v>30000000</v>
      </c>
      <c r="J21" s="692">
        <v>1.6</v>
      </c>
      <c r="K21" s="692">
        <v>30000000</v>
      </c>
      <c r="L21" s="693"/>
      <c r="M21" s="692">
        <v>239096.77</v>
      </c>
      <c r="N21" s="694"/>
      <c r="O21" s="693"/>
      <c r="P21" s="693"/>
      <c r="Q21" s="693"/>
      <c r="R21" s="693"/>
      <c r="S21" s="498">
        <v>1.60273659010989</v>
      </c>
      <c r="T21" s="692">
        <v>3.4963414759520899</v>
      </c>
      <c r="U21" s="692">
        <v>1.8936048858422001</v>
      </c>
      <c r="V21" s="498">
        <v>521585.36772400001</v>
      </c>
      <c r="W21" s="692">
        <v>282488.59772399999</v>
      </c>
      <c r="X21" s="692">
        <v>-0.26941922901747301</v>
      </c>
      <c r="Y21" s="692">
        <v>-40192.048919000001</v>
      </c>
      <c r="Z21" s="692">
        <v>0</v>
      </c>
      <c r="AA21" s="692">
        <v>0</v>
      </c>
      <c r="AB21" s="692">
        <v>0</v>
      </c>
      <c r="AC21" s="692">
        <v>0</v>
      </c>
      <c r="AD21" s="692">
        <v>0</v>
      </c>
      <c r="AE21" s="692">
        <v>0</v>
      </c>
      <c r="AF21" s="692">
        <v>0</v>
      </c>
      <c r="AG21" s="692">
        <v>0</v>
      </c>
      <c r="AH21" s="692">
        <v>0</v>
      </c>
      <c r="AI21" s="692">
        <v>0</v>
      </c>
      <c r="AJ21" s="692">
        <v>0</v>
      </c>
      <c r="AK21" s="692">
        <v>0</v>
      </c>
      <c r="AL21" s="692">
        <v>0</v>
      </c>
      <c r="AM21" s="692">
        <v>0</v>
      </c>
      <c r="AN21" s="692">
        <v>0</v>
      </c>
      <c r="AO21" s="692">
        <v>0</v>
      </c>
      <c r="AP21" s="498">
        <v>0</v>
      </c>
      <c r="AQ21" s="498">
        <v>0</v>
      </c>
      <c r="AR21" s="692">
        <v>3.2269222473502199</v>
      </c>
      <c r="AS21" s="692">
        <v>1.6241856572403299</v>
      </c>
      <c r="AT21" s="498">
        <v>481393.31886699999</v>
      </c>
      <c r="AU21" s="695">
        <v>242296.548867</v>
      </c>
    </row>
    <row r="22" spans="1:47" ht="12" thickBot="1">
      <c r="A22" s="937"/>
      <c r="B22" s="937"/>
      <c r="C22" s="937"/>
      <c r="D22" s="937"/>
      <c r="E22" s="937"/>
      <c r="F22" s="937"/>
      <c r="G22" s="690" t="s">
        <v>252</v>
      </c>
      <c r="H22" s="691">
        <v>170046</v>
      </c>
      <c r="I22" s="692">
        <v>37762181.619999997</v>
      </c>
      <c r="J22" s="692">
        <v>1.6</v>
      </c>
      <c r="K22" s="692">
        <v>37589195.2619</v>
      </c>
      <c r="L22" s="693"/>
      <c r="M22" s="692">
        <v>328459.28000000003</v>
      </c>
      <c r="N22" s="694"/>
      <c r="O22" s="693"/>
      <c r="P22" s="693"/>
      <c r="Q22" s="693"/>
      <c r="R22" s="693"/>
      <c r="S22" s="498">
        <v>1.7572283685105801</v>
      </c>
      <c r="T22" s="692">
        <v>3.4393169916857702</v>
      </c>
      <c r="U22" s="692">
        <v>1.68208862317515</v>
      </c>
      <c r="V22" s="498">
        <v>642873.517765</v>
      </c>
      <c r="W22" s="692">
        <v>314414.23776500003</v>
      </c>
      <c r="X22" s="692">
        <v>-0.26265846247806801</v>
      </c>
      <c r="Y22" s="692">
        <v>-49095.843782999997</v>
      </c>
      <c r="Z22" s="692">
        <v>0</v>
      </c>
      <c r="AA22" s="692">
        <v>0</v>
      </c>
      <c r="AB22" s="692">
        <v>0</v>
      </c>
      <c r="AC22" s="692">
        <v>0</v>
      </c>
      <c r="AD22" s="692">
        <v>0</v>
      </c>
      <c r="AE22" s="692">
        <v>0</v>
      </c>
      <c r="AF22" s="692">
        <v>0</v>
      </c>
      <c r="AG22" s="692">
        <v>0</v>
      </c>
      <c r="AH22" s="692">
        <v>0</v>
      </c>
      <c r="AI22" s="692">
        <v>0</v>
      </c>
      <c r="AJ22" s="692">
        <v>0</v>
      </c>
      <c r="AK22" s="692">
        <v>0</v>
      </c>
      <c r="AL22" s="692">
        <v>0</v>
      </c>
      <c r="AM22" s="692">
        <v>0</v>
      </c>
      <c r="AN22" s="692">
        <v>0</v>
      </c>
      <c r="AO22" s="692">
        <v>0</v>
      </c>
      <c r="AP22" s="498">
        <v>0</v>
      </c>
      <c r="AQ22" s="498">
        <v>0</v>
      </c>
      <c r="AR22" s="692">
        <v>3.17665852886531</v>
      </c>
      <c r="AS22" s="692">
        <v>1.4194301603546899</v>
      </c>
      <c r="AT22" s="498">
        <v>593777.67391799996</v>
      </c>
      <c r="AU22" s="695">
        <v>265318.39391799999</v>
      </c>
    </row>
    <row r="23" spans="1:47" ht="12" thickBot="1">
      <c r="A23" s="937"/>
      <c r="B23" s="937"/>
      <c r="C23" s="937"/>
      <c r="D23" s="937"/>
      <c r="E23" s="937"/>
      <c r="F23" s="938"/>
      <c r="G23" s="690" t="s">
        <v>253</v>
      </c>
      <c r="H23" s="691">
        <v>170048</v>
      </c>
      <c r="I23" s="692">
        <v>10320845</v>
      </c>
      <c r="J23" s="692">
        <v>1.62577308350237</v>
      </c>
      <c r="K23" s="692">
        <v>22811608.873599999</v>
      </c>
      <c r="L23" s="693"/>
      <c r="M23" s="692">
        <v>201948.7597</v>
      </c>
      <c r="N23" s="694"/>
      <c r="O23" s="693"/>
      <c r="P23" s="693"/>
      <c r="Q23" s="693"/>
      <c r="R23" s="693"/>
      <c r="S23" s="498">
        <v>1.7803072961345501</v>
      </c>
      <c r="T23" s="692">
        <v>3.5125934712117601</v>
      </c>
      <c r="U23" s="692">
        <v>1.7322861750771701</v>
      </c>
      <c r="V23" s="498">
        <v>398450.25487200002</v>
      </c>
      <c r="W23" s="692">
        <v>196501.49487200001</v>
      </c>
      <c r="X23" s="692">
        <v>-0.27193348214871699</v>
      </c>
      <c r="Y23" s="692">
        <v>-30846.713734000001</v>
      </c>
      <c r="Z23" s="692">
        <v>0</v>
      </c>
      <c r="AA23" s="692">
        <v>0</v>
      </c>
      <c r="AB23" s="692">
        <v>2.6598909370276001E-2</v>
      </c>
      <c r="AC23" s="692">
        <v>3017.241336</v>
      </c>
      <c r="AD23" s="692">
        <v>0</v>
      </c>
      <c r="AE23" s="692">
        <v>0</v>
      </c>
      <c r="AF23" s="692">
        <v>0</v>
      </c>
      <c r="AG23" s="692">
        <v>0</v>
      </c>
      <c r="AH23" s="692">
        <v>0</v>
      </c>
      <c r="AI23" s="692">
        <v>0</v>
      </c>
      <c r="AJ23" s="692">
        <v>0</v>
      </c>
      <c r="AK23" s="692">
        <v>0</v>
      </c>
      <c r="AL23" s="692">
        <v>0</v>
      </c>
      <c r="AM23" s="692">
        <v>0</v>
      </c>
      <c r="AN23" s="692">
        <v>0</v>
      </c>
      <c r="AO23" s="692">
        <v>0</v>
      </c>
      <c r="AP23" s="498">
        <v>0</v>
      </c>
      <c r="AQ23" s="498">
        <v>0</v>
      </c>
      <c r="AR23" s="692">
        <v>3.26725890016119</v>
      </c>
      <c r="AS23" s="692">
        <v>1.48695160402659</v>
      </c>
      <c r="AT23" s="498">
        <v>370620.78266999999</v>
      </c>
      <c r="AU23" s="695">
        <v>168672.02267000001</v>
      </c>
    </row>
    <row r="24" spans="1:47" ht="12" thickBot="1">
      <c r="A24" s="937"/>
      <c r="B24" s="937"/>
      <c r="C24" s="937"/>
      <c r="D24" s="937"/>
      <c r="E24" s="937"/>
      <c r="F24" s="936" t="s">
        <v>254</v>
      </c>
      <c r="G24" s="690" t="s">
        <v>254</v>
      </c>
      <c r="H24" s="691">
        <v>170049</v>
      </c>
      <c r="I24" s="692">
        <v>1100000000</v>
      </c>
      <c r="J24" s="692">
        <v>0.60545454545454602</v>
      </c>
      <c r="K24" s="692">
        <v>1039010989.011</v>
      </c>
      <c r="L24" s="693"/>
      <c r="M24" s="692">
        <v>8128088.7000000002</v>
      </c>
      <c r="N24" s="694"/>
      <c r="O24" s="693"/>
      <c r="P24" s="693"/>
      <c r="Q24" s="693"/>
      <c r="R24" s="693"/>
      <c r="S24" s="498">
        <v>1.5731784580645101</v>
      </c>
      <c r="T24" s="692">
        <v>3.1708308724629699</v>
      </c>
      <c r="U24" s="692">
        <v>1.5976524143984501</v>
      </c>
      <c r="V24" s="498">
        <v>16382626.174392</v>
      </c>
      <c r="W24" s="692">
        <v>8254537.4743919997</v>
      </c>
      <c r="X24" s="692">
        <v>-0.220846161325742</v>
      </c>
      <c r="Y24" s="692">
        <v>-1141038.500183</v>
      </c>
      <c r="Z24" s="692">
        <v>0</v>
      </c>
      <c r="AA24" s="692">
        <v>0</v>
      </c>
      <c r="AB24" s="692">
        <v>0</v>
      </c>
      <c r="AC24" s="692">
        <v>0</v>
      </c>
      <c r="AD24" s="692">
        <v>0</v>
      </c>
      <c r="AE24" s="692">
        <v>0</v>
      </c>
      <c r="AF24" s="692">
        <v>0</v>
      </c>
      <c r="AG24" s="692">
        <v>0</v>
      </c>
      <c r="AH24" s="692">
        <v>0</v>
      </c>
      <c r="AI24" s="692">
        <v>0</v>
      </c>
      <c r="AJ24" s="692">
        <v>0</v>
      </c>
      <c r="AK24" s="692">
        <v>0</v>
      </c>
      <c r="AL24" s="692">
        <v>0</v>
      </c>
      <c r="AM24" s="692">
        <v>0</v>
      </c>
      <c r="AN24" s="692">
        <v>0</v>
      </c>
      <c r="AO24" s="692">
        <v>0</v>
      </c>
      <c r="AP24" s="498">
        <v>0</v>
      </c>
      <c r="AQ24" s="498">
        <v>0</v>
      </c>
      <c r="AR24" s="692">
        <v>2.9499847111192299</v>
      </c>
      <c r="AS24" s="692">
        <v>1.37680625305471</v>
      </c>
      <c r="AT24" s="498">
        <v>15241587.674116001</v>
      </c>
      <c r="AU24" s="695">
        <v>7113498.9741160003</v>
      </c>
    </row>
    <row r="25" spans="1:47" ht="12" thickBot="1">
      <c r="A25" s="937"/>
      <c r="B25" s="937"/>
      <c r="C25" s="937"/>
      <c r="D25" s="937"/>
      <c r="E25" s="938"/>
      <c r="F25" s="938"/>
      <c r="G25" s="690" t="s">
        <v>4362</v>
      </c>
      <c r="H25" s="691">
        <v>170050</v>
      </c>
      <c r="I25" s="692">
        <v>3000000000</v>
      </c>
      <c r="J25" s="692">
        <v>2.75</v>
      </c>
      <c r="K25" s="692">
        <v>247252747.2527</v>
      </c>
      <c r="L25" s="693"/>
      <c r="M25" s="692">
        <v>3390410.96</v>
      </c>
      <c r="N25" s="694"/>
      <c r="O25" s="693"/>
      <c r="P25" s="693"/>
      <c r="Q25" s="693"/>
      <c r="R25" s="693"/>
      <c r="S25" s="498">
        <v>2.75753424746667</v>
      </c>
      <c r="T25" s="692">
        <v>3.1730014027424001</v>
      </c>
      <c r="U25" s="692">
        <v>0.41546715527573302</v>
      </c>
      <c r="V25" s="498">
        <v>3901231.23288</v>
      </c>
      <c r="W25" s="692">
        <v>510820.27288</v>
      </c>
      <c r="X25" s="692">
        <v>-0.22454164175659999</v>
      </c>
      <c r="Y25" s="692">
        <v>-276075.78904499998</v>
      </c>
      <c r="Z25" s="692">
        <v>0</v>
      </c>
      <c r="AA25" s="692">
        <v>0</v>
      </c>
      <c r="AB25" s="692">
        <v>0</v>
      </c>
      <c r="AC25" s="692">
        <v>0</v>
      </c>
      <c r="AD25" s="692">
        <v>0</v>
      </c>
      <c r="AE25" s="692">
        <v>0</v>
      </c>
      <c r="AF25" s="692">
        <v>0</v>
      </c>
      <c r="AG25" s="692">
        <v>0</v>
      </c>
      <c r="AH25" s="692">
        <v>0</v>
      </c>
      <c r="AI25" s="692">
        <v>0</v>
      </c>
      <c r="AJ25" s="692">
        <v>0</v>
      </c>
      <c r="AK25" s="692">
        <v>0</v>
      </c>
      <c r="AL25" s="692">
        <v>0</v>
      </c>
      <c r="AM25" s="692">
        <v>0</v>
      </c>
      <c r="AN25" s="692">
        <v>0</v>
      </c>
      <c r="AO25" s="692">
        <v>0</v>
      </c>
      <c r="AP25" s="498">
        <v>0</v>
      </c>
      <c r="AQ25" s="498">
        <v>0</v>
      </c>
      <c r="AR25" s="692">
        <v>2.9484597609857999</v>
      </c>
      <c r="AS25" s="692">
        <v>0.19092551351913301</v>
      </c>
      <c r="AT25" s="498">
        <v>3625155.443835</v>
      </c>
      <c r="AU25" s="695">
        <v>234744.48383499999</v>
      </c>
    </row>
    <row r="26" spans="1:47" ht="12" thickBot="1">
      <c r="A26" s="937"/>
      <c r="B26" s="937"/>
      <c r="C26" s="937"/>
      <c r="D26" s="937"/>
      <c r="E26" s="690" t="s">
        <v>255</v>
      </c>
      <c r="F26" s="690" t="s">
        <v>256</v>
      </c>
      <c r="G26" s="690" t="s">
        <v>3396</v>
      </c>
      <c r="H26" s="691">
        <v>170060</v>
      </c>
      <c r="I26" s="692">
        <v>2000000000</v>
      </c>
      <c r="J26" s="692">
        <v>3.02</v>
      </c>
      <c r="K26" s="692">
        <v>1802197802.1977999</v>
      </c>
      <c r="L26" s="693"/>
      <c r="M26" s="692">
        <v>27138630.140000001</v>
      </c>
      <c r="N26" s="694"/>
      <c r="O26" s="693"/>
      <c r="P26" s="693"/>
      <c r="Q26" s="693"/>
      <c r="R26" s="693"/>
      <c r="S26" s="498">
        <v>3.0282739729390298</v>
      </c>
      <c r="T26" s="692">
        <v>3.4021854912163798</v>
      </c>
      <c r="U26" s="692">
        <v>0.37391151827735503</v>
      </c>
      <c r="V26" s="498">
        <v>30489531.178114001</v>
      </c>
      <c r="W26" s="692">
        <v>3350901.0381140001</v>
      </c>
      <c r="X26" s="692">
        <v>-0.26055854591952399</v>
      </c>
      <c r="Y26" s="692">
        <v>-2335060.19294</v>
      </c>
      <c r="Z26" s="692">
        <v>0</v>
      </c>
      <c r="AA26" s="692">
        <v>0</v>
      </c>
      <c r="AB26" s="692">
        <v>0</v>
      </c>
      <c r="AC26" s="692">
        <v>0</v>
      </c>
      <c r="AD26" s="692">
        <v>0</v>
      </c>
      <c r="AE26" s="692">
        <v>0</v>
      </c>
      <c r="AF26" s="692">
        <v>0</v>
      </c>
      <c r="AG26" s="692">
        <v>0</v>
      </c>
      <c r="AH26" s="692">
        <v>0</v>
      </c>
      <c r="AI26" s="692">
        <v>0</v>
      </c>
      <c r="AJ26" s="692">
        <v>0</v>
      </c>
      <c r="AK26" s="692">
        <v>0</v>
      </c>
      <c r="AL26" s="692">
        <v>0</v>
      </c>
      <c r="AM26" s="692">
        <v>0</v>
      </c>
      <c r="AN26" s="692">
        <v>0</v>
      </c>
      <c r="AO26" s="692">
        <v>0</v>
      </c>
      <c r="AP26" s="498">
        <v>0</v>
      </c>
      <c r="AQ26" s="498">
        <v>0</v>
      </c>
      <c r="AR26" s="692">
        <v>3.1416269452968502</v>
      </c>
      <c r="AS26" s="692">
        <v>0.11335297235783</v>
      </c>
      <c r="AT26" s="498">
        <v>28154470.985174</v>
      </c>
      <c r="AU26" s="695">
        <v>1015840.845174</v>
      </c>
    </row>
    <row r="27" spans="1:47" ht="12" thickBot="1">
      <c r="A27" s="937"/>
      <c r="B27" s="937"/>
      <c r="C27" s="937"/>
      <c r="D27" s="937"/>
      <c r="E27" s="936" t="s">
        <v>257</v>
      </c>
      <c r="F27" s="690" t="s">
        <v>258</v>
      </c>
      <c r="G27" s="690" t="s">
        <v>258</v>
      </c>
      <c r="H27" s="691">
        <v>170061</v>
      </c>
      <c r="I27" s="692">
        <v>12250448987.290001</v>
      </c>
      <c r="J27" s="692">
        <v>2.0118935732760201</v>
      </c>
      <c r="K27" s="692">
        <v>12259161396.351299</v>
      </c>
      <c r="L27" s="693"/>
      <c r="M27" s="692">
        <v>133309338.51279999</v>
      </c>
      <c r="N27" s="694"/>
      <c r="O27" s="693"/>
      <c r="P27" s="693"/>
      <c r="Q27" s="693"/>
      <c r="R27" s="693"/>
      <c r="S27" s="498">
        <v>2.18680222877834</v>
      </c>
      <c r="T27" s="692">
        <v>3.8921367563534601</v>
      </c>
      <c r="U27" s="692">
        <v>1.7053345275751099</v>
      </c>
      <c r="V27" s="498">
        <v>237267993.07243499</v>
      </c>
      <c r="W27" s="692">
        <v>103958654.642435</v>
      </c>
      <c r="X27" s="692">
        <v>-0.32668436871185003</v>
      </c>
      <c r="Y27" s="692">
        <v>-19914959.156013001</v>
      </c>
      <c r="Z27" s="692">
        <v>0</v>
      </c>
      <c r="AA27" s="692">
        <v>0</v>
      </c>
      <c r="AB27" s="692">
        <v>8.3588887338999993E-5</v>
      </c>
      <c r="AC27" s="692">
        <v>5095.6502259999997</v>
      </c>
      <c r="AD27" s="692">
        <v>0</v>
      </c>
      <c r="AE27" s="692">
        <v>0</v>
      </c>
      <c r="AF27" s="692">
        <v>0</v>
      </c>
      <c r="AG27" s="692">
        <v>0</v>
      </c>
      <c r="AH27" s="692">
        <v>0</v>
      </c>
      <c r="AI27" s="692">
        <v>0</v>
      </c>
      <c r="AJ27" s="692">
        <v>0</v>
      </c>
      <c r="AK27" s="692">
        <v>0</v>
      </c>
      <c r="AL27" s="692">
        <v>0</v>
      </c>
      <c r="AM27" s="692">
        <v>0</v>
      </c>
      <c r="AN27" s="692">
        <v>0</v>
      </c>
      <c r="AO27" s="692">
        <v>0</v>
      </c>
      <c r="AP27" s="498">
        <v>0</v>
      </c>
      <c r="AQ27" s="498">
        <v>0</v>
      </c>
      <c r="AR27" s="692">
        <v>3.5655359769095898</v>
      </c>
      <c r="AS27" s="692">
        <v>1.3787337481312401</v>
      </c>
      <c r="AT27" s="498">
        <v>217358129.58985201</v>
      </c>
      <c r="AU27" s="695">
        <v>84048791.159851998</v>
      </c>
    </row>
    <row r="28" spans="1:47" ht="12" thickBot="1">
      <c r="A28" s="937"/>
      <c r="B28" s="937"/>
      <c r="C28" s="937"/>
      <c r="D28" s="937"/>
      <c r="E28" s="937"/>
      <c r="F28" s="936" t="s">
        <v>259</v>
      </c>
      <c r="G28" s="690" t="s">
        <v>260</v>
      </c>
      <c r="H28" s="691">
        <v>170062</v>
      </c>
      <c r="I28" s="692">
        <v>6627070368.5500002</v>
      </c>
      <c r="J28" s="692">
        <v>2.2621665962410198</v>
      </c>
      <c r="K28" s="692">
        <v>6567915954.3158998</v>
      </c>
      <c r="L28" s="693"/>
      <c r="M28" s="692">
        <v>77015889.709999993</v>
      </c>
      <c r="N28" s="694"/>
      <c r="O28" s="693"/>
      <c r="P28" s="693"/>
      <c r="Q28" s="693"/>
      <c r="R28" s="693"/>
      <c r="S28" s="498">
        <v>2.3581012448336498</v>
      </c>
      <c r="T28" s="692">
        <v>3.8233624682390501</v>
      </c>
      <c r="U28" s="692">
        <v>1.4652612234054101</v>
      </c>
      <c r="V28" s="498">
        <v>124871509.575928</v>
      </c>
      <c r="W28" s="692">
        <v>47855619.865928002</v>
      </c>
      <c r="X28" s="692">
        <v>-0.31606407778346102</v>
      </c>
      <c r="Y28" s="692">
        <v>-10322693.399698</v>
      </c>
      <c r="Z28" s="692">
        <v>0</v>
      </c>
      <c r="AA28" s="692">
        <v>0</v>
      </c>
      <c r="AB28" s="692">
        <v>0</v>
      </c>
      <c r="AC28" s="692">
        <v>0</v>
      </c>
      <c r="AD28" s="692">
        <v>0</v>
      </c>
      <c r="AE28" s="692">
        <v>0</v>
      </c>
      <c r="AF28" s="692">
        <v>0</v>
      </c>
      <c r="AG28" s="692">
        <v>0</v>
      </c>
      <c r="AH28" s="692">
        <v>0</v>
      </c>
      <c r="AI28" s="692">
        <v>0</v>
      </c>
      <c r="AJ28" s="692">
        <v>0</v>
      </c>
      <c r="AK28" s="692">
        <v>0</v>
      </c>
      <c r="AL28" s="692">
        <v>0</v>
      </c>
      <c r="AM28" s="692">
        <v>0</v>
      </c>
      <c r="AN28" s="692">
        <v>0</v>
      </c>
      <c r="AO28" s="692">
        <v>0</v>
      </c>
      <c r="AP28" s="498">
        <v>0</v>
      </c>
      <c r="AQ28" s="498">
        <v>0</v>
      </c>
      <c r="AR28" s="692">
        <v>3.5072983904596602</v>
      </c>
      <c r="AS28" s="692">
        <v>1.1491971456260199</v>
      </c>
      <c r="AT28" s="498">
        <v>114548816.17636301</v>
      </c>
      <c r="AU28" s="695">
        <v>37532926.466362998</v>
      </c>
    </row>
    <row r="29" spans="1:47" ht="12" thickBot="1">
      <c r="A29" s="937"/>
      <c r="B29" s="937"/>
      <c r="C29" s="937"/>
      <c r="D29" s="937"/>
      <c r="E29" s="937"/>
      <c r="F29" s="937"/>
      <c r="G29" s="690" t="s">
        <v>261</v>
      </c>
      <c r="H29" s="691">
        <v>170063</v>
      </c>
      <c r="I29" s="692">
        <v>650000000</v>
      </c>
      <c r="J29" s="692">
        <v>2.4300000000000002</v>
      </c>
      <c r="K29" s="692">
        <v>671428571.42859995</v>
      </c>
      <c r="L29" s="693"/>
      <c r="M29" s="692">
        <v>8953534.9499999993</v>
      </c>
      <c r="N29" s="694"/>
      <c r="O29" s="693"/>
      <c r="P29" s="693"/>
      <c r="Q29" s="693"/>
      <c r="R29" s="693"/>
      <c r="S29" s="498">
        <v>2.6816643139934602</v>
      </c>
      <c r="T29" s="692">
        <v>3.9776564253303501</v>
      </c>
      <c r="U29" s="692">
        <v>1.2959921113369</v>
      </c>
      <c r="V29" s="498">
        <v>13280590.578562001</v>
      </c>
      <c r="W29" s="692">
        <v>4327055.6285619996</v>
      </c>
      <c r="X29" s="692">
        <v>-0.33697145941345302</v>
      </c>
      <c r="Y29" s="692">
        <v>-1125079.5721400001</v>
      </c>
      <c r="Z29" s="692">
        <v>0</v>
      </c>
      <c r="AA29" s="692">
        <v>0</v>
      </c>
      <c r="AB29" s="692">
        <v>0</v>
      </c>
      <c r="AC29" s="692">
        <v>0</v>
      </c>
      <c r="AD29" s="692">
        <v>0</v>
      </c>
      <c r="AE29" s="692">
        <v>0</v>
      </c>
      <c r="AF29" s="692">
        <v>0</v>
      </c>
      <c r="AG29" s="692">
        <v>0</v>
      </c>
      <c r="AH29" s="692">
        <v>0</v>
      </c>
      <c r="AI29" s="692">
        <v>0</v>
      </c>
      <c r="AJ29" s="692">
        <v>0</v>
      </c>
      <c r="AK29" s="692">
        <v>0</v>
      </c>
      <c r="AL29" s="692">
        <v>0</v>
      </c>
      <c r="AM29" s="692">
        <v>0</v>
      </c>
      <c r="AN29" s="692">
        <v>0</v>
      </c>
      <c r="AO29" s="692">
        <v>0</v>
      </c>
      <c r="AP29" s="498">
        <v>0</v>
      </c>
      <c r="AQ29" s="498">
        <v>0</v>
      </c>
      <c r="AR29" s="692">
        <v>3.6406849658887501</v>
      </c>
      <c r="AS29" s="692">
        <v>0.95902065189529295</v>
      </c>
      <c r="AT29" s="498">
        <v>12155511.006328</v>
      </c>
      <c r="AU29" s="695">
        <v>3201976.056328</v>
      </c>
    </row>
    <row r="30" spans="1:47" ht="12" thickBot="1">
      <c r="A30" s="937"/>
      <c r="B30" s="937"/>
      <c r="C30" s="937"/>
      <c r="D30" s="937"/>
      <c r="E30" s="937"/>
      <c r="F30" s="937"/>
      <c r="G30" s="690" t="s">
        <v>262</v>
      </c>
      <c r="H30" s="691">
        <v>170066</v>
      </c>
      <c r="I30" s="692">
        <v>78510189.040000007</v>
      </c>
      <c r="J30" s="692">
        <v>1.97600518058821</v>
      </c>
      <c r="K30" s="692">
        <v>91161115.413399994</v>
      </c>
      <c r="L30" s="693"/>
      <c r="M30" s="692">
        <v>1022905.1503</v>
      </c>
      <c r="N30" s="694"/>
      <c r="O30" s="693"/>
      <c r="P30" s="693"/>
      <c r="Q30" s="693"/>
      <c r="R30" s="693"/>
      <c r="S30" s="498">
        <v>2.25650048993402</v>
      </c>
      <c r="T30" s="692">
        <v>3.98111809575737</v>
      </c>
      <c r="U30" s="692">
        <v>1.72461760582336</v>
      </c>
      <c r="V30" s="498">
        <v>1804699.897507</v>
      </c>
      <c r="W30" s="692">
        <v>781794.74750699999</v>
      </c>
      <c r="X30" s="692">
        <v>-0.33894282625057398</v>
      </c>
      <c r="Y30" s="692">
        <v>-153647.811766</v>
      </c>
      <c r="Z30" s="692">
        <v>0</v>
      </c>
      <c r="AA30" s="692">
        <v>0</v>
      </c>
      <c r="AB30" s="692">
        <v>0</v>
      </c>
      <c r="AC30" s="692">
        <v>0</v>
      </c>
      <c r="AD30" s="692">
        <v>0</v>
      </c>
      <c r="AE30" s="692">
        <v>0</v>
      </c>
      <c r="AF30" s="692">
        <v>0</v>
      </c>
      <c r="AG30" s="692">
        <v>0</v>
      </c>
      <c r="AH30" s="692">
        <v>0</v>
      </c>
      <c r="AI30" s="692">
        <v>0</v>
      </c>
      <c r="AJ30" s="692">
        <v>0</v>
      </c>
      <c r="AK30" s="692">
        <v>0</v>
      </c>
      <c r="AL30" s="692">
        <v>0</v>
      </c>
      <c r="AM30" s="692">
        <v>0</v>
      </c>
      <c r="AN30" s="692">
        <v>0</v>
      </c>
      <c r="AO30" s="692">
        <v>0</v>
      </c>
      <c r="AP30" s="498">
        <v>0</v>
      </c>
      <c r="AQ30" s="498">
        <v>0</v>
      </c>
      <c r="AR30" s="692">
        <v>3.6421752695751799</v>
      </c>
      <c r="AS30" s="692">
        <v>1.3856747796411699</v>
      </c>
      <c r="AT30" s="498">
        <v>1651052.085772</v>
      </c>
      <c r="AU30" s="695">
        <v>628146.935772</v>
      </c>
    </row>
    <row r="31" spans="1:47" ht="12" thickBot="1">
      <c r="A31" s="937"/>
      <c r="B31" s="937"/>
      <c r="C31" s="937"/>
      <c r="D31" s="937"/>
      <c r="E31" s="937"/>
      <c r="F31" s="938"/>
      <c r="G31" s="690" t="s">
        <v>263</v>
      </c>
      <c r="H31" s="691">
        <v>170068</v>
      </c>
      <c r="I31" s="692">
        <v>441450934.5</v>
      </c>
      <c r="J31" s="692">
        <v>2.1659178254610798</v>
      </c>
      <c r="K31" s="692">
        <v>530813966.54400003</v>
      </c>
      <c r="L31" s="693"/>
      <c r="M31" s="692">
        <v>5509436.9716999996</v>
      </c>
      <c r="N31" s="694"/>
      <c r="O31" s="693"/>
      <c r="P31" s="693"/>
      <c r="Q31" s="693"/>
      <c r="R31" s="693"/>
      <c r="S31" s="498">
        <v>2.08725050615057</v>
      </c>
      <c r="T31" s="692">
        <v>3.8794702916518302</v>
      </c>
      <c r="U31" s="692">
        <v>1.79221978550127</v>
      </c>
      <c r="V31" s="498">
        <v>10240120.668726999</v>
      </c>
      <c r="W31" s="692">
        <v>4730683.6987269996</v>
      </c>
      <c r="X31" s="692">
        <v>-0.32326367120211502</v>
      </c>
      <c r="Y31" s="692">
        <v>-853276.02792799997</v>
      </c>
      <c r="Z31" s="692">
        <v>0</v>
      </c>
      <c r="AA31" s="692">
        <v>0</v>
      </c>
      <c r="AB31" s="692">
        <v>0</v>
      </c>
      <c r="AC31" s="692">
        <v>0</v>
      </c>
      <c r="AD31" s="692">
        <v>0</v>
      </c>
      <c r="AE31" s="692">
        <v>0</v>
      </c>
      <c r="AF31" s="692">
        <v>0</v>
      </c>
      <c r="AG31" s="692">
        <v>0</v>
      </c>
      <c r="AH31" s="692">
        <v>0</v>
      </c>
      <c r="AI31" s="692">
        <v>0</v>
      </c>
      <c r="AJ31" s="692">
        <v>0</v>
      </c>
      <c r="AK31" s="692">
        <v>0</v>
      </c>
      <c r="AL31" s="692">
        <v>0</v>
      </c>
      <c r="AM31" s="692">
        <v>0</v>
      </c>
      <c r="AN31" s="692">
        <v>0</v>
      </c>
      <c r="AO31" s="692">
        <v>0</v>
      </c>
      <c r="AP31" s="498">
        <v>0</v>
      </c>
      <c r="AQ31" s="498">
        <v>0</v>
      </c>
      <c r="AR31" s="692">
        <v>3.5562066205834499</v>
      </c>
      <c r="AS31" s="692">
        <v>1.46895611443288</v>
      </c>
      <c r="AT31" s="498">
        <v>9386844.6411520001</v>
      </c>
      <c r="AU31" s="695">
        <v>3877407.6711519998</v>
      </c>
    </row>
    <row r="32" spans="1:47" ht="12" thickBot="1">
      <c r="A32" s="937"/>
      <c r="B32" s="937"/>
      <c r="C32" s="937"/>
      <c r="D32" s="937"/>
      <c r="E32" s="938"/>
      <c r="F32" s="690" t="s">
        <v>264</v>
      </c>
      <c r="G32" s="690" t="s">
        <v>264</v>
      </c>
      <c r="H32" s="691">
        <v>170069</v>
      </c>
      <c r="I32" s="692">
        <v>0</v>
      </c>
      <c r="J32" s="692">
        <v>0</v>
      </c>
      <c r="K32" s="692">
        <v>379120879.12099999</v>
      </c>
      <c r="L32" s="693"/>
      <c r="M32" s="692">
        <v>6111560.6699999999</v>
      </c>
      <c r="N32" s="694"/>
      <c r="O32" s="693"/>
      <c r="P32" s="693"/>
      <c r="Q32" s="693"/>
      <c r="R32" s="693"/>
      <c r="S32" s="498">
        <v>3.2467741925217299</v>
      </c>
      <c r="T32" s="692">
        <v>4.7745866582888796</v>
      </c>
      <c r="U32" s="692">
        <v>1.5278124657671399</v>
      </c>
      <c r="V32" s="498">
        <v>9001269.9295610003</v>
      </c>
      <c r="W32" s="692">
        <v>2880302.1895610001</v>
      </c>
      <c r="X32" s="692">
        <v>-0.44189898275847</v>
      </c>
      <c r="Y32" s="692">
        <v>-833088.24618400005</v>
      </c>
      <c r="Z32" s="692">
        <v>0</v>
      </c>
      <c r="AA32" s="692">
        <v>0</v>
      </c>
      <c r="AB32" s="692">
        <v>0</v>
      </c>
      <c r="AC32" s="692">
        <v>0</v>
      </c>
      <c r="AD32" s="692">
        <v>0</v>
      </c>
      <c r="AE32" s="692">
        <v>0</v>
      </c>
      <c r="AF32" s="692">
        <v>0</v>
      </c>
      <c r="AG32" s="692">
        <v>0</v>
      </c>
      <c r="AH32" s="692">
        <v>0</v>
      </c>
      <c r="AI32" s="692">
        <v>0</v>
      </c>
      <c r="AJ32" s="692">
        <v>0</v>
      </c>
      <c r="AK32" s="692">
        <v>0</v>
      </c>
      <c r="AL32" s="692">
        <v>0</v>
      </c>
      <c r="AM32" s="692">
        <v>0</v>
      </c>
      <c r="AN32" s="692">
        <v>0</v>
      </c>
      <c r="AO32" s="692">
        <v>0</v>
      </c>
      <c r="AP32" s="498">
        <v>0</v>
      </c>
      <c r="AQ32" s="498">
        <v>0</v>
      </c>
      <c r="AR32" s="692">
        <v>4.3326876755229797</v>
      </c>
      <c r="AS32" s="692">
        <v>1.08591348300124</v>
      </c>
      <c r="AT32" s="498">
        <v>8168181.6833629999</v>
      </c>
      <c r="AU32" s="695">
        <v>2047213.9433629999</v>
      </c>
    </row>
    <row r="33" spans="1:47" ht="12" thickBot="1">
      <c r="A33" s="937"/>
      <c r="B33" s="937"/>
      <c r="C33" s="937"/>
      <c r="D33" s="937"/>
      <c r="E33" s="936" t="s">
        <v>265</v>
      </c>
      <c r="F33" s="690" t="s">
        <v>266</v>
      </c>
      <c r="G33" s="690" t="s">
        <v>266</v>
      </c>
      <c r="H33" s="691">
        <v>170071</v>
      </c>
      <c r="I33" s="692">
        <v>953326369.04999995</v>
      </c>
      <c r="J33" s="692">
        <v>3.3717644423717901</v>
      </c>
      <c r="K33" s="692">
        <v>951473240.22109997</v>
      </c>
      <c r="L33" s="693"/>
      <c r="M33" s="692">
        <v>17205214.538899999</v>
      </c>
      <c r="N33" s="694"/>
      <c r="O33" s="693"/>
      <c r="P33" s="693"/>
      <c r="Q33" s="693"/>
      <c r="R33" s="693"/>
      <c r="S33" s="498">
        <v>3.6364130791001901</v>
      </c>
      <c r="T33" s="692">
        <v>5.01990323970597</v>
      </c>
      <c r="U33" s="692">
        <v>1.3834901606057699</v>
      </c>
      <c r="V33" s="498">
        <v>23751017.907007001</v>
      </c>
      <c r="W33" s="692">
        <v>6545803.3770070001</v>
      </c>
      <c r="X33" s="692">
        <v>-0.48789804141652998</v>
      </c>
      <c r="Y33" s="692">
        <v>-2308425.9925210001</v>
      </c>
      <c r="Z33" s="692">
        <v>0</v>
      </c>
      <c r="AA33" s="692">
        <v>0</v>
      </c>
      <c r="AB33" s="692">
        <v>0</v>
      </c>
      <c r="AC33" s="692">
        <v>0</v>
      </c>
      <c r="AD33" s="692">
        <v>0</v>
      </c>
      <c r="AE33" s="692">
        <v>0</v>
      </c>
      <c r="AF33" s="692">
        <v>0</v>
      </c>
      <c r="AG33" s="692">
        <v>0</v>
      </c>
      <c r="AH33" s="692">
        <v>0</v>
      </c>
      <c r="AI33" s="692">
        <v>0</v>
      </c>
      <c r="AJ33" s="692">
        <v>0</v>
      </c>
      <c r="AK33" s="692">
        <v>0</v>
      </c>
      <c r="AL33" s="692">
        <v>0</v>
      </c>
      <c r="AM33" s="692">
        <v>0</v>
      </c>
      <c r="AN33" s="692">
        <v>0</v>
      </c>
      <c r="AO33" s="692">
        <v>0</v>
      </c>
      <c r="AP33" s="498">
        <v>0</v>
      </c>
      <c r="AQ33" s="498">
        <v>0</v>
      </c>
      <c r="AR33" s="692">
        <v>4.5320051981336702</v>
      </c>
      <c r="AS33" s="692">
        <v>0.89559211903347502</v>
      </c>
      <c r="AT33" s="498">
        <v>21442591.913748998</v>
      </c>
      <c r="AU33" s="695">
        <v>4237377.3837489998</v>
      </c>
    </row>
    <row r="34" spans="1:47" ht="12" thickBot="1">
      <c r="A34" s="937"/>
      <c r="B34" s="937"/>
      <c r="C34" s="937"/>
      <c r="D34" s="937"/>
      <c r="E34" s="937"/>
      <c r="F34" s="936" t="s">
        <v>267</v>
      </c>
      <c r="G34" s="690" t="s">
        <v>268</v>
      </c>
      <c r="H34" s="691">
        <v>170072</v>
      </c>
      <c r="I34" s="692">
        <v>440549159.66000003</v>
      </c>
      <c r="J34" s="692">
        <v>3.1126039771045901</v>
      </c>
      <c r="K34" s="692">
        <v>413060378.38440001</v>
      </c>
      <c r="L34" s="693"/>
      <c r="M34" s="692">
        <v>6652199.4699999997</v>
      </c>
      <c r="N34" s="694"/>
      <c r="O34" s="693"/>
      <c r="P34" s="693"/>
      <c r="Q34" s="693"/>
      <c r="R34" s="693"/>
      <c r="S34" s="498">
        <v>3.2386306538042602</v>
      </c>
      <c r="T34" s="692">
        <v>4.9505613017134298</v>
      </c>
      <c r="U34" s="692">
        <v>1.7119306479091601</v>
      </c>
      <c r="V34" s="498">
        <v>10168532.564458</v>
      </c>
      <c r="W34" s="692">
        <v>3516333.0944579998</v>
      </c>
      <c r="X34" s="692">
        <v>-0.47749902382839698</v>
      </c>
      <c r="Y34" s="692">
        <v>-980790.67753700004</v>
      </c>
      <c r="Z34" s="692">
        <v>0</v>
      </c>
      <c r="AA34" s="692">
        <v>0</v>
      </c>
      <c r="AB34" s="692">
        <v>0</v>
      </c>
      <c r="AC34" s="692">
        <v>0</v>
      </c>
      <c r="AD34" s="692">
        <v>0</v>
      </c>
      <c r="AE34" s="692">
        <v>0</v>
      </c>
      <c r="AF34" s="692">
        <v>0</v>
      </c>
      <c r="AG34" s="692">
        <v>0</v>
      </c>
      <c r="AH34" s="692">
        <v>0</v>
      </c>
      <c r="AI34" s="692">
        <v>0</v>
      </c>
      <c r="AJ34" s="692">
        <v>0</v>
      </c>
      <c r="AK34" s="692">
        <v>0</v>
      </c>
      <c r="AL34" s="692">
        <v>0</v>
      </c>
      <c r="AM34" s="692">
        <v>0</v>
      </c>
      <c r="AN34" s="692">
        <v>0</v>
      </c>
      <c r="AO34" s="692">
        <v>0</v>
      </c>
      <c r="AP34" s="498">
        <v>0</v>
      </c>
      <c r="AQ34" s="498">
        <v>0</v>
      </c>
      <c r="AR34" s="692">
        <v>4.4730622778874602</v>
      </c>
      <c r="AS34" s="692">
        <v>1.2344316240832001</v>
      </c>
      <c r="AT34" s="498">
        <v>9187741.8869259991</v>
      </c>
      <c r="AU34" s="695">
        <v>2535542.4169259998</v>
      </c>
    </row>
    <row r="35" spans="1:47" ht="12" thickBot="1">
      <c r="A35" s="937"/>
      <c r="B35" s="937"/>
      <c r="C35" s="937"/>
      <c r="D35" s="937"/>
      <c r="E35" s="937"/>
      <c r="F35" s="937"/>
      <c r="G35" s="690" t="s">
        <v>269</v>
      </c>
      <c r="H35" s="691">
        <v>170073</v>
      </c>
      <c r="I35" s="692">
        <v>1533000000</v>
      </c>
      <c r="J35" s="692">
        <v>4.0411285061970004</v>
      </c>
      <c r="K35" s="692">
        <v>1533000000</v>
      </c>
      <c r="L35" s="693"/>
      <c r="M35" s="692">
        <v>30897220.73</v>
      </c>
      <c r="N35" s="694"/>
      <c r="O35" s="693"/>
      <c r="P35" s="693"/>
      <c r="Q35" s="693"/>
      <c r="R35" s="693"/>
      <c r="S35" s="498">
        <v>4.0530966313197601</v>
      </c>
      <c r="T35" s="692">
        <v>5.20749852124918</v>
      </c>
      <c r="U35" s="692">
        <v>1.1544018899294199</v>
      </c>
      <c r="V35" s="498">
        <v>39697358.809280001</v>
      </c>
      <c r="W35" s="692">
        <v>8800138.0792800002</v>
      </c>
      <c r="X35" s="692">
        <v>-0.51400391871543405</v>
      </c>
      <c r="Y35" s="692">
        <v>-3918310.8564240001</v>
      </c>
      <c r="Z35" s="692">
        <v>0</v>
      </c>
      <c r="AA35" s="692">
        <v>0</v>
      </c>
      <c r="AB35" s="692">
        <v>0</v>
      </c>
      <c r="AC35" s="692">
        <v>0</v>
      </c>
      <c r="AD35" s="692">
        <v>0</v>
      </c>
      <c r="AE35" s="692">
        <v>0</v>
      </c>
      <c r="AF35" s="692">
        <v>0</v>
      </c>
      <c r="AG35" s="692">
        <v>0</v>
      </c>
      <c r="AH35" s="692">
        <v>0</v>
      </c>
      <c r="AI35" s="692">
        <v>0</v>
      </c>
      <c r="AJ35" s="692">
        <v>0</v>
      </c>
      <c r="AK35" s="692">
        <v>0</v>
      </c>
      <c r="AL35" s="692">
        <v>0</v>
      </c>
      <c r="AM35" s="692">
        <v>0</v>
      </c>
      <c r="AN35" s="692">
        <v>0</v>
      </c>
      <c r="AO35" s="692">
        <v>0</v>
      </c>
      <c r="AP35" s="498">
        <v>0</v>
      </c>
      <c r="AQ35" s="498">
        <v>0</v>
      </c>
      <c r="AR35" s="692">
        <v>4.6934946025161697</v>
      </c>
      <c r="AS35" s="692">
        <v>0.64039797119640895</v>
      </c>
      <c r="AT35" s="498">
        <v>35779047.952721998</v>
      </c>
      <c r="AU35" s="695">
        <v>4881827.2227220004</v>
      </c>
    </row>
    <row r="36" spans="1:47" ht="12" thickBot="1">
      <c r="A36" s="937"/>
      <c r="B36" s="937"/>
      <c r="C36" s="937"/>
      <c r="D36" s="937"/>
      <c r="E36" s="938"/>
      <c r="F36" s="938"/>
      <c r="G36" s="690" t="s">
        <v>270</v>
      </c>
      <c r="H36" s="691">
        <v>170078</v>
      </c>
      <c r="I36" s="692">
        <v>4150000</v>
      </c>
      <c r="J36" s="692">
        <v>3.4301204819277098</v>
      </c>
      <c r="K36" s="692">
        <v>4150000</v>
      </c>
      <c r="L36" s="693"/>
      <c r="M36" s="692">
        <v>70886.520300000004</v>
      </c>
      <c r="N36" s="694"/>
      <c r="O36" s="693"/>
      <c r="P36" s="693"/>
      <c r="Q36" s="693"/>
      <c r="R36" s="693"/>
      <c r="S36" s="498">
        <v>3.4349882589699501</v>
      </c>
      <c r="T36" s="692">
        <v>5.0605655552561899</v>
      </c>
      <c r="U36" s="692">
        <v>1.62557729628624</v>
      </c>
      <c r="V36" s="498">
        <v>104432.927975</v>
      </c>
      <c r="W36" s="692">
        <v>33546.407975000002</v>
      </c>
      <c r="X36" s="692">
        <v>-0.49381552001880002</v>
      </c>
      <c r="Y36" s="692">
        <v>-10190.679297000001</v>
      </c>
      <c r="Z36" s="692">
        <v>0</v>
      </c>
      <c r="AA36" s="692">
        <v>0</v>
      </c>
      <c r="AB36" s="692">
        <v>0</v>
      </c>
      <c r="AC36" s="692">
        <v>0</v>
      </c>
      <c r="AD36" s="692">
        <v>0</v>
      </c>
      <c r="AE36" s="692">
        <v>0</v>
      </c>
      <c r="AF36" s="692">
        <v>0</v>
      </c>
      <c r="AG36" s="692">
        <v>0</v>
      </c>
      <c r="AH36" s="692">
        <v>0</v>
      </c>
      <c r="AI36" s="692">
        <v>0</v>
      </c>
      <c r="AJ36" s="692">
        <v>0</v>
      </c>
      <c r="AK36" s="692">
        <v>0</v>
      </c>
      <c r="AL36" s="692">
        <v>0</v>
      </c>
      <c r="AM36" s="692">
        <v>0</v>
      </c>
      <c r="AN36" s="692">
        <v>0</v>
      </c>
      <c r="AO36" s="692">
        <v>0</v>
      </c>
      <c r="AP36" s="498">
        <v>0</v>
      </c>
      <c r="AQ36" s="498">
        <v>0</v>
      </c>
      <c r="AR36" s="692">
        <v>4.5667500396954903</v>
      </c>
      <c r="AS36" s="692">
        <v>1.13176178072554</v>
      </c>
      <c r="AT36" s="498">
        <v>94242.248770000006</v>
      </c>
      <c r="AU36" s="695">
        <v>23355.728770000002</v>
      </c>
    </row>
    <row r="37" spans="1:47" ht="12" thickBot="1">
      <c r="A37" s="937"/>
      <c r="B37" s="937"/>
      <c r="C37" s="937"/>
      <c r="D37" s="937"/>
      <c r="E37" s="936" t="s">
        <v>271</v>
      </c>
      <c r="F37" s="690" t="s">
        <v>272</v>
      </c>
      <c r="G37" s="690" t="s">
        <v>272</v>
      </c>
      <c r="H37" s="691">
        <v>170081</v>
      </c>
      <c r="I37" s="692">
        <v>1325919360.4100001</v>
      </c>
      <c r="J37" s="692">
        <v>4.1204963516092699</v>
      </c>
      <c r="K37" s="692">
        <v>1268617438.7091</v>
      </c>
      <c r="L37" s="693"/>
      <c r="M37" s="692">
        <v>27401864.7623</v>
      </c>
      <c r="N37" s="694"/>
      <c r="O37" s="693"/>
      <c r="P37" s="693"/>
      <c r="Q37" s="693"/>
      <c r="R37" s="693"/>
      <c r="S37" s="498">
        <v>4.3436931585097103</v>
      </c>
      <c r="T37" s="692">
        <v>5.33207900903896</v>
      </c>
      <c r="U37" s="692">
        <v>0.98838585052925798</v>
      </c>
      <c r="V37" s="498">
        <v>33637023.268036</v>
      </c>
      <c r="W37" s="692">
        <v>6235158.5180360004</v>
      </c>
      <c r="X37" s="692">
        <v>-0.533077769199929</v>
      </c>
      <c r="Y37" s="692">
        <v>-3362881.4006420001</v>
      </c>
      <c r="Z37" s="692">
        <v>0</v>
      </c>
      <c r="AA37" s="692">
        <v>0</v>
      </c>
      <c r="AB37" s="692">
        <v>0</v>
      </c>
      <c r="AC37" s="692">
        <v>0</v>
      </c>
      <c r="AD37" s="692">
        <v>0</v>
      </c>
      <c r="AE37" s="692">
        <v>0</v>
      </c>
      <c r="AF37" s="692">
        <v>0</v>
      </c>
      <c r="AG37" s="692">
        <v>0</v>
      </c>
      <c r="AH37" s="692">
        <v>0</v>
      </c>
      <c r="AI37" s="692">
        <v>0</v>
      </c>
      <c r="AJ37" s="692">
        <v>0</v>
      </c>
      <c r="AK37" s="692">
        <v>0</v>
      </c>
      <c r="AL37" s="692">
        <v>0</v>
      </c>
      <c r="AM37" s="692">
        <v>0</v>
      </c>
      <c r="AN37" s="692">
        <v>0</v>
      </c>
      <c r="AO37" s="692">
        <v>0</v>
      </c>
      <c r="AP37" s="498">
        <v>0</v>
      </c>
      <c r="AQ37" s="498">
        <v>0</v>
      </c>
      <c r="AR37" s="692">
        <v>4.7990012399371498</v>
      </c>
      <c r="AS37" s="692">
        <v>0.45530808142745199</v>
      </c>
      <c r="AT37" s="498">
        <v>30274141.868012998</v>
      </c>
      <c r="AU37" s="695">
        <v>2872277.1180130001</v>
      </c>
    </row>
    <row r="38" spans="1:47" ht="12" thickBot="1">
      <c r="A38" s="937"/>
      <c r="B38" s="937"/>
      <c r="C38" s="937"/>
      <c r="D38" s="937"/>
      <c r="E38" s="937"/>
      <c r="F38" s="936" t="s">
        <v>273</v>
      </c>
      <c r="G38" s="690" t="s">
        <v>274</v>
      </c>
      <c r="H38" s="691">
        <v>170082</v>
      </c>
      <c r="I38" s="692">
        <v>7196286289.9200001</v>
      </c>
      <c r="J38" s="692">
        <v>4.6528537272571802</v>
      </c>
      <c r="K38" s="692">
        <v>7172899686.2593002</v>
      </c>
      <c r="L38" s="693"/>
      <c r="M38" s="692">
        <v>166306671.38</v>
      </c>
      <c r="N38" s="694"/>
      <c r="O38" s="693"/>
      <c r="P38" s="693"/>
      <c r="Q38" s="693"/>
      <c r="R38" s="693"/>
      <c r="S38" s="498">
        <v>4.6625619097951096</v>
      </c>
      <c r="T38" s="692">
        <v>5.8932064040583398</v>
      </c>
      <c r="U38" s="692">
        <v>1.23064449426324</v>
      </c>
      <c r="V38" s="498">
        <v>210201936.140578</v>
      </c>
      <c r="W38" s="692">
        <v>43895264.760577999</v>
      </c>
      <c r="X38" s="692">
        <v>-0.61244256355104199</v>
      </c>
      <c r="Y38" s="692">
        <v>-21844918.335912</v>
      </c>
      <c r="Z38" s="692">
        <v>0</v>
      </c>
      <c r="AA38" s="692">
        <v>0</v>
      </c>
      <c r="AB38" s="692">
        <v>0</v>
      </c>
      <c r="AC38" s="692">
        <v>0</v>
      </c>
      <c r="AD38" s="692">
        <v>0</v>
      </c>
      <c r="AE38" s="692">
        <v>0</v>
      </c>
      <c r="AF38" s="692">
        <v>0</v>
      </c>
      <c r="AG38" s="692">
        <v>0</v>
      </c>
      <c r="AH38" s="692">
        <v>0</v>
      </c>
      <c r="AI38" s="692">
        <v>0</v>
      </c>
      <c r="AJ38" s="692">
        <v>0</v>
      </c>
      <c r="AK38" s="692">
        <v>0</v>
      </c>
      <c r="AL38" s="692">
        <v>0</v>
      </c>
      <c r="AM38" s="692">
        <v>0</v>
      </c>
      <c r="AN38" s="692">
        <v>0</v>
      </c>
      <c r="AO38" s="692">
        <v>0</v>
      </c>
      <c r="AP38" s="498">
        <v>0</v>
      </c>
      <c r="AQ38" s="498">
        <v>0</v>
      </c>
      <c r="AR38" s="692">
        <v>5.2807638405078601</v>
      </c>
      <c r="AS38" s="692">
        <v>0.61820193071275498</v>
      </c>
      <c r="AT38" s="498">
        <v>188357017.80468601</v>
      </c>
      <c r="AU38" s="695">
        <v>22050346.424686</v>
      </c>
    </row>
    <row r="39" spans="1:47" ht="12" thickBot="1">
      <c r="A39" s="937"/>
      <c r="B39" s="937"/>
      <c r="C39" s="937"/>
      <c r="D39" s="937"/>
      <c r="E39" s="937"/>
      <c r="F39" s="937"/>
      <c r="G39" s="690" t="s">
        <v>275</v>
      </c>
      <c r="H39" s="691">
        <v>170083</v>
      </c>
      <c r="I39" s="692">
        <v>510000000</v>
      </c>
      <c r="J39" s="692">
        <v>4.4385294117647103</v>
      </c>
      <c r="K39" s="692">
        <v>510000000</v>
      </c>
      <c r="L39" s="693"/>
      <c r="M39" s="692">
        <v>11284259.060000001</v>
      </c>
      <c r="N39" s="694"/>
      <c r="O39" s="693"/>
      <c r="P39" s="693"/>
      <c r="Q39" s="693"/>
      <c r="R39" s="693"/>
      <c r="S39" s="498">
        <v>4.4495139150614103</v>
      </c>
      <c r="T39" s="692">
        <v>5.2150647296491801</v>
      </c>
      <c r="U39" s="692">
        <v>0.76555081458776997</v>
      </c>
      <c r="V39" s="498">
        <v>13225746.125848001</v>
      </c>
      <c r="W39" s="692">
        <v>1941487.0658480001</v>
      </c>
      <c r="X39" s="692">
        <v>-0.51530781100468004</v>
      </c>
      <c r="Y39" s="692">
        <v>-1306854.3993840001</v>
      </c>
      <c r="Z39" s="692">
        <v>0</v>
      </c>
      <c r="AA39" s="692">
        <v>0</v>
      </c>
      <c r="AB39" s="692">
        <v>0</v>
      </c>
      <c r="AC39" s="692">
        <v>0</v>
      </c>
      <c r="AD39" s="692">
        <v>0</v>
      </c>
      <c r="AE39" s="692">
        <v>0</v>
      </c>
      <c r="AF39" s="692">
        <v>0</v>
      </c>
      <c r="AG39" s="692">
        <v>0</v>
      </c>
      <c r="AH39" s="692">
        <v>0</v>
      </c>
      <c r="AI39" s="692">
        <v>0</v>
      </c>
      <c r="AJ39" s="692">
        <v>0</v>
      </c>
      <c r="AK39" s="692">
        <v>0</v>
      </c>
      <c r="AL39" s="692">
        <v>0</v>
      </c>
      <c r="AM39" s="692">
        <v>0</v>
      </c>
      <c r="AN39" s="692">
        <v>0</v>
      </c>
      <c r="AO39" s="692">
        <v>0</v>
      </c>
      <c r="AP39" s="498">
        <v>0</v>
      </c>
      <c r="AQ39" s="498">
        <v>0</v>
      </c>
      <c r="AR39" s="692">
        <v>4.6997569186642201</v>
      </c>
      <c r="AS39" s="692">
        <v>0.25024300360280599</v>
      </c>
      <c r="AT39" s="498">
        <v>11918891.726514</v>
      </c>
      <c r="AU39" s="695">
        <v>634632.66651400004</v>
      </c>
    </row>
    <row r="40" spans="1:47" ht="12" thickBot="1">
      <c r="A40" s="937"/>
      <c r="B40" s="937"/>
      <c r="C40" s="937"/>
      <c r="D40" s="937"/>
      <c r="E40" s="937"/>
      <c r="F40" s="937"/>
      <c r="G40" s="690" t="s">
        <v>276</v>
      </c>
      <c r="H40" s="691">
        <v>170086</v>
      </c>
      <c r="I40" s="692">
        <v>16500000</v>
      </c>
      <c r="J40" s="692">
        <v>4.7765151515151496</v>
      </c>
      <c r="K40" s="692">
        <v>16500000</v>
      </c>
      <c r="L40" s="693"/>
      <c r="M40" s="692">
        <v>392642.08</v>
      </c>
      <c r="N40" s="694"/>
      <c r="O40" s="693"/>
      <c r="P40" s="693"/>
      <c r="Q40" s="693"/>
      <c r="R40" s="693"/>
      <c r="S40" s="498">
        <v>4.78544792807193</v>
      </c>
      <c r="T40" s="692">
        <v>5.2698208352989004</v>
      </c>
      <c r="U40" s="692">
        <v>0.48437290722697302</v>
      </c>
      <c r="V40" s="498">
        <v>432384.48001100001</v>
      </c>
      <c r="W40" s="692">
        <v>39742.400010999998</v>
      </c>
      <c r="X40" s="692">
        <v>-0.522911402948252</v>
      </c>
      <c r="Y40" s="692">
        <v>-42904.451996000003</v>
      </c>
      <c r="Z40" s="692">
        <v>0</v>
      </c>
      <c r="AA40" s="692">
        <v>0</v>
      </c>
      <c r="AB40" s="692">
        <v>0</v>
      </c>
      <c r="AC40" s="692">
        <v>0</v>
      </c>
      <c r="AD40" s="692">
        <v>0</v>
      </c>
      <c r="AE40" s="692">
        <v>0</v>
      </c>
      <c r="AF40" s="692">
        <v>0</v>
      </c>
      <c r="AG40" s="692">
        <v>0</v>
      </c>
      <c r="AH40" s="692">
        <v>0</v>
      </c>
      <c r="AI40" s="692">
        <v>0</v>
      </c>
      <c r="AJ40" s="692">
        <v>0</v>
      </c>
      <c r="AK40" s="692">
        <v>0</v>
      </c>
      <c r="AL40" s="692">
        <v>0</v>
      </c>
      <c r="AM40" s="692">
        <v>0</v>
      </c>
      <c r="AN40" s="692">
        <v>0</v>
      </c>
      <c r="AO40" s="692">
        <v>0</v>
      </c>
      <c r="AP40" s="498">
        <v>0</v>
      </c>
      <c r="AQ40" s="498">
        <v>0</v>
      </c>
      <c r="AR40" s="692">
        <v>4.7469094311440596</v>
      </c>
      <c r="AS40" s="692">
        <v>-3.8538496927872E-2</v>
      </c>
      <c r="AT40" s="498">
        <v>389480.02791599999</v>
      </c>
      <c r="AU40" s="695">
        <v>-3162.0520839999999</v>
      </c>
    </row>
    <row r="41" spans="1:47" ht="12" thickBot="1">
      <c r="A41" s="937"/>
      <c r="B41" s="937"/>
      <c r="C41" s="937"/>
      <c r="D41" s="937"/>
      <c r="E41" s="938"/>
      <c r="F41" s="938"/>
      <c r="G41" s="690" t="s">
        <v>277</v>
      </c>
      <c r="H41" s="691">
        <v>170088</v>
      </c>
      <c r="I41" s="692">
        <v>0</v>
      </c>
      <c r="J41" s="692">
        <v>0</v>
      </c>
      <c r="K41" s="692">
        <v>22527472.5275</v>
      </c>
      <c r="L41" s="693"/>
      <c r="M41" s="692">
        <v>-1152540.32</v>
      </c>
      <c r="N41" s="694"/>
      <c r="O41" s="693"/>
      <c r="P41" s="693"/>
      <c r="Q41" s="693"/>
      <c r="R41" s="693"/>
      <c r="S41" s="498">
        <v>-10.2885306614632</v>
      </c>
      <c r="T41" s="692">
        <v>5.28225943688693</v>
      </c>
      <c r="U41" s="692">
        <v>15.570790098350299</v>
      </c>
      <c r="V41" s="498">
        <v>591728.51615399995</v>
      </c>
      <c r="W41" s="692">
        <v>1744268.8361539999</v>
      </c>
      <c r="X41" s="692">
        <v>-0.51803316985361003</v>
      </c>
      <c r="Y41" s="692">
        <v>-58031.038153000001</v>
      </c>
      <c r="Z41" s="692">
        <v>0</v>
      </c>
      <c r="AA41" s="692">
        <v>0</v>
      </c>
      <c r="AB41" s="692">
        <v>0.302360346032927</v>
      </c>
      <c r="AC41" s="692">
        <v>33870.967725000002</v>
      </c>
      <c r="AD41" s="692">
        <v>0</v>
      </c>
      <c r="AE41" s="692">
        <v>0</v>
      </c>
      <c r="AF41" s="692">
        <v>0</v>
      </c>
      <c r="AG41" s="692">
        <v>0</v>
      </c>
      <c r="AH41" s="692">
        <v>0</v>
      </c>
      <c r="AI41" s="692">
        <v>0</v>
      </c>
      <c r="AJ41" s="692">
        <v>0</v>
      </c>
      <c r="AK41" s="692">
        <v>0</v>
      </c>
      <c r="AL41" s="692">
        <v>0</v>
      </c>
      <c r="AM41" s="692">
        <v>0</v>
      </c>
      <c r="AN41" s="692">
        <v>0</v>
      </c>
      <c r="AO41" s="692">
        <v>0</v>
      </c>
      <c r="AP41" s="498">
        <v>0</v>
      </c>
      <c r="AQ41" s="498">
        <v>0</v>
      </c>
      <c r="AR41" s="692">
        <v>5.066586613218</v>
      </c>
      <c r="AS41" s="692">
        <v>15.355117274681399</v>
      </c>
      <c r="AT41" s="498">
        <v>567568.44574300002</v>
      </c>
      <c r="AU41" s="695">
        <v>1720108.765743</v>
      </c>
    </row>
    <row r="42" spans="1:47" ht="12" thickBot="1">
      <c r="A42" s="937"/>
      <c r="B42" s="937"/>
      <c r="C42" s="937"/>
      <c r="D42" s="937"/>
      <c r="E42" s="936" t="s">
        <v>278</v>
      </c>
      <c r="F42" s="690" t="s">
        <v>279</v>
      </c>
      <c r="G42" s="690" t="s">
        <v>279</v>
      </c>
      <c r="H42" s="691">
        <v>170091</v>
      </c>
      <c r="I42" s="692">
        <v>180190931.52000001</v>
      </c>
      <c r="J42" s="692">
        <v>5.0982563724941699</v>
      </c>
      <c r="K42" s="692">
        <v>189272186.0607</v>
      </c>
      <c r="L42" s="693"/>
      <c r="M42" s="692">
        <v>4609989.1804999998</v>
      </c>
      <c r="N42" s="694"/>
      <c r="O42" s="693"/>
      <c r="P42" s="693"/>
      <c r="Q42" s="693"/>
      <c r="R42" s="693"/>
      <c r="S42" s="498">
        <v>4.8980453888703401</v>
      </c>
      <c r="T42" s="692">
        <v>5.9731744158712496</v>
      </c>
      <c r="U42" s="692">
        <v>1.0751290270009</v>
      </c>
      <c r="V42" s="498">
        <v>5621889.3948980002</v>
      </c>
      <c r="W42" s="692">
        <v>1011900.214898</v>
      </c>
      <c r="X42" s="692">
        <v>-0.62477234455154496</v>
      </c>
      <c r="Y42" s="692">
        <v>-588029.20750599995</v>
      </c>
      <c r="Z42" s="692">
        <v>0</v>
      </c>
      <c r="AA42" s="692">
        <v>0</v>
      </c>
      <c r="AB42" s="692">
        <v>0</v>
      </c>
      <c r="AC42" s="692">
        <v>0</v>
      </c>
      <c r="AD42" s="692">
        <v>0</v>
      </c>
      <c r="AE42" s="692">
        <v>0</v>
      </c>
      <c r="AF42" s="692">
        <v>0</v>
      </c>
      <c r="AG42" s="692">
        <v>0</v>
      </c>
      <c r="AH42" s="692">
        <v>0</v>
      </c>
      <c r="AI42" s="692">
        <v>0</v>
      </c>
      <c r="AJ42" s="692">
        <v>0</v>
      </c>
      <c r="AK42" s="692">
        <v>0</v>
      </c>
      <c r="AL42" s="692">
        <v>0</v>
      </c>
      <c r="AM42" s="692">
        <v>0</v>
      </c>
      <c r="AN42" s="692">
        <v>-1.8403216838246E-2</v>
      </c>
      <c r="AO42" s="692">
        <v>-17320.915541999999</v>
      </c>
      <c r="AP42" s="498">
        <v>0</v>
      </c>
      <c r="AQ42" s="498">
        <v>0</v>
      </c>
      <c r="AR42" s="692">
        <v>5.3299988564534297</v>
      </c>
      <c r="AS42" s="692">
        <v>0.43195346758308101</v>
      </c>
      <c r="AT42" s="498">
        <v>5016539.2737060003</v>
      </c>
      <c r="AU42" s="695">
        <v>406550.09370600001</v>
      </c>
    </row>
    <row r="43" spans="1:47" ht="12" thickBot="1">
      <c r="A43" s="937"/>
      <c r="B43" s="937"/>
      <c r="C43" s="937"/>
      <c r="D43" s="937"/>
      <c r="E43" s="937"/>
      <c r="F43" s="936" t="s">
        <v>280</v>
      </c>
      <c r="G43" s="690" t="s">
        <v>281</v>
      </c>
      <c r="H43" s="691">
        <v>170092</v>
      </c>
      <c r="I43" s="692">
        <v>15243600000</v>
      </c>
      <c r="J43" s="692">
        <v>5.0631320685402397</v>
      </c>
      <c r="K43" s="692">
        <v>15243600000</v>
      </c>
      <c r="L43" s="693"/>
      <c r="M43" s="692">
        <v>384615248.23000002</v>
      </c>
      <c r="N43" s="694"/>
      <c r="O43" s="693"/>
      <c r="P43" s="693"/>
      <c r="Q43" s="693"/>
      <c r="R43" s="693"/>
      <c r="S43" s="498">
        <v>5.0739788347197603</v>
      </c>
      <c r="T43" s="692">
        <v>6.01391724309397</v>
      </c>
      <c r="U43" s="692">
        <v>0.93993840837421205</v>
      </c>
      <c r="V43" s="498">
        <v>455863997.19679099</v>
      </c>
      <c r="W43" s="692">
        <v>71248748.966791004</v>
      </c>
      <c r="X43" s="692">
        <v>-0.62979307002793805</v>
      </c>
      <c r="Y43" s="692">
        <v>-47739264.559960999</v>
      </c>
      <c r="Z43" s="692">
        <v>0</v>
      </c>
      <c r="AA43" s="692">
        <v>0</v>
      </c>
      <c r="AB43" s="692">
        <v>0</v>
      </c>
      <c r="AC43" s="692">
        <v>0</v>
      </c>
      <c r="AD43" s="692">
        <v>0</v>
      </c>
      <c r="AE43" s="692">
        <v>0</v>
      </c>
      <c r="AF43" s="692">
        <v>0</v>
      </c>
      <c r="AG43" s="692">
        <v>0</v>
      </c>
      <c r="AH43" s="692">
        <v>0</v>
      </c>
      <c r="AI43" s="692">
        <v>0</v>
      </c>
      <c r="AJ43" s="692">
        <v>0</v>
      </c>
      <c r="AK43" s="692">
        <v>0</v>
      </c>
      <c r="AL43" s="692">
        <v>0</v>
      </c>
      <c r="AM43" s="692">
        <v>0</v>
      </c>
      <c r="AN43" s="692">
        <v>-1.0158109226939001E-2</v>
      </c>
      <c r="AO43" s="692">
        <v>-769999.99982899998</v>
      </c>
      <c r="AP43" s="498">
        <v>0</v>
      </c>
      <c r="AQ43" s="498">
        <v>0</v>
      </c>
      <c r="AR43" s="692">
        <v>5.3739660638399602</v>
      </c>
      <c r="AS43" s="692">
        <v>0.29998722912020598</v>
      </c>
      <c r="AT43" s="498">
        <v>407354732.63706702</v>
      </c>
      <c r="AU43" s="695">
        <v>22739484.407067001</v>
      </c>
    </row>
    <row r="44" spans="1:47" ht="12" thickBot="1">
      <c r="A44" s="937"/>
      <c r="B44" s="937"/>
      <c r="C44" s="937"/>
      <c r="D44" s="938"/>
      <c r="E44" s="938"/>
      <c r="F44" s="938"/>
      <c r="G44" s="690" t="s">
        <v>282</v>
      </c>
      <c r="H44" s="691">
        <v>170098</v>
      </c>
      <c r="I44" s="692">
        <v>60000</v>
      </c>
      <c r="J44" s="692">
        <v>5.2249999999999996</v>
      </c>
      <c r="K44" s="692">
        <v>60000</v>
      </c>
      <c r="L44" s="693"/>
      <c r="M44" s="692">
        <v>1564.97</v>
      </c>
      <c r="N44" s="694"/>
      <c r="O44" s="693"/>
      <c r="P44" s="693"/>
      <c r="Q44" s="693"/>
      <c r="R44" s="693"/>
      <c r="S44" s="498">
        <v>5.2452291208791202</v>
      </c>
      <c r="T44" s="692">
        <v>5.9288560873626404</v>
      </c>
      <c r="U44" s="692">
        <v>0.68362696648351595</v>
      </c>
      <c r="V44" s="498">
        <v>1768.9373900000001</v>
      </c>
      <c r="W44" s="692">
        <v>203.96738999999999</v>
      </c>
      <c r="X44" s="692">
        <v>-0.61756234763736295</v>
      </c>
      <c r="Y44" s="692">
        <v>-184.25630699999999</v>
      </c>
      <c r="Z44" s="692">
        <v>0</v>
      </c>
      <c r="AA44" s="692">
        <v>0</v>
      </c>
      <c r="AB44" s="692">
        <v>0</v>
      </c>
      <c r="AC44" s="692">
        <v>0</v>
      </c>
      <c r="AD44" s="692">
        <v>0</v>
      </c>
      <c r="AE44" s="692">
        <v>0</v>
      </c>
      <c r="AF44" s="692">
        <v>0</v>
      </c>
      <c r="AG44" s="692">
        <v>0</v>
      </c>
      <c r="AH44" s="692">
        <v>0</v>
      </c>
      <c r="AI44" s="692">
        <v>0</v>
      </c>
      <c r="AJ44" s="692">
        <v>0</v>
      </c>
      <c r="AK44" s="692">
        <v>0</v>
      </c>
      <c r="AL44" s="692">
        <v>0</v>
      </c>
      <c r="AM44" s="692">
        <v>0</v>
      </c>
      <c r="AN44" s="692">
        <v>0</v>
      </c>
      <c r="AO44" s="692">
        <v>0</v>
      </c>
      <c r="AP44" s="498">
        <v>0</v>
      </c>
      <c r="AQ44" s="498">
        <v>0</v>
      </c>
      <c r="AR44" s="692">
        <v>5.3112936626373601</v>
      </c>
      <c r="AS44" s="692">
        <v>6.6064541758242001E-2</v>
      </c>
      <c r="AT44" s="498">
        <v>1584.6810599999999</v>
      </c>
      <c r="AU44" s="695">
        <v>19.71106</v>
      </c>
    </row>
    <row r="45" spans="1:47" s="325" customFormat="1" ht="12" thickBot="1">
      <c r="A45" s="937"/>
      <c r="B45" s="937"/>
      <c r="C45" s="937"/>
      <c r="D45" s="944" t="s">
        <v>283</v>
      </c>
      <c r="E45" s="944" t="s">
        <v>283</v>
      </c>
      <c r="F45" s="944" t="s">
        <v>283</v>
      </c>
      <c r="G45" s="696" t="s">
        <v>283</v>
      </c>
      <c r="H45" s="697">
        <v>170111</v>
      </c>
      <c r="I45" s="693">
        <v>9225000000</v>
      </c>
      <c r="J45" s="693">
        <v>5.5315230352303502</v>
      </c>
      <c r="K45" s="693">
        <v>6211153846.1538</v>
      </c>
      <c r="L45" s="698">
        <f>K45+K46</f>
        <v>10666098901.098801</v>
      </c>
      <c r="M45" s="693">
        <v>200834750.06999999</v>
      </c>
      <c r="N45" s="694"/>
      <c r="O45" s="698">
        <f>M45+M46</f>
        <v>280498638.99000001</v>
      </c>
      <c r="P45" s="698"/>
      <c r="Q45" s="698"/>
      <c r="R45" s="699">
        <f>O45/L45/$H$1*366</f>
        <v>5.2885285035951933E-2</v>
      </c>
      <c r="S45" s="700">
        <v>6.4027991884905697</v>
      </c>
      <c r="T45" s="693">
        <v>6.1501341901497897</v>
      </c>
      <c r="U45" s="693">
        <v>-0.25266499834078399</v>
      </c>
      <c r="V45" s="700">
        <v>197010978.92233101</v>
      </c>
      <c r="W45" s="693">
        <v>-8093771.1476689996</v>
      </c>
      <c r="X45" s="693">
        <v>-0.64717341244124704</v>
      </c>
      <c r="Y45" s="693">
        <v>-20731298.468538001</v>
      </c>
      <c r="Z45" s="693">
        <v>0</v>
      </c>
      <c r="AA45" s="693">
        <v>0</v>
      </c>
      <c r="AB45" s="693">
        <v>0</v>
      </c>
      <c r="AC45" s="693">
        <v>0</v>
      </c>
      <c r="AD45" s="693">
        <v>0</v>
      </c>
      <c r="AE45" s="693">
        <v>0</v>
      </c>
      <c r="AF45" s="693">
        <v>0</v>
      </c>
      <c r="AG45" s="693">
        <v>0</v>
      </c>
      <c r="AH45" s="693">
        <v>0</v>
      </c>
      <c r="AI45" s="693">
        <v>0</v>
      </c>
      <c r="AJ45" s="693">
        <v>0</v>
      </c>
      <c r="AK45" s="693">
        <v>0</v>
      </c>
      <c r="AL45" s="693">
        <v>0</v>
      </c>
      <c r="AM45" s="693">
        <v>0</v>
      </c>
      <c r="AN45" s="693">
        <v>-8.5222998331149994E-3</v>
      </c>
      <c r="AO45" s="693">
        <v>-272999.99981800001</v>
      </c>
      <c r="AP45" s="700">
        <v>0</v>
      </c>
      <c r="AQ45" s="700">
        <v>0</v>
      </c>
      <c r="AR45" s="693">
        <v>5.4944384778790498</v>
      </c>
      <c r="AS45" s="693">
        <v>-0.90836071061152401</v>
      </c>
      <c r="AT45" s="700">
        <v>176006680.45409101</v>
      </c>
      <c r="AU45" s="701">
        <v>-29098069.615908999</v>
      </c>
    </row>
    <row r="46" spans="1:47" s="325" customFormat="1" ht="12" thickBot="1">
      <c r="A46" s="937"/>
      <c r="B46" s="937"/>
      <c r="C46" s="937"/>
      <c r="D46" s="945"/>
      <c r="E46" s="945"/>
      <c r="F46" s="945"/>
      <c r="G46" s="696" t="s">
        <v>3945</v>
      </c>
      <c r="H46" s="697">
        <v>170112</v>
      </c>
      <c r="I46" s="693">
        <v>0</v>
      </c>
      <c r="J46" s="693">
        <v>0</v>
      </c>
      <c r="K46" s="693">
        <v>4454945054.9449997</v>
      </c>
      <c r="L46" s="693"/>
      <c r="M46" s="693">
        <v>79663888.920000002</v>
      </c>
      <c r="N46" s="694"/>
      <c r="O46" s="693"/>
      <c r="P46" s="693"/>
      <c r="Q46" s="693"/>
      <c r="R46" s="693"/>
      <c r="S46" s="700">
        <v>2.4449193545213301</v>
      </c>
      <c r="T46" s="693">
        <v>5.6113833387675198</v>
      </c>
      <c r="U46" s="693">
        <v>3.1664639842461799</v>
      </c>
      <c r="V46" s="700">
        <v>117869713.41105101</v>
      </c>
      <c r="W46" s="693">
        <v>66513046.751051001</v>
      </c>
      <c r="X46" s="693">
        <v>-0.56712466269420703</v>
      </c>
      <c r="Y46" s="693">
        <v>-11912716.958450999</v>
      </c>
      <c r="Z46" s="693">
        <v>0</v>
      </c>
      <c r="AA46" s="693">
        <v>0</v>
      </c>
      <c r="AB46" s="693">
        <v>0</v>
      </c>
      <c r="AC46" s="693">
        <v>0</v>
      </c>
      <c r="AD46" s="693">
        <v>0</v>
      </c>
      <c r="AE46" s="693">
        <v>0</v>
      </c>
      <c r="AF46" s="693">
        <v>0</v>
      </c>
      <c r="AG46" s="693">
        <v>0</v>
      </c>
      <c r="AH46" s="693">
        <v>0</v>
      </c>
      <c r="AI46" s="693">
        <v>0</v>
      </c>
      <c r="AJ46" s="693">
        <v>0</v>
      </c>
      <c r="AK46" s="693">
        <v>0</v>
      </c>
      <c r="AL46" s="693">
        <v>0</v>
      </c>
      <c r="AM46" s="693">
        <v>0</v>
      </c>
      <c r="AN46" s="693">
        <v>-0.20333333333856499</v>
      </c>
      <c r="AO46" s="693">
        <v>-4271111.1112209996</v>
      </c>
      <c r="AP46" s="700">
        <v>0</v>
      </c>
      <c r="AQ46" s="700">
        <v>0</v>
      </c>
      <c r="AR46" s="693">
        <v>4.8409253427375996</v>
      </c>
      <c r="AS46" s="693">
        <v>2.3960059882162699</v>
      </c>
      <c r="AT46" s="700">
        <v>101685885.34143899</v>
      </c>
      <c r="AU46" s="701">
        <v>50329218.681438997</v>
      </c>
    </row>
    <row r="47" spans="1:47" ht="12" thickBot="1">
      <c r="A47" s="937"/>
      <c r="B47" s="937"/>
      <c r="C47" s="937"/>
      <c r="D47" s="936" t="s">
        <v>284</v>
      </c>
      <c r="E47" s="690" t="s">
        <v>2640</v>
      </c>
      <c r="F47" s="690" t="s">
        <v>2640</v>
      </c>
      <c r="G47" s="690" t="s">
        <v>2640</v>
      </c>
      <c r="H47" s="691">
        <v>170121</v>
      </c>
      <c r="I47" s="692">
        <v>0</v>
      </c>
      <c r="J47" s="692">
        <v>0</v>
      </c>
      <c r="K47" s="692">
        <v>835164.83519999997</v>
      </c>
      <c r="L47" s="693"/>
      <c r="M47" s="692">
        <v>2308.34</v>
      </c>
      <c r="N47" s="694"/>
      <c r="O47" s="693"/>
      <c r="P47" s="693"/>
      <c r="Q47" s="693"/>
      <c r="R47" s="693"/>
      <c r="S47" s="498">
        <v>0.55582397368410097</v>
      </c>
      <c r="T47" s="692">
        <v>3.0426495</v>
      </c>
      <c r="U47" s="692">
        <v>2.4868255263157901</v>
      </c>
      <c r="V47" s="498">
        <v>12636.14</v>
      </c>
      <c r="W47" s="692">
        <v>10327.799999999999</v>
      </c>
      <c r="X47" s="692">
        <v>-0.202369177259211</v>
      </c>
      <c r="Y47" s="692">
        <v>-840.44029899999998</v>
      </c>
      <c r="Z47" s="692">
        <v>0</v>
      </c>
      <c r="AA47" s="692">
        <v>0</v>
      </c>
      <c r="AB47" s="692">
        <v>0</v>
      </c>
      <c r="AC47" s="692">
        <v>0</v>
      </c>
      <c r="AD47" s="692">
        <v>0</v>
      </c>
      <c r="AE47" s="692">
        <v>0</v>
      </c>
      <c r="AF47" s="692">
        <v>0</v>
      </c>
      <c r="AG47" s="692">
        <v>0</v>
      </c>
      <c r="AH47" s="692">
        <v>0</v>
      </c>
      <c r="AI47" s="692">
        <v>0</v>
      </c>
      <c r="AJ47" s="692">
        <v>0</v>
      </c>
      <c r="AK47" s="692">
        <v>0</v>
      </c>
      <c r="AL47" s="692">
        <v>0</v>
      </c>
      <c r="AM47" s="692">
        <v>0</v>
      </c>
      <c r="AN47" s="692">
        <v>0</v>
      </c>
      <c r="AO47" s="692">
        <v>0</v>
      </c>
      <c r="AP47" s="498">
        <v>0</v>
      </c>
      <c r="AQ47" s="498">
        <v>0</v>
      </c>
      <c r="AR47" s="692">
        <v>2.84028032274079</v>
      </c>
      <c r="AS47" s="692">
        <v>2.2844563490565801</v>
      </c>
      <c r="AT47" s="498">
        <v>11795.699701</v>
      </c>
      <c r="AU47" s="695">
        <v>9487.3597009999994</v>
      </c>
    </row>
    <row r="48" spans="1:47" ht="12" thickBot="1">
      <c r="A48" s="937"/>
      <c r="B48" s="937"/>
      <c r="C48" s="937"/>
      <c r="D48" s="937"/>
      <c r="E48" s="690" t="s">
        <v>285</v>
      </c>
      <c r="F48" s="690" t="s">
        <v>285</v>
      </c>
      <c r="G48" s="690" t="s">
        <v>285</v>
      </c>
      <c r="H48" s="691">
        <v>170122</v>
      </c>
      <c r="I48" s="692">
        <v>255000291.05000001</v>
      </c>
      <c r="J48" s="692">
        <v>1.4005878922113499</v>
      </c>
      <c r="K48" s="692">
        <v>274988842.13389999</v>
      </c>
      <c r="L48" s="693"/>
      <c r="M48" s="692">
        <v>1898279</v>
      </c>
      <c r="N48" s="694"/>
      <c r="O48" s="693"/>
      <c r="P48" s="693"/>
      <c r="Q48" s="693"/>
      <c r="R48" s="693"/>
      <c r="S48" s="498">
        <v>1.38820840117273</v>
      </c>
      <c r="T48" s="692">
        <v>3.1054551930290999</v>
      </c>
      <c r="U48" s="692">
        <v>1.7172467918563601</v>
      </c>
      <c r="V48" s="498">
        <v>4246495.2476789998</v>
      </c>
      <c r="W48" s="692">
        <v>2348216.2476789998</v>
      </c>
      <c r="X48" s="692">
        <v>-0.213529389086833</v>
      </c>
      <c r="Y48" s="692">
        <v>-291986.67494300002</v>
      </c>
      <c r="Z48" s="692">
        <v>0</v>
      </c>
      <c r="AA48" s="692">
        <v>0</v>
      </c>
      <c r="AB48" s="692">
        <v>0</v>
      </c>
      <c r="AC48" s="692">
        <v>0</v>
      </c>
      <c r="AD48" s="692">
        <v>0</v>
      </c>
      <c r="AE48" s="692">
        <v>0</v>
      </c>
      <c r="AF48" s="692">
        <v>0</v>
      </c>
      <c r="AG48" s="692">
        <v>0</v>
      </c>
      <c r="AH48" s="692">
        <v>0</v>
      </c>
      <c r="AI48" s="692">
        <v>0</v>
      </c>
      <c r="AJ48" s="692">
        <v>0</v>
      </c>
      <c r="AK48" s="692">
        <v>0</v>
      </c>
      <c r="AL48" s="692">
        <v>0</v>
      </c>
      <c r="AM48" s="692">
        <v>0</v>
      </c>
      <c r="AN48" s="692">
        <v>0</v>
      </c>
      <c r="AO48" s="692">
        <v>0</v>
      </c>
      <c r="AP48" s="498">
        <v>0</v>
      </c>
      <c r="AQ48" s="498">
        <v>0</v>
      </c>
      <c r="AR48" s="692">
        <v>2.8919258041367901</v>
      </c>
      <c r="AS48" s="692">
        <v>1.5037174029640501</v>
      </c>
      <c r="AT48" s="498">
        <v>3954508.5730019999</v>
      </c>
      <c r="AU48" s="695">
        <v>2056229.5730020001</v>
      </c>
    </row>
    <row r="49" spans="1:47" ht="12" thickBot="1">
      <c r="A49" s="937"/>
      <c r="B49" s="937"/>
      <c r="C49" s="937"/>
      <c r="D49" s="937"/>
      <c r="E49" s="690" t="s">
        <v>286</v>
      </c>
      <c r="F49" s="690" t="s">
        <v>286</v>
      </c>
      <c r="G49" s="690" t="s">
        <v>286</v>
      </c>
      <c r="H49" s="691">
        <v>170123</v>
      </c>
      <c r="I49" s="692">
        <v>4075200551.46</v>
      </c>
      <c r="J49" s="692">
        <v>1.3162178843357899</v>
      </c>
      <c r="K49" s="692">
        <v>3696576145.5300999</v>
      </c>
      <c r="L49" s="693"/>
      <c r="M49" s="692">
        <v>32993264.330600001</v>
      </c>
      <c r="N49" s="694"/>
      <c r="O49" s="693"/>
      <c r="P49" s="693"/>
      <c r="Q49" s="693"/>
      <c r="R49" s="693"/>
      <c r="S49" s="498">
        <v>1.79487962352724</v>
      </c>
      <c r="T49" s="692">
        <v>3.0938100109701399</v>
      </c>
      <c r="U49" s="692">
        <v>1.2989303874428999</v>
      </c>
      <c r="V49" s="498">
        <v>56870048.632087998</v>
      </c>
      <c r="W49" s="692">
        <v>23876784.302088</v>
      </c>
      <c r="X49" s="692">
        <v>-0.21128840356956999</v>
      </c>
      <c r="Y49" s="692">
        <v>-3883878.3712610002</v>
      </c>
      <c r="Z49" s="692">
        <v>0</v>
      </c>
      <c r="AA49" s="692">
        <v>0</v>
      </c>
      <c r="AB49" s="692">
        <v>0</v>
      </c>
      <c r="AC49" s="692">
        <v>0</v>
      </c>
      <c r="AD49" s="692">
        <v>0</v>
      </c>
      <c r="AE49" s="692">
        <v>0</v>
      </c>
      <c r="AF49" s="692">
        <v>0</v>
      </c>
      <c r="AG49" s="692">
        <v>0</v>
      </c>
      <c r="AH49" s="692">
        <v>0</v>
      </c>
      <c r="AI49" s="692">
        <v>0</v>
      </c>
      <c r="AJ49" s="692">
        <v>0</v>
      </c>
      <c r="AK49" s="692">
        <v>0</v>
      </c>
      <c r="AL49" s="692">
        <v>0</v>
      </c>
      <c r="AM49" s="692">
        <v>0</v>
      </c>
      <c r="AN49" s="692">
        <v>0</v>
      </c>
      <c r="AO49" s="692">
        <v>0</v>
      </c>
      <c r="AP49" s="498">
        <v>0</v>
      </c>
      <c r="AQ49" s="498">
        <v>0</v>
      </c>
      <c r="AR49" s="692">
        <v>2.8825216074175999</v>
      </c>
      <c r="AS49" s="692">
        <v>1.0876419838903599</v>
      </c>
      <c r="AT49" s="498">
        <v>52986170.261139996</v>
      </c>
      <c r="AU49" s="695">
        <v>19992905.931139998</v>
      </c>
    </row>
    <row r="50" spans="1:47" ht="12" thickBot="1">
      <c r="A50" s="937"/>
      <c r="B50" s="937"/>
      <c r="C50" s="937"/>
      <c r="D50" s="937"/>
      <c r="E50" s="690" t="s">
        <v>287</v>
      </c>
      <c r="F50" s="690" t="s">
        <v>287</v>
      </c>
      <c r="G50" s="690" t="s">
        <v>287</v>
      </c>
      <c r="H50" s="691">
        <v>170124</v>
      </c>
      <c r="I50" s="692">
        <v>1088087857.4100001</v>
      </c>
      <c r="J50" s="692">
        <v>0.3</v>
      </c>
      <c r="K50" s="692">
        <v>990761273.25909996</v>
      </c>
      <c r="L50" s="693"/>
      <c r="M50" s="692">
        <v>4366830.8723999998</v>
      </c>
      <c r="N50" s="694"/>
      <c r="O50" s="693"/>
      <c r="P50" s="693"/>
      <c r="Q50" s="693"/>
      <c r="R50" s="693"/>
      <c r="S50" s="498">
        <v>0.88635366858165199</v>
      </c>
      <c r="T50" s="692">
        <v>3.2327945637216899</v>
      </c>
      <c r="U50" s="692">
        <v>2.34644089514003</v>
      </c>
      <c r="V50" s="498">
        <v>15927126.606040001</v>
      </c>
      <c r="W50" s="692">
        <v>11560295.73604</v>
      </c>
      <c r="X50" s="692">
        <v>-0.232271689049701</v>
      </c>
      <c r="Y50" s="692">
        <v>-1144341.381914</v>
      </c>
      <c r="Z50" s="692">
        <v>0</v>
      </c>
      <c r="AA50" s="692">
        <v>0</v>
      </c>
      <c r="AB50" s="692">
        <v>2.6664541291299999E-4</v>
      </c>
      <c r="AC50" s="692">
        <v>1313.691658</v>
      </c>
      <c r="AD50" s="692">
        <v>0</v>
      </c>
      <c r="AE50" s="692">
        <v>0</v>
      </c>
      <c r="AF50" s="692">
        <v>0</v>
      </c>
      <c r="AG50" s="692">
        <v>0</v>
      </c>
      <c r="AH50" s="692">
        <v>0</v>
      </c>
      <c r="AI50" s="692">
        <v>0</v>
      </c>
      <c r="AJ50" s="692">
        <v>0</v>
      </c>
      <c r="AK50" s="692">
        <v>0</v>
      </c>
      <c r="AL50" s="692">
        <v>0</v>
      </c>
      <c r="AM50" s="692">
        <v>0</v>
      </c>
      <c r="AN50" s="692">
        <v>0</v>
      </c>
      <c r="AO50" s="692">
        <v>0</v>
      </c>
      <c r="AP50" s="498">
        <v>0</v>
      </c>
      <c r="AQ50" s="498">
        <v>0</v>
      </c>
      <c r="AR50" s="692">
        <v>3.0007895201549202</v>
      </c>
      <c r="AS50" s="692">
        <v>2.11443585157327</v>
      </c>
      <c r="AT50" s="498">
        <v>14784098.916129</v>
      </c>
      <c r="AU50" s="695">
        <v>10417268.046128999</v>
      </c>
    </row>
    <row r="51" spans="1:47" ht="12" thickBot="1">
      <c r="A51" s="937"/>
      <c r="B51" s="937"/>
      <c r="C51" s="937"/>
      <c r="D51" s="937"/>
      <c r="E51" s="690" t="s">
        <v>288</v>
      </c>
      <c r="F51" s="690" t="s">
        <v>288</v>
      </c>
      <c r="G51" s="690" t="s">
        <v>288</v>
      </c>
      <c r="H51" s="691">
        <v>170125</v>
      </c>
      <c r="I51" s="692">
        <v>3710334730.0599999</v>
      </c>
      <c r="J51" s="692">
        <v>2.5793796710304502</v>
      </c>
      <c r="K51" s="692">
        <v>3847443945.2114</v>
      </c>
      <c r="L51" s="693"/>
      <c r="M51" s="692">
        <v>41394507.337099999</v>
      </c>
      <c r="N51" s="694"/>
      <c r="O51" s="693"/>
      <c r="P51" s="693"/>
      <c r="Q51" s="693"/>
      <c r="R51" s="693"/>
      <c r="S51" s="498">
        <v>2.1636156497952999</v>
      </c>
      <c r="T51" s="692">
        <v>4.3709028187968499</v>
      </c>
      <c r="U51" s="692">
        <v>2.2072871690015501</v>
      </c>
      <c r="V51" s="498">
        <v>83624542.418660894</v>
      </c>
      <c r="W51" s="692">
        <v>42230035.108661003</v>
      </c>
      <c r="X51" s="692">
        <v>-0.39552567017451101</v>
      </c>
      <c r="Y51" s="692">
        <v>-7567236.0046389997</v>
      </c>
      <c r="Z51" s="692">
        <v>0</v>
      </c>
      <c r="AA51" s="692">
        <v>0</v>
      </c>
      <c r="AB51" s="692">
        <v>2.1523403155620001E-3</v>
      </c>
      <c r="AC51" s="692">
        <v>41178.786506999997</v>
      </c>
      <c r="AD51" s="692">
        <v>0</v>
      </c>
      <c r="AE51" s="692">
        <v>0</v>
      </c>
      <c r="AF51" s="692">
        <v>0</v>
      </c>
      <c r="AG51" s="692">
        <v>0</v>
      </c>
      <c r="AH51" s="692">
        <v>0</v>
      </c>
      <c r="AI51" s="692">
        <v>0</v>
      </c>
      <c r="AJ51" s="692">
        <v>0</v>
      </c>
      <c r="AK51" s="692">
        <v>0</v>
      </c>
      <c r="AL51" s="692">
        <v>0</v>
      </c>
      <c r="AM51" s="692">
        <v>0</v>
      </c>
      <c r="AN51" s="692">
        <v>-5.8304449129813002E-2</v>
      </c>
      <c r="AO51" s="692">
        <v>-1115486.4524749999</v>
      </c>
      <c r="AP51" s="498">
        <v>0</v>
      </c>
      <c r="AQ51" s="498">
        <v>0</v>
      </c>
      <c r="AR51" s="692">
        <v>3.91922503994321</v>
      </c>
      <c r="AS51" s="692">
        <v>1.75560939014791</v>
      </c>
      <c r="AT51" s="498">
        <v>74982998.750639096</v>
      </c>
      <c r="AU51" s="695">
        <v>33588491.440638997</v>
      </c>
    </row>
    <row r="52" spans="1:47" ht="12" thickBot="1">
      <c r="A52" s="937"/>
      <c r="B52" s="937"/>
      <c r="C52" s="937"/>
      <c r="D52" s="937"/>
      <c r="E52" s="936" t="s">
        <v>289</v>
      </c>
      <c r="F52" s="936" t="s">
        <v>289</v>
      </c>
      <c r="G52" s="690" t="s">
        <v>290</v>
      </c>
      <c r="H52" s="691">
        <v>170126</v>
      </c>
      <c r="I52" s="692">
        <v>2382826685.4699998</v>
      </c>
      <c r="J52" s="692">
        <v>4.4423292257407097</v>
      </c>
      <c r="K52" s="692">
        <v>2312915217.8448</v>
      </c>
      <c r="L52" s="693"/>
      <c r="M52" s="692">
        <v>67369180.071700007</v>
      </c>
      <c r="N52" s="694"/>
      <c r="O52" s="693"/>
      <c r="P52" s="693"/>
      <c r="Q52" s="693"/>
      <c r="R52" s="693"/>
      <c r="S52" s="498">
        <v>5.85748581508164</v>
      </c>
      <c r="T52" s="692">
        <v>5.35120259010613</v>
      </c>
      <c r="U52" s="692">
        <v>-0.50628322497551903</v>
      </c>
      <c r="V52" s="498">
        <v>61546223.459165998</v>
      </c>
      <c r="W52" s="692">
        <v>-5822956.6108339997</v>
      </c>
      <c r="X52" s="692">
        <v>-0.53555252733896097</v>
      </c>
      <c r="Y52" s="692">
        <v>-6159594.0289510004</v>
      </c>
      <c r="Z52" s="692">
        <v>0</v>
      </c>
      <c r="AA52" s="692">
        <v>0</v>
      </c>
      <c r="AB52" s="692">
        <v>0</v>
      </c>
      <c r="AC52" s="692">
        <v>0</v>
      </c>
      <c r="AD52" s="692">
        <v>0</v>
      </c>
      <c r="AE52" s="692">
        <v>0</v>
      </c>
      <c r="AF52" s="692">
        <v>0</v>
      </c>
      <c r="AG52" s="692">
        <v>0</v>
      </c>
      <c r="AH52" s="692">
        <v>0</v>
      </c>
      <c r="AI52" s="692">
        <v>0</v>
      </c>
      <c r="AJ52" s="692">
        <v>0</v>
      </c>
      <c r="AK52" s="692">
        <v>0</v>
      </c>
      <c r="AL52" s="692">
        <v>0</v>
      </c>
      <c r="AM52" s="692">
        <v>0</v>
      </c>
      <c r="AN52" s="692">
        <v>0</v>
      </c>
      <c r="AO52" s="692">
        <v>0</v>
      </c>
      <c r="AP52" s="498">
        <v>0</v>
      </c>
      <c r="AQ52" s="498">
        <v>0</v>
      </c>
      <c r="AR52" s="692">
        <v>4.8156500627702101</v>
      </c>
      <c r="AS52" s="692">
        <v>-1.0418357523114401</v>
      </c>
      <c r="AT52" s="498">
        <v>55386629.430249996</v>
      </c>
      <c r="AU52" s="695">
        <v>-11982550.63975</v>
      </c>
    </row>
    <row r="53" spans="1:47" ht="12" thickBot="1">
      <c r="A53" s="937"/>
      <c r="B53" s="937"/>
      <c r="C53" s="937"/>
      <c r="D53" s="937"/>
      <c r="E53" s="937"/>
      <c r="F53" s="937"/>
      <c r="G53" s="690" t="s">
        <v>291</v>
      </c>
      <c r="H53" s="691">
        <v>170127</v>
      </c>
      <c r="I53" s="692">
        <v>318286133.93000001</v>
      </c>
      <c r="J53" s="692">
        <v>3.7994500865528198</v>
      </c>
      <c r="K53" s="692">
        <v>281716074.46399999</v>
      </c>
      <c r="L53" s="693"/>
      <c r="M53" s="692">
        <v>6944721.6200000001</v>
      </c>
      <c r="N53" s="694"/>
      <c r="O53" s="693"/>
      <c r="P53" s="693"/>
      <c r="Q53" s="693"/>
      <c r="R53" s="693"/>
      <c r="S53" s="498">
        <v>4.9573879973892403</v>
      </c>
      <c r="T53" s="692">
        <v>5.1302798397556604</v>
      </c>
      <c r="U53" s="692">
        <v>0.17289184236639901</v>
      </c>
      <c r="V53" s="498">
        <v>7186922.8994310005</v>
      </c>
      <c r="W53" s="692">
        <v>242201.279431</v>
      </c>
      <c r="X53" s="692">
        <v>-0.50333837148709504</v>
      </c>
      <c r="Y53" s="692">
        <v>-705118.27447900001</v>
      </c>
      <c r="Z53" s="692">
        <v>0</v>
      </c>
      <c r="AA53" s="692">
        <v>0</v>
      </c>
      <c r="AB53" s="692">
        <v>0</v>
      </c>
      <c r="AC53" s="692">
        <v>0</v>
      </c>
      <c r="AD53" s="692">
        <v>0</v>
      </c>
      <c r="AE53" s="692">
        <v>0</v>
      </c>
      <c r="AF53" s="692">
        <v>0</v>
      </c>
      <c r="AG53" s="692">
        <v>0</v>
      </c>
      <c r="AH53" s="692">
        <v>0</v>
      </c>
      <c r="AI53" s="692">
        <v>0</v>
      </c>
      <c r="AJ53" s="692">
        <v>0</v>
      </c>
      <c r="AK53" s="692">
        <v>0</v>
      </c>
      <c r="AL53" s="692">
        <v>0</v>
      </c>
      <c r="AM53" s="692">
        <v>0</v>
      </c>
      <c r="AN53" s="692">
        <v>0</v>
      </c>
      <c r="AO53" s="692">
        <v>0</v>
      </c>
      <c r="AP53" s="498">
        <v>0</v>
      </c>
      <c r="AQ53" s="498">
        <v>0</v>
      </c>
      <c r="AR53" s="692">
        <v>4.6269414684605898</v>
      </c>
      <c r="AS53" s="692">
        <v>-0.33044652892867499</v>
      </c>
      <c r="AT53" s="498">
        <v>6481804.6252210001</v>
      </c>
      <c r="AU53" s="695">
        <v>-462916.994779</v>
      </c>
    </row>
    <row r="54" spans="1:47" ht="12" thickBot="1">
      <c r="A54" s="937"/>
      <c r="B54" s="937"/>
      <c r="C54" s="937"/>
      <c r="D54" s="938"/>
      <c r="E54" s="938"/>
      <c r="F54" s="938"/>
      <c r="G54" s="690" t="s">
        <v>292</v>
      </c>
      <c r="H54" s="691">
        <v>170128</v>
      </c>
      <c r="I54" s="692">
        <v>83195470.400000006</v>
      </c>
      <c r="J54" s="692">
        <v>5.2249999999999996</v>
      </c>
      <c r="K54" s="692">
        <v>83195470.400000006</v>
      </c>
      <c r="L54" s="693"/>
      <c r="M54" s="692">
        <v>3825094.69</v>
      </c>
      <c r="N54" s="694"/>
      <c r="O54" s="693"/>
      <c r="P54" s="693"/>
      <c r="Q54" s="693"/>
      <c r="R54" s="693"/>
      <c r="S54" s="498">
        <v>9.24596417400919</v>
      </c>
      <c r="T54" s="692">
        <v>5.8969805504117598</v>
      </c>
      <c r="U54" s="692">
        <v>-3.3489836235974302</v>
      </c>
      <c r="V54" s="498">
        <v>2439605.9259910001</v>
      </c>
      <c r="W54" s="692">
        <v>-1385488.764009</v>
      </c>
      <c r="X54" s="692">
        <v>-0.61432598059099097</v>
      </c>
      <c r="Y54" s="692">
        <v>-254149.27011000001</v>
      </c>
      <c r="Z54" s="692">
        <v>0</v>
      </c>
      <c r="AA54" s="692">
        <v>0</v>
      </c>
      <c r="AB54" s="692">
        <v>0</v>
      </c>
      <c r="AC54" s="692">
        <v>0</v>
      </c>
      <c r="AD54" s="692">
        <v>0</v>
      </c>
      <c r="AE54" s="692">
        <v>0</v>
      </c>
      <c r="AF54" s="692">
        <v>0</v>
      </c>
      <c r="AG54" s="692">
        <v>0</v>
      </c>
      <c r="AH54" s="692">
        <v>0</v>
      </c>
      <c r="AI54" s="692">
        <v>0</v>
      </c>
      <c r="AJ54" s="692">
        <v>0</v>
      </c>
      <c r="AK54" s="692">
        <v>0</v>
      </c>
      <c r="AL54" s="692">
        <v>0</v>
      </c>
      <c r="AM54" s="692">
        <v>0</v>
      </c>
      <c r="AN54" s="692">
        <v>0</v>
      </c>
      <c r="AO54" s="692">
        <v>0</v>
      </c>
      <c r="AP54" s="498">
        <v>0</v>
      </c>
      <c r="AQ54" s="498">
        <v>0</v>
      </c>
      <c r="AR54" s="692">
        <v>5.2826545698401004</v>
      </c>
      <c r="AS54" s="692">
        <v>-3.9633096041690798</v>
      </c>
      <c r="AT54" s="498">
        <v>2185456.6558889998</v>
      </c>
      <c r="AU54" s="695">
        <v>-1639638.0341109999</v>
      </c>
    </row>
    <row r="55" spans="1:47" ht="12" thickBot="1">
      <c r="A55" s="937"/>
      <c r="B55" s="937"/>
      <c r="C55" s="937"/>
      <c r="D55" s="690" t="s">
        <v>2668</v>
      </c>
      <c r="E55" s="690" t="s">
        <v>2668</v>
      </c>
      <c r="F55" s="690" t="s">
        <v>2668</v>
      </c>
      <c r="G55" s="690" t="s">
        <v>2668</v>
      </c>
      <c r="H55" s="691">
        <v>170139</v>
      </c>
      <c r="I55" s="692">
        <v>1416200000</v>
      </c>
      <c r="J55" s="692">
        <v>2.0044428753001</v>
      </c>
      <c r="K55" s="692">
        <v>728656043.95599997</v>
      </c>
      <c r="L55" s="693"/>
      <c r="M55" s="692">
        <v>6215403.7396</v>
      </c>
      <c r="N55" s="694"/>
      <c r="O55" s="693"/>
      <c r="P55" s="693"/>
      <c r="Q55" s="693"/>
      <c r="R55" s="693"/>
      <c r="S55" s="498">
        <v>1.7153647134194101</v>
      </c>
      <c r="T55" s="692">
        <v>3.0816233511753301</v>
      </c>
      <c r="U55" s="692">
        <v>1.36625863775592</v>
      </c>
      <c r="V55" s="498">
        <v>11165866.485394999</v>
      </c>
      <c r="W55" s="692">
        <v>4950462.7253949996</v>
      </c>
      <c r="X55" s="692">
        <v>-0.209725980378861</v>
      </c>
      <c r="Y55" s="692">
        <v>-759915.15787800006</v>
      </c>
      <c r="Z55" s="692">
        <v>0</v>
      </c>
      <c r="AA55" s="692">
        <v>0</v>
      </c>
      <c r="AB55" s="692">
        <v>0</v>
      </c>
      <c r="AC55" s="692">
        <v>0</v>
      </c>
      <c r="AD55" s="692">
        <v>0</v>
      </c>
      <c r="AE55" s="692">
        <v>0</v>
      </c>
      <c r="AF55" s="692">
        <v>0</v>
      </c>
      <c r="AG55" s="692">
        <v>0</v>
      </c>
      <c r="AH55" s="692">
        <v>0</v>
      </c>
      <c r="AI55" s="692">
        <v>0</v>
      </c>
      <c r="AJ55" s="692">
        <v>0</v>
      </c>
      <c r="AK55" s="692">
        <v>0</v>
      </c>
      <c r="AL55" s="692">
        <v>0</v>
      </c>
      <c r="AM55" s="692">
        <v>0</v>
      </c>
      <c r="AN55" s="692">
        <v>0</v>
      </c>
      <c r="AO55" s="692">
        <v>0</v>
      </c>
      <c r="AP55" s="498">
        <v>0</v>
      </c>
      <c r="AQ55" s="498">
        <v>0</v>
      </c>
      <c r="AR55" s="692">
        <v>2.8718973708613298</v>
      </c>
      <c r="AS55" s="692">
        <v>1.1565326574419199</v>
      </c>
      <c r="AT55" s="498">
        <v>10405951.327752</v>
      </c>
      <c r="AU55" s="695">
        <v>4190547.5677519999</v>
      </c>
    </row>
    <row r="56" spans="1:47" ht="12" thickBot="1">
      <c r="A56" s="937"/>
      <c r="B56" s="937"/>
      <c r="C56" s="938"/>
      <c r="D56" s="690" t="s">
        <v>2870</v>
      </c>
      <c r="E56" s="690" t="s">
        <v>2870</v>
      </c>
      <c r="F56" s="690" t="s">
        <v>2870</v>
      </c>
      <c r="G56" s="690" t="s">
        <v>2871</v>
      </c>
      <c r="H56" s="691">
        <v>170140</v>
      </c>
      <c r="I56" s="692">
        <v>472000000</v>
      </c>
      <c r="J56" s="692">
        <v>3.1483050847457599</v>
      </c>
      <c r="K56" s="692">
        <v>509601648.35170001</v>
      </c>
      <c r="L56" s="693"/>
      <c r="M56" s="692">
        <v>8407826.4001000002</v>
      </c>
      <c r="N56" s="694"/>
      <c r="O56" s="693"/>
      <c r="P56" s="693"/>
      <c r="Q56" s="693"/>
      <c r="R56" s="693"/>
      <c r="S56" s="498">
        <v>3.31789477747648</v>
      </c>
      <c r="T56" s="692">
        <v>3.3336643263706498</v>
      </c>
      <c r="U56" s="692">
        <v>1.576954889417E-2</v>
      </c>
      <c r="V56" s="498">
        <v>8447787.7625699993</v>
      </c>
      <c r="W56" s="692">
        <v>39961.37257</v>
      </c>
      <c r="X56" s="692">
        <v>0</v>
      </c>
      <c r="Y56" s="692">
        <v>0</v>
      </c>
      <c r="Z56" s="692">
        <v>0</v>
      </c>
      <c r="AA56" s="692">
        <v>0</v>
      </c>
      <c r="AB56" s="692">
        <v>0</v>
      </c>
      <c r="AC56" s="692">
        <v>0</v>
      </c>
      <c r="AD56" s="692">
        <v>0</v>
      </c>
      <c r="AE56" s="692">
        <v>0</v>
      </c>
      <c r="AF56" s="692">
        <v>0</v>
      </c>
      <c r="AG56" s="692">
        <v>0</v>
      </c>
      <c r="AH56" s="692">
        <v>0</v>
      </c>
      <c r="AI56" s="692">
        <v>0</v>
      </c>
      <c r="AJ56" s="692">
        <v>0</v>
      </c>
      <c r="AK56" s="692">
        <v>0</v>
      </c>
      <c r="AL56" s="692">
        <v>0</v>
      </c>
      <c r="AM56" s="692">
        <v>0</v>
      </c>
      <c r="AN56" s="692">
        <v>0</v>
      </c>
      <c r="AO56" s="692">
        <v>0</v>
      </c>
      <c r="AP56" s="498">
        <v>0</v>
      </c>
      <c r="AQ56" s="498">
        <v>0</v>
      </c>
      <c r="AR56" s="692">
        <v>3.3336643263706498</v>
      </c>
      <c r="AS56" s="692">
        <v>1.576954889417E-2</v>
      </c>
      <c r="AT56" s="498">
        <v>8447787.7625699993</v>
      </c>
      <c r="AU56" s="695">
        <v>39961.37257</v>
      </c>
    </row>
    <row r="57" spans="1:47" ht="12" thickBot="1">
      <c r="A57" s="937"/>
      <c r="B57" s="937"/>
      <c r="C57" s="936" t="s">
        <v>293</v>
      </c>
      <c r="D57" s="936" t="s">
        <v>293</v>
      </c>
      <c r="E57" s="936" t="s">
        <v>293</v>
      </c>
      <c r="F57" s="936" t="s">
        <v>294</v>
      </c>
      <c r="G57" s="690" t="s">
        <v>295</v>
      </c>
      <c r="H57" s="691">
        <v>170141</v>
      </c>
      <c r="I57" s="692">
        <v>9684.49</v>
      </c>
      <c r="J57" s="692">
        <v>0.3</v>
      </c>
      <c r="K57" s="692">
        <v>21841.914499999999</v>
      </c>
      <c r="L57" s="693"/>
      <c r="M57" s="692">
        <v>33.119999999999997</v>
      </c>
      <c r="N57" s="694"/>
      <c r="O57" s="693"/>
      <c r="P57" s="693"/>
      <c r="Q57" s="693"/>
      <c r="R57" s="693"/>
      <c r="S57" s="498">
        <v>0.30493644009894699</v>
      </c>
      <c r="T57" s="692">
        <v>3.2473135782404001</v>
      </c>
      <c r="U57" s="692">
        <v>2.9423771381227399</v>
      </c>
      <c r="V57" s="498">
        <v>352.699814</v>
      </c>
      <c r="W57" s="692">
        <v>319.579814</v>
      </c>
      <c r="X57" s="692">
        <v>-0.23371298269625701</v>
      </c>
      <c r="Y57" s="692">
        <v>-25.384221</v>
      </c>
      <c r="Z57" s="692">
        <v>0</v>
      </c>
      <c r="AA57" s="692">
        <v>0</v>
      </c>
      <c r="AB57" s="692">
        <v>6.9893669380372003E-2</v>
      </c>
      <c r="AC57" s="692">
        <v>7.5913469999999998</v>
      </c>
      <c r="AD57" s="692">
        <v>0</v>
      </c>
      <c r="AE57" s="692">
        <v>0</v>
      </c>
      <c r="AF57" s="692">
        <v>0</v>
      </c>
      <c r="AG57" s="692">
        <v>0</v>
      </c>
      <c r="AH57" s="692">
        <v>0</v>
      </c>
      <c r="AI57" s="692">
        <v>0</v>
      </c>
      <c r="AJ57" s="692">
        <v>0</v>
      </c>
      <c r="AK57" s="692">
        <v>0</v>
      </c>
      <c r="AL57" s="692">
        <v>0</v>
      </c>
      <c r="AM57" s="692">
        <v>0</v>
      </c>
      <c r="AN57" s="692">
        <v>0</v>
      </c>
      <c r="AO57" s="692">
        <v>0</v>
      </c>
      <c r="AP57" s="498">
        <v>0</v>
      </c>
      <c r="AQ57" s="498">
        <v>0</v>
      </c>
      <c r="AR57" s="692">
        <v>3.0834921565173699</v>
      </c>
      <c r="AS57" s="692">
        <v>2.7785557163996999</v>
      </c>
      <c r="AT57" s="498">
        <v>334.90671099999997</v>
      </c>
      <c r="AU57" s="695">
        <v>301.78671100000003</v>
      </c>
    </row>
    <row r="58" spans="1:47" ht="12" thickBot="1">
      <c r="A58" s="937"/>
      <c r="B58" s="937"/>
      <c r="C58" s="937"/>
      <c r="D58" s="937"/>
      <c r="E58" s="937"/>
      <c r="F58" s="937"/>
      <c r="G58" s="690" t="s">
        <v>296</v>
      </c>
      <c r="H58" s="691">
        <v>170142</v>
      </c>
      <c r="I58" s="692">
        <v>5092.6899999999996</v>
      </c>
      <c r="J58" s="692">
        <v>0.3</v>
      </c>
      <c r="K58" s="692">
        <v>5087.3076000000001</v>
      </c>
      <c r="L58" s="693"/>
      <c r="M58" s="692">
        <v>7.71</v>
      </c>
      <c r="N58" s="694"/>
      <c r="O58" s="693"/>
      <c r="P58" s="693"/>
      <c r="Q58" s="693"/>
      <c r="R58" s="693"/>
      <c r="S58" s="498">
        <v>0.30477271178932402</v>
      </c>
      <c r="T58" s="692">
        <v>3.2446834190818201</v>
      </c>
      <c r="U58" s="692">
        <v>2.9399107073175199</v>
      </c>
      <c r="V58" s="498">
        <v>82.082509999999999</v>
      </c>
      <c r="W58" s="692">
        <v>74.372510000000005</v>
      </c>
      <c r="X58" s="692">
        <v>-0.23299087176642699</v>
      </c>
      <c r="Y58" s="692">
        <v>-5.8940960000000002</v>
      </c>
      <c r="Z58" s="692">
        <v>0</v>
      </c>
      <c r="AA58" s="692">
        <v>0</v>
      </c>
      <c r="AB58" s="692">
        <v>0</v>
      </c>
      <c r="AC58" s="692">
        <v>0</v>
      </c>
      <c r="AD58" s="692">
        <v>0</v>
      </c>
      <c r="AE58" s="692">
        <v>0</v>
      </c>
      <c r="AF58" s="692">
        <v>0</v>
      </c>
      <c r="AG58" s="692">
        <v>0</v>
      </c>
      <c r="AH58" s="692">
        <v>0</v>
      </c>
      <c r="AI58" s="692">
        <v>0</v>
      </c>
      <c r="AJ58" s="692">
        <v>0</v>
      </c>
      <c r="AK58" s="692">
        <v>0</v>
      </c>
      <c r="AL58" s="692">
        <v>0</v>
      </c>
      <c r="AM58" s="692">
        <v>0</v>
      </c>
      <c r="AN58" s="692">
        <v>0</v>
      </c>
      <c r="AO58" s="692">
        <v>0</v>
      </c>
      <c r="AP58" s="498">
        <v>0</v>
      </c>
      <c r="AQ58" s="498">
        <v>0</v>
      </c>
      <c r="AR58" s="692">
        <v>3.0116921124905098</v>
      </c>
      <c r="AS58" s="692">
        <v>2.7069194007262101</v>
      </c>
      <c r="AT58" s="498">
        <v>76.188402999999994</v>
      </c>
      <c r="AU58" s="695">
        <v>68.478403</v>
      </c>
    </row>
    <row r="59" spans="1:47" ht="12" thickBot="1">
      <c r="A59" s="937"/>
      <c r="B59" s="937"/>
      <c r="C59" s="937"/>
      <c r="D59" s="937"/>
      <c r="E59" s="937"/>
      <c r="F59" s="937"/>
      <c r="G59" s="690" t="s">
        <v>297</v>
      </c>
      <c r="H59" s="691">
        <v>170143</v>
      </c>
      <c r="I59" s="692">
        <v>0</v>
      </c>
      <c r="J59" s="692">
        <v>0</v>
      </c>
      <c r="K59" s="692">
        <v>0</v>
      </c>
      <c r="L59" s="693"/>
      <c r="M59" s="692">
        <v>0</v>
      </c>
      <c r="N59" s="694"/>
      <c r="O59" s="693"/>
      <c r="P59" s="693"/>
      <c r="Q59" s="693"/>
      <c r="R59" s="693"/>
      <c r="S59" s="498">
        <v>0</v>
      </c>
      <c r="T59" s="692">
        <v>0</v>
      </c>
      <c r="U59" s="692">
        <v>0</v>
      </c>
      <c r="V59" s="498">
        <v>0</v>
      </c>
      <c r="W59" s="692">
        <v>0</v>
      </c>
      <c r="X59" s="692">
        <v>0</v>
      </c>
      <c r="Y59" s="692">
        <v>0</v>
      </c>
      <c r="Z59" s="692">
        <v>0</v>
      </c>
      <c r="AA59" s="692">
        <v>0</v>
      </c>
      <c r="AB59" s="692">
        <v>0</v>
      </c>
      <c r="AC59" s="692">
        <v>0</v>
      </c>
      <c r="AD59" s="692">
        <v>0</v>
      </c>
      <c r="AE59" s="692">
        <v>0</v>
      </c>
      <c r="AF59" s="692">
        <v>0</v>
      </c>
      <c r="AG59" s="692">
        <v>0</v>
      </c>
      <c r="AH59" s="692">
        <v>0</v>
      </c>
      <c r="AI59" s="692">
        <v>0</v>
      </c>
      <c r="AJ59" s="692">
        <v>0</v>
      </c>
      <c r="AK59" s="692">
        <v>0</v>
      </c>
      <c r="AL59" s="692">
        <v>0</v>
      </c>
      <c r="AM59" s="692">
        <v>0</v>
      </c>
      <c r="AN59" s="692">
        <v>0</v>
      </c>
      <c r="AO59" s="692">
        <v>0</v>
      </c>
      <c r="AP59" s="498">
        <v>0</v>
      </c>
      <c r="AQ59" s="498">
        <v>0</v>
      </c>
      <c r="AR59" s="692">
        <v>0</v>
      </c>
      <c r="AS59" s="692">
        <v>0</v>
      </c>
      <c r="AT59" s="498">
        <v>0</v>
      </c>
      <c r="AU59" s="695">
        <v>0</v>
      </c>
    </row>
    <row r="60" spans="1:47" ht="12" thickBot="1">
      <c r="A60" s="937"/>
      <c r="B60" s="937"/>
      <c r="C60" s="937"/>
      <c r="D60" s="937"/>
      <c r="E60" s="937"/>
      <c r="F60" s="937"/>
      <c r="G60" s="690" t="s">
        <v>298</v>
      </c>
      <c r="H60" s="691">
        <v>170144</v>
      </c>
      <c r="I60" s="692">
        <v>59531828.280000001</v>
      </c>
      <c r="J60" s="692">
        <v>0.3</v>
      </c>
      <c r="K60" s="692">
        <v>47421182.033</v>
      </c>
      <c r="L60" s="693"/>
      <c r="M60" s="692">
        <v>71922.100099999996</v>
      </c>
      <c r="N60" s="694"/>
      <c r="O60" s="693"/>
      <c r="P60" s="693"/>
      <c r="Q60" s="693"/>
      <c r="R60" s="693"/>
      <c r="S60" s="498">
        <v>0.30499988938705203</v>
      </c>
      <c r="T60" s="692">
        <v>3.2343391899031499</v>
      </c>
      <c r="U60" s="692">
        <v>2.9293393005161001</v>
      </c>
      <c r="V60" s="498">
        <v>762690.33119199995</v>
      </c>
      <c r="W60" s="692">
        <v>690768.23119199998</v>
      </c>
      <c r="X60" s="692">
        <v>-0.231717451842606</v>
      </c>
      <c r="Y60" s="692">
        <v>-54641.350122000003</v>
      </c>
      <c r="Z60" s="692">
        <v>0</v>
      </c>
      <c r="AA60" s="692">
        <v>0</v>
      </c>
      <c r="AB60" s="692">
        <v>0</v>
      </c>
      <c r="AC60" s="692">
        <v>0</v>
      </c>
      <c r="AD60" s="692">
        <v>0</v>
      </c>
      <c r="AE60" s="692">
        <v>0</v>
      </c>
      <c r="AF60" s="692">
        <v>0</v>
      </c>
      <c r="AG60" s="692">
        <v>0</v>
      </c>
      <c r="AH60" s="692">
        <v>0</v>
      </c>
      <c r="AI60" s="692">
        <v>0</v>
      </c>
      <c r="AJ60" s="692">
        <v>0</v>
      </c>
      <c r="AK60" s="692">
        <v>0</v>
      </c>
      <c r="AL60" s="692">
        <v>0</v>
      </c>
      <c r="AM60" s="692">
        <v>0</v>
      </c>
      <c r="AN60" s="692">
        <v>0</v>
      </c>
      <c r="AO60" s="692">
        <v>0</v>
      </c>
      <c r="AP60" s="498">
        <v>0</v>
      </c>
      <c r="AQ60" s="498">
        <v>0</v>
      </c>
      <c r="AR60" s="692">
        <v>3.00262173879418</v>
      </c>
      <c r="AS60" s="692">
        <v>2.6976218494071298</v>
      </c>
      <c r="AT60" s="498">
        <v>708048.98124300002</v>
      </c>
      <c r="AU60" s="695">
        <v>636126.88124300004</v>
      </c>
    </row>
    <row r="61" spans="1:47" ht="12" thickBot="1">
      <c r="A61" s="937"/>
      <c r="B61" s="937"/>
      <c r="C61" s="937"/>
      <c r="D61" s="937"/>
      <c r="E61" s="937"/>
      <c r="F61" s="937"/>
      <c r="G61" s="690" t="s">
        <v>320</v>
      </c>
      <c r="H61" s="691">
        <v>170145</v>
      </c>
      <c r="I61" s="692">
        <v>5233.1499999999996</v>
      </c>
      <c r="J61" s="692">
        <v>0.3</v>
      </c>
      <c r="K61" s="692">
        <v>2048882.8200999999</v>
      </c>
      <c r="L61" s="693"/>
      <c r="M61" s="692">
        <v>3107.47</v>
      </c>
      <c r="N61" s="694"/>
      <c r="O61" s="693"/>
      <c r="P61" s="693"/>
      <c r="Q61" s="693"/>
      <c r="R61" s="693"/>
      <c r="S61" s="498">
        <v>0.304999776486718</v>
      </c>
      <c r="T61" s="692">
        <v>3.2304713697297398</v>
      </c>
      <c r="U61" s="692">
        <v>2.925471593243</v>
      </c>
      <c r="V61" s="498">
        <v>32913.443356999996</v>
      </c>
      <c r="W61" s="692">
        <v>29805.973356999999</v>
      </c>
      <c r="X61" s="692">
        <v>-0.23310150312460001</v>
      </c>
      <c r="Y61" s="692">
        <v>-2374.9392090000001</v>
      </c>
      <c r="Z61" s="692">
        <v>0</v>
      </c>
      <c r="AA61" s="692">
        <v>0</v>
      </c>
      <c r="AB61" s="692">
        <v>0</v>
      </c>
      <c r="AC61" s="692">
        <v>0</v>
      </c>
      <c r="AD61" s="692">
        <v>0</v>
      </c>
      <c r="AE61" s="692">
        <v>0</v>
      </c>
      <c r="AF61" s="692">
        <v>0</v>
      </c>
      <c r="AG61" s="692">
        <v>0</v>
      </c>
      <c r="AH61" s="692">
        <v>0</v>
      </c>
      <c r="AI61" s="692">
        <v>0</v>
      </c>
      <c r="AJ61" s="692">
        <v>0</v>
      </c>
      <c r="AK61" s="692">
        <v>0</v>
      </c>
      <c r="AL61" s="692">
        <v>0</v>
      </c>
      <c r="AM61" s="692">
        <v>0</v>
      </c>
      <c r="AN61" s="692">
        <v>0</v>
      </c>
      <c r="AO61" s="692">
        <v>0</v>
      </c>
      <c r="AP61" s="498">
        <v>0</v>
      </c>
      <c r="AQ61" s="498">
        <v>0</v>
      </c>
      <c r="AR61" s="692">
        <v>2.99736986513288</v>
      </c>
      <c r="AS61" s="692">
        <v>2.6923700886461401</v>
      </c>
      <c r="AT61" s="498">
        <v>30538.504132999999</v>
      </c>
      <c r="AU61" s="695">
        <v>27431.034133000001</v>
      </c>
    </row>
    <row r="62" spans="1:47" ht="12" thickBot="1">
      <c r="A62" s="937"/>
      <c r="B62" s="937"/>
      <c r="C62" s="937"/>
      <c r="D62" s="937"/>
      <c r="E62" s="937"/>
      <c r="F62" s="938"/>
      <c r="G62" s="690" t="s">
        <v>299</v>
      </c>
      <c r="H62" s="691">
        <v>170146</v>
      </c>
      <c r="I62" s="692">
        <v>370798637.06</v>
      </c>
      <c r="J62" s="692">
        <v>0.3</v>
      </c>
      <c r="K62" s="692">
        <v>375170536.59670001</v>
      </c>
      <c r="L62" s="693"/>
      <c r="M62" s="692">
        <v>569008.36369999999</v>
      </c>
      <c r="N62" s="694"/>
      <c r="O62" s="693"/>
      <c r="P62" s="693"/>
      <c r="Q62" s="693"/>
      <c r="R62" s="693"/>
      <c r="S62" s="498">
        <v>0.30499984607034403</v>
      </c>
      <c r="T62" s="692">
        <v>3.2397540555402098</v>
      </c>
      <c r="U62" s="692">
        <v>2.9347542094698702</v>
      </c>
      <c r="V62" s="498">
        <v>6044092.0403650003</v>
      </c>
      <c r="W62" s="692">
        <v>5475083.6803649999</v>
      </c>
      <c r="X62" s="692">
        <v>-0.23292838321578599</v>
      </c>
      <c r="Y62" s="692">
        <v>-434551.68597200001</v>
      </c>
      <c r="Z62" s="692">
        <v>0</v>
      </c>
      <c r="AA62" s="692">
        <v>0</v>
      </c>
      <c r="AB62" s="692">
        <v>2.29260610816E-4</v>
      </c>
      <c r="AC62" s="692">
        <v>427.70908200000002</v>
      </c>
      <c r="AD62" s="692">
        <v>0</v>
      </c>
      <c r="AE62" s="692">
        <v>0</v>
      </c>
      <c r="AF62" s="692">
        <v>0</v>
      </c>
      <c r="AG62" s="692">
        <v>0</v>
      </c>
      <c r="AH62" s="692">
        <v>0</v>
      </c>
      <c r="AI62" s="692">
        <v>0</v>
      </c>
      <c r="AJ62" s="692">
        <v>0</v>
      </c>
      <c r="AK62" s="692">
        <v>0</v>
      </c>
      <c r="AL62" s="692">
        <v>0</v>
      </c>
      <c r="AM62" s="692">
        <v>0</v>
      </c>
      <c r="AN62" s="692">
        <v>0</v>
      </c>
      <c r="AO62" s="692">
        <v>0</v>
      </c>
      <c r="AP62" s="498">
        <v>0</v>
      </c>
      <c r="AQ62" s="498">
        <v>0</v>
      </c>
      <c r="AR62" s="692">
        <v>3.0070549321826601</v>
      </c>
      <c r="AS62" s="692">
        <v>2.7020550861123298</v>
      </c>
      <c r="AT62" s="498">
        <v>5609968.0620710002</v>
      </c>
      <c r="AU62" s="695">
        <v>5040959.7020709999</v>
      </c>
    </row>
    <row r="63" spans="1:47" ht="12" thickBot="1">
      <c r="A63" s="937"/>
      <c r="B63" s="937"/>
      <c r="C63" s="937"/>
      <c r="D63" s="937"/>
      <c r="E63" s="937"/>
      <c r="F63" s="936" t="s">
        <v>300</v>
      </c>
      <c r="G63" s="690" t="s">
        <v>301</v>
      </c>
      <c r="H63" s="691">
        <v>170154</v>
      </c>
      <c r="I63" s="692">
        <v>778.74</v>
      </c>
      <c r="J63" s="692">
        <v>0.3</v>
      </c>
      <c r="K63" s="692">
        <v>777.92309999999998</v>
      </c>
      <c r="L63" s="693"/>
      <c r="M63" s="692">
        <v>1.18</v>
      </c>
      <c r="N63" s="694"/>
      <c r="O63" s="693"/>
      <c r="P63" s="693"/>
      <c r="Q63" s="693"/>
      <c r="R63" s="693"/>
      <c r="S63" s="498">
        <v>0.305038776085445</v>
      </c>
      <c r="T63" s="692">
        <v>3.2446897063186002</v>
      </c>
      <c r="U63" s="692">
        <v>2.9396509302029901</v>
      </c>
      <c r="V63" s="498">
        <v>12.551629999999999</v>
      </c>
      <c r="W63" s="692">
        <v>11.37163</v>
      </c>
      <c r="X63" s="692">
        <v>-0.23296431749798699</v>
      </c>
      <c r="Y63" s="692">
        <v>-0.90119000000000005</v>
      </c>
      <c r="Z63" s="692">
        <v>0</v>
      </c>
      <c r="AA63" s="692">
        <v>0</v>
      </c>
      <c r="AB63" s="692">
        <v>0</v>
      </c>
      <c r="AC63" s="692">
        <v>0</v>
      </c>
      <c r="AD63" s="692">
        <v>0</v>
      </c>
      <c r="AE63" s="692">
        <v>0</v>
      </c>
      <c r="AF63" s="692">
        <v>0</v>
      </c>
      <c r="AG63" s="692">
        <v>0</v>
      </c>
      <c r="AH63" s="692">
        <v>0</v>
      </c>
      <c r="AI63" s="692">
        <v>0</v>
      </c>
      <c r="AJ63" s="692">
        <v>0</v>
      </c>
      <c r="AK63" s="692">
        <v>0</v>
      </c>
      <c r="AL63" s="692">
        <v>0</v>
      </c>
      <c r="AM63" s="692">
        <v>0</v>
      </c>
      <c r="AN63" s="692">
        <v>0</v>
      </c>
      <c r="AO63" s="692">
        <v>0</v>
      </c>
      <c r="AP63" s="498">
        <v>0</v>
      </c>
      <c r="AQ63" s="498">
        <v>0</v>
      </c>
      <c r="AR63" s="692">
        <v>3.0116941094206902</v>
      </c>
      <c r="AS63" s="692">
        <v>2.70665533330508</v>
      </c>
      <c r="AT63" s="498">
        <v>11.650319</v>
      </c>
      <c r="AU63" s="695">
        <v>10.470319</v>
      </c>
    </row>
    <row r="64" spans="1:47" ht="12" thickBot="1">
      <c r="A64" s="937"/>
      <c r="B64" s="937"/>
      <c r="C64" s="937"/>
      <c r="D64" s="937"/>
      <c r="E64" s="937"/>
      <c r="F64" s="938"/>
      <c r="G64" s="690" t="s">
        <v>302</v>
      </c>
      <c r="H64" s="691">
        <v>170156</v>
      </c>
      <c r="I64" s="692">
        <v>129.63</v>
      </c>
      <c r="J64" s="692">
        <v>0.3</v>
      </c>
      <c r="K64" s="692">
        <v>129.4915</v>
      </c>
      <c r="L64" s="693"/>
      <c r="M64" s="692">
        <v>0.2</v>
      </c>
      <c r="N64" s="694"/>
      <c r="O64" s="693"/>
      <c r="P64" s="693"/>
      <c r="Q64" s="693"/>
      <c r="R64" s="693"/>
      <c r="S64" s="498">
        <v>0.31059774901878301</v>
      </c>
      <c r="T64" s="692">
        <v>3.2447183871320902</v>
      </c>
      <c r="U64" s="692">
        <v>2.93412063922035</v>
      </c>
      <c r="V64" s="498">
        <v>2.0893380000000001</v>
      </c>
      <c r="W64" s="692">
        <v>1.889338</v>
      </c>
      <c r="X64" s="692">
        <v>-0.233074103021709</v>
      </c>
      <c r="Y64" s="692">
        <v>-0.15008099999999999</v>
      </c>
      <c r="Z64" s="692">
        <v>0</v>
      </c>
      <c r="AA64" s="692">
        <v>0</v>
      </c>
      <c r="AB64" s="692">
        <v>0</v>
      </c>
      <c r="AC64" s="692">
        <v>0</v>
      </c>
      <c r="AD64" s="692">
        <v>0</v>
      </c>
      <c r="AE64" s="692">
        <v>0</v>
      </c>
      <c r="AF64" s="692">
        <v>0</v>
      </c>
      <c r="AG64" s="692">
        <v>0</v>
      </c>
      <c r="AH64" s="692">
        <v>0</v>
      </c>
      <c r="AI64" s="692">
        <v>0</v>
      </c>
      <c r="AJ64" s="692">
        <v>0</v>
      </c>
      <c r="AK64" s="692">
        <v>0</v>
      </c>
      <c r="AL64" s="692">
        <v>0</v>
      </c>
      <c r="AM64" s="692">
        <v>0</v>
      </c>
      <c r="AN64" s="692">
        <v>0</v>
      </c>
      <c r="AO64" s="692">
        <v>0</v>
      </c>
      <c r="AP64" s="498">
        <v>0</v>
      </c>
      <c r="AQ64" s="498">
        <v>0</v>
      </c>
      <c r="AR64" s="692">
        <v>3.0116132243355902</v>
      </c>
      <c r="AS64" s="692">
        <v>2.7010154764238501</v>
      </c>
      <c r="AT64" s="498">
        <v>1.9392370000000001</v>
      </c>
      <c r="AU64" s="695">
        <v>1.7392369999999999</v>
      </c>
    </row>
    <row r="65" spans="1:47" ht="12" thickBot="1">
      <c r="A65" s="937"/>
      <c r="B65" s="937"/>
      <c r="C65" s="937"/>
      <c r="D65" s="937"/>
      <c r="E65" s="937"/>
      <c r="F65" s="936" t="s">
        <v>303</v>
      </c>
      <c r="G65" s="690" t="s">
        <v>2641</v>
      </c>
      <c r="H65" s="691">
        <v>170162</v>
      </c>
      <c r="I65" s="692">
        <v>0</v>
      </c>
      <c r="J65" s="692">
        <v>0</v>
      </c>
      <c r="K65" s="692">
        <v>192417.58240000001</v>
      </c>
      <c r="L65" s="693"/>
      <c r="M65" s="692">
        <v>291.83</v>
      </c>
      <c r="N65" s="694"/>
      <c r="O65" s="693"/>
      <c r="P65" s="693"/>
      <c r="Q65" s="693"/>
      <c r="R65" s="693"/>
      <c r="S65" s="498">
        <v>0.30499651627575203</v>
      </c>
      <c r="T65" s="692">
        <v>3.2130072559223302</v>
      </c>
      <c r="U65" s="692">
        <v>2.9080107396459201</v>
      </c>
      <c r="V65" s="498">
        <v>3074.303664</v>
      </c>
      <c r="W65" s="692">
        <v>2782.4736640000001</v>
      </c>
      <c r="X65" s="692">
        <v>-0.22707105495145599</v>
      </c>
      <c r="Y65" s="692">
        <v>-217.26853399999999</v>
      </c>
      <c r="Z65" s="692">
        <v>0</v>
      </c>
      <c r="AA65" s="692">
        <v>0</v>
      </c>
      <c r="AB65" s="692">
        <v>0</v>
      </c>
      <c r="AC65" s="692">
        <v>0</v>
      </c>
      <c r="AD65" s="692">
        <v>0</v>
      </c>
      <c r="AE65" s="692">
        <v>0</v>
      </c>
      <c r="AF65" s="692">
        <v>0</v>
      </c>
      <c r="AG65" s="692">
        <v>0</v>
      </c>
      <c r="AH65" s="692">
        <v>0</v>
      </c>
      <c r="AI65" s="692">
        <v>0</v>
      </c>
      <c r="AJ65" s="692">
        <v>0</v>
      </c>
      <c r="AK65" s="692">
        <v>0</v>
      </c>
      <c r="AL65" s="692">
        <v>0</v>
      </c>
      <c r="AM65" s="692">
        <v>0</v>
      </c>
      <c r="AN65" s="692">
        <v>0</v>
      </c>
      <c r="AO65" s="692">
        <v>0</v>
      </c>
      <c r="AP65" s="498">
        <v>0</v>
      </c>
      <c r="AQ65" s="498">
        <v>0</v>
      </c>
      <c r="AR65" s="692">
        <v>2.9859362009708699</v>
      </c>
      <c r="AS65" s="692">
        <v>2.6809396846944602</v>
      </c>
      <c r="AT65" s="498">
        <v>2857.0351300000002</v>
      </c>
      <c r="AU65" s="695">
        <v>2565.2051299999998</v>
      </c>
    </row>
    <row r="66" spans="1:47" ht="12" thickBot="1">
      <c r="A66" s="937"/>
      <c r="B66" s="937"/>
      <c r="C66" s="937"/>
      <c r="D66" s="937"/>
      <c r="E66" s="937"/>
      <c r="F66" s="937"/>
      <c r="G66" s="690" t="s">
        <v>2872</v>
      </c>
      <c r="H66" s="691">
        <v>170164</v>
      </c>
      <c r="I66" s="692">
        <v>0</v>
      </c>
      <c r="J66" s="692">
        <v>0</v>
      </c>
      <c r="K66" s="692">
        <v>115401.9231</v>
      </c>
      <c r="L66" s="693"/>
      <c r="M66" s="692">
        <v>175.03</v>
      </c>
      <c r="N66" s="694"/>
      <c r="O66" s="693"/>
      <c r="P66" s="693"/>
      <c r="Q66" s="693"/>
      <c r="R66" s="693"/>
      <c r="S66" s="498">
        <v>0.30500653473387201</v>
      </c>
      <c r="T66" s="692">
        <v>3.2763811074910199</v>
      </c>
      <c r="U66" s="692">
        <v>2.9713745727569401</v>
      </c>
      <c r="V66" s="498">
        <v>1880.172783</v>
      </c>
      <c r="W66" s="692">
        <v>1705.142783</v>
      </c>
      <c r="X66" s="692">
        <v>-0.23513252269302501</v>
      </c>
      <c r="Y66" s="692">
        <v>-134.93234000000001</v>
      </c>
      <c r="Z66" s="692">
        <v>0</v>
      </c>
      <c r="AA66" s="692">
        <v>0</v>
      </c>
      <c r="AB66" s="692">
        <v>0</v>
      </c>
      <c r="AC66" s="692">
        <v>0</v>
      </c>
      <c r="AD66" s="692">
        <v>0</v>
      </c>
      <c r="AE66" s="692">
        <v>0</v>
      </c>
      <c r="AF66" s="692">
        <v>0</v>
      </c>
      <c r="AG66" s="692">
        <v>0</v>
      </c>
      <c r="AH66" s="692">
        <v>0</v>
      </c>
      <c r="AI66" s="692">
        <v>0</v>
      </c>
      <c r="AJ66" s="692">
        <v>0</v>
      </c>
      <c r="AK66" s="692">
        <v>0</v>
      </c>
      <c r="AL66" s="692">
        <v>0</v>
      </c>
      <c r="AM66" s="692">
        <v>0</v>
      </c>
      <c r="AN66" s="692">
        <v>0</v>
      </c>
      <c r="AO66" s="692">
        <v>0</v>
      </c>
      <c r="AP66" s="498">
        <v>0</v>
      </c>
      <c r="AQ66" s="498">
        <v>0</v>
      </c>
      <c r="AR66" s="692">
        <v>3.04124858479799</v>
      </c>
      <c r="AS66" s="692">
        <v>2.73624205006392</v>
      </c>
      <c r="AT66" s="498">
        <v>1745.2404429999999</v>
      </c>
      <c r="AU66" s="695">
        <v>1570.2104429999999</v>
      </c>
    </row>
    <row r="67" spans="1:47" ht="12" thickBot="1">
      <c r="A67" s="937"/>
      <c r="B67" s="937"/>
      <c r="C67" s="937"/>
      <c r="D67" s="937"/>
      <c r="E67" s="937"/>
      <c r="F67" s="937"/>
      <c r="G67" s="690" t="s">
        <v>304</v>
      </c>
      <c r="H67" s="691">
        <v>170165</v>
      </c>
      <c r="I67" s="692">
        <v>75.53</v>
      </c>
      <c r="J67" s="692">
        <v>0.3</v>
      </c>
      <c r="K67" s="692">
        <v>75.446899999999999</v>
      </c>
      <c r="L67" s="693"/>
      <c r="M67" s="692">
        <v>0.11</v>
      </c>
      <c r="N67" s="694"/>
      <c r="O67" s="693"/>
      <c r="P67" s="693"/>
      <c r="Q67" s="693"/>
      <c r="R67" s="693"/>
      <c r="S67" s="498">
        <v>0.29319789649843098</v>
      </c>
      <c r="T67" s="692">
        <v>3.2446425330666901</v>
      </c>
      <c r="U67" s="692">
        <v>2.9514446368671998</v>
      </c>
      <c r="V67" s="498">
        <v>1.217303</v>
      </c>
      <c r="W67" s="692">
        <v>1.1073029999999999</v>
      </c>
      <c r="X67" s="692">
        <v>-0.23289241982209999</v>
      </c>
      <c r="Y67" s="692">
        <v>-8.7374999999999994E-2</v>
      </c>
      <c r="Z67" s="692">
        <v>0</v>
      </c>
      <c r="AA67" s="692">
        <v>0</v>
      </c>
      <c r="AB67" s="692">
        <v>0</v>
      </c>
      <c r="AC67" s="692">
        <v>0</v>
      </c>
      <c r="AD67" s="692">
        <v>0</v>
      </c>
      <c r="AE67" s="692">
        <v>0</v>
      </c>
      <c r="AF67" s="692">
        <v>0</v>
      </c>
      <c r="AG67" s="692">
        <v>0</v>
      </c>
      <c r="AH67" s="692">
        <v>0</v>
      </c>
      <c r="AI67" s="692">
        <v>0</v>
      </c>
      <c r="AJ67" s="692">
        <v>0</v>
      </c>
      <c r="AK67" s="692">
        <v>0</v>
      </c>
      <c r="AL67" s="692">
        <v>0</v>
      </c>
      <c r="AM67" s="692">
        <v>0</v>
      </c>
      <c r="AN67" s="692">
        <v>0</v>
      </c>
      <c r="AO67" s="692">
        <v>0</v>
      </c>
      <c r="AP67" s="498">
        <v>0</v>
      </c>
      <c r="AQ67" s="498">
        <v>0</v>
      </c>
      <c r="AR67" s="692">
        <v>3.0116035142964899</v>
      </c>
      <c r="AS67" s="692">
        <v>2.718405618097</v>
      </c>
      <c r="AT67" s="498">
        <v>1.1298729999999999</v>
      </c>
      <c r="AU67" s="695">
        <v>1.019873</v>
      </c>
    </row>
    <row r="68" spans="1:47" ht="12" thickBot="1">
      <c r="A68" s="937"/>
      <c r="B68" s="937"/>
      <c r="C68" s="937"/>
      <c r="D68" s="937"/>
      <c r="E68" s="937"/>
      <c r="F68" s="938"/>
      <c r="G68" s="690" t="s">
        <v>305</v>
      </c>
      <c r="H68" s="691">
        <v>170166</v>
      </c>
      <c r="I68" s="692">
        <v>29709104.370000001</v>
      </c>
      <c r="J68" s="692">
        <v>0.3</v>
      </c>
      <c r="K68" s="692">
        <v>37749650.679799996</v>
      </c>
      <c r="L68" s="693"/>
      <c r="M68" s="692">
        <v>57253.6204</v>
      </c>
      <c r="N68" s="694"/>
      <c r="O68" s="693"/>
      <c r="P68" s="693"/>
      <c r="Q68" s="693"/>
      <c r="R68" s="693"/>
      <c r="S68" s="498">
        <v>0.30499991016123301</v>
      </c>
      <c r="T68" s="692">
        <v>3.2356922216999302</v>
      </c>
      <c r="U68" s="692">
        <v>2.9306923115386998</v>
      </c>
      <c r="V68" s="498">
        <v>607393.92611700005</v>
      </c>
      <c r="W68" s="692">
        <v>550140.30611699994</v>
      </c>
      <c r="X68" s="692">
        <v>-0.23183818553032901</v>
      </c>
      <c r="Y68" s="692">
        <v>-43519.932084</v>
      </c>
      <c r="Z68" s="692">
        <v>0</v>
      </c>
      <c r="AA68" s="692">
        <v>0</v>
      </c>
      <c r="AB68" s="692">
        <v>0</v>
      </c>
      <c r="AC68" s="692">
        <v>0</v>
      </c>
      <c r="AD68" s="692">
        <v>0</v>
      </c>
      <c r="AE68" s="692">
        <v>0</v>
      </c>
      <c r="AF68" s="692">
        <v>0</v>
      </c>
      <c r="AG68" s="692">
        <v>0</v>
      </c>
      <c r="AH68" s="692">
        <v>0</v>
      </c>
      <c r="AI68" s="692">
        <v>0</v>
      </c>
      <c r="AJ68" s="692">
        <v>0</v>
      </c>
      <c r="AK68" s="692">
        <v>0</v>
      </c>
      <c r="AL68" s="692">
        <v>0</v>
      </c>
      <c r="AM68" s="692">
        <v>0</v>
      </c>
      <c r="AN68" s="692">
        <v>0</v>
      </c>
      <c r="AO68" s="692">
        <v>0</v>
      </c>
      <c r="AP68" s="498">
        <v>0</v>
      </c>
      <c r="AQ68" s="498">
        <v>0</v>
      </c>
      <c r="AR68" s="692">
        <v>3.0038540366703499</v>
      </c>
      <c r="AS68" s="692">
        <v>2.6988541265091199</v>
      </c>
      <c r="AT68" s="498">
        <v>563873.99412699998</v>
      </c>
      <c r="AU68" s="695">
        <v>506620.37412699999</v>
      </c>
    </row>
    <row r="69" spans="1:47" ht="12" thickBot="1">
      <c r="A69" s="937"/>
      <c r="B69" s="937"/>
      <c r="C69" s="937"/>
      <c r="D69" s="937"/>
      <c r="E69" s="937"/>
      <c r="F69" s="690" t="s">
        <v>306</v>
      </c>
      <c r="G69" s="690" t="s">
        <v>307</v>
      </c>
      <c r="H69" s="691">
        <v>170171</v>
      </c>
      <c r="I69" s="692">
        <v>10121738.219017001</v>
      </c>
      <c r="J69" s="692">
        <v>0.216283875638764</v>
      </c>
      <c r="K69" s="692">
        <v>70473536.458299994</v>
      </c>
      <c r="L69" s="693"/>
      <c r="M69" s="692">
        <v>93025.266199999998</v>
      </c>
      <c r="N69" s="694"/>
      <c r="O69" s="693"/>
      <c r="P69" s="693"/>
      <c r="Q69" s="693"/>
      <c r="R69" s="693"/>
      <c r="S69" s="498">
        <v>0.265451106582269</v>
      </c>
      <c r="T69" s="692">
        <v>2.8721655217582001</v>
      </c>
      <c r="U69" s="692">
        <v>2.6067144151759298</v>
      </c>
      <c r="V69" s="498">
        <v>1006527.9347869999</v>
      </c>
      <c r="W69" s="692">
        <v>913502.67142000003</v>
      </c>
      <c r="X69" s="692">
        <v>-0.206006187126728</v>
      </c>
      <c r="Y69" s="692">
        <v>-72193.256450999994</v>
      </c>
      <c r="Z69" s="692">
        <v>0</v>
      </c>
      <c r="AA69" s="692">
        <v>0</v>
      </c>
      <c r="AB69" s="692">
        <v>0</v>
      </c>
      <c r="AC69" s="692">
        <v>0</v>
      </c>
      <c r="AD69" s="692">
        <v>0</v>
      </c>
      <c r="AE69" s="692">
        <v>0</v>
      </c>
      <c r="AF69" s="692">
        <v>0</v>
      </c>
      <c r="AG69" s="692">
        <v>0</v>
      </c>
      <c r="AH69" s="692">
        <v>0</v>
      </c>
      <c r="AI69" s="692">
        <v>0</v>
      </c>
      <c r="AJ69" s="692">
        <v>0</v>
      </c>
      <c r="AK69" s="692">
        <v>0</v>
      </c>
      <c r="AL69" s="692">
        <v>0</v>
      </c>
      <c r="AM69" s="692">
        <v>0</v>
      </c>
      <c r="AN69" s="692">
        <v>0</v>
      </c>
      <c r="AO69" s="692">
        <v>0</v>
      </c>
      <c r="AP69" s="498">
        <v>0</v>
      </c>
      <c r="AQ69" s="498">
        <v>0</v>
      </c>
      <c r="AR69" s="692">
        <v>2.6661593343318502</v>
      </c>
      <c r="AS69" s="692">
        <v>2.4007082277495799</v>
      </c>
      <c r="AT69" s="498">
        <v>934334.67823099997</v>
      </c>
      <c r="AU69" s="695">
        <v>841309.41486400005</v>
      </c>
    </row>
    <row r="70" spans="1:47" ht="12" thickBot="1">
      <c r="A70" s="937"/>
      <c r="B70" s="937"/>
      <c r="C70" s="937"/>
      <c r="D70" s="937"/>
      <c r="E70" s="937"/>
      <c r="F70" s="690" t="s">
        <v>308</v>
      </c>
      <c r="G70" s="690" t="s">
        <v>308</v>
      </c>
      <c r="H70" s="691">
        <v>170177</v>
      </c>
      <c r="I70" s="692">
        <v>775906189.12776804</v>
      </c>
      <c r="J70" s="692">
        <v>0.30045327640622399</v>
      </c>
      <c r="K70" s="692">
        <v>1010950574.7311</v>
      </c>
      <c r="L70" s="693"/>
      <c r="M70" s="692">
        <v>8905603.8010000009</v>
      </c>
      <c r="N70" s="694"/>
      <c r="O70" s="693"/>
      <c r="P70" s="693"/>
      <c r="Q70" s="693"/>
      <c r="R70" s="693"/>
      <c r="S70" s="498">
        <v>1.7715081037600899</v>
      </c>
      <c r="T70" s="692">
        <v>2.1368536973161598</v>
      </c>
      <c r="U70" s="692">
        <v>0.36534559355606799</v>
      </c>
      <c r="V70" s="498">
        <v>10742244.048145</v>
      </c>
      <c r="W70" s="692">
        <v>1836640.2589110001</v>
      </c>
      <c r="X70" s="692">
        <v>-0.134438414136066</v>
      </c>
      <c r="Y70" s="692">
        <v>-675839.55602999905</v>
      </c>
      <c r="Z70" s="692">
        <v>0</v>
      </c>
      <c r="AA70" s="692">
        <v>0</v>
      </c>
      <c r="AB70" s="692">
        <v>8.0260541901199997E-4</v>
      </c>
      <c r="AC70" s="692">
        <v>4034.8028020000002</v>
      </c>
      <c r="AD70" s="692">
        <v>0</v>
      </c>
      <c r="AE70" s="692">
        <v>0</v>
      </c>
      <c r="AF70" s="692">
        <v>0</v>
      </c>
      <c r="AG70" s="692">
        <v>0</v>
      </c>
      <c r="AH70" s="692">
        <v>0</v>
      </c>
      <c r="AI70" s="692">
        <v>0</v>
      </c>
      <c r="AJ70" s="692">
        <v>0</v>
      </c>
      <c r="AK70" s="692">
        <v>0</v>
      </c>
      <c r="AL70" s="692">
        <v>0</v>
      </c>
      <c r="AM70" s="692">
        <v>0</v>
      </c>
      <c r="AN70" s="692">
        <v>0</v>
      </c>
      <c r="AO70" s="692">
        <v>0</v>
      </c>
      <c r="AP70" s="498">
        <v>0</v>
      </c>
      <c r="AQ70" s="498">
        <v>0</v>
      </c>
      <c r="AR70" s="692">
        <v>2.0032178889714798</v>
      </c>
      <c r="AS70" s="692">
        <v>0.23170978521139299</v>
      </c>
      <c r="AT70" s="498">
        <v>10070439.296789</v>
      </c>
      <c r="AU70" s="695">
        <v>1164835.507555</v>
      </c>
    </row>
    <row r="71" spans="1:47" ht="12" thickBot="1">
      <c r="A71" s="937"/>
      <c r="B71" s="937"/>
      <c r="C71" s="937"/>
      <c r="D71" s="937"/>
      <c r="E71" s="937"/>
      <c r="F71" s="690" t="s">
        <v>309</v>
      </c>
      <c r="G71" s="690" t="s">
        <v>309</v>
      </c>
      <c r="H71" s="691">
        <v>170178</v>
      </c>
      <c r="I71" s="692">
        <v>9742276.9600000009</v>
      </c>
      <c r="J71" s="692">
        <v>0.3</v>
      </c>
      <c r="K71" s="692">
        <v>9360274.4177999999</v>
      </c>
      <c r="L71" s="693"/>
      <c r="M71" s="692">
        <v>14196.41</v>
      </c>
      <c r="N71" s="694"/>
      <c r="O71" s="693"/>
      <c r="P71" s="693"/>
      <c r="Q71" s="693"/>
      <c r="R71" s="693"/>
      <c r="S71" s="498">
        <v>0.30499986679021301</v>
      </c>
      <c r="T71" s="692">
        <v>3.24432851300412</v>
      </c>
      <c r="U71" s="692">
        <v>2.9393286462139101</v>
      </c>
      <c r="V71" s="498">
        <v>151009.30446300001</v>
      </c>
      <c r="W71" s="692">
        <v>136812.894463</v>
      </c>
      <c r="X71" s="692">
        <v>-0.232929671233671</v>
      </c>
      <c r="Y71" s="692">
        <v>-10841.857567999999</v>
      </c>
      <c r="Z71" s="692">
        <v>0</v>
      </c>
      <c r="AA71" s="692">
        <v>0</v>
      </c>
      <c r="AB71" s="692">
        <v>0.30499999982096399</v>
      </c>
      <c r="AC71" s="692">
        <v>14196.416192000001</v>
      </c>
      <c r="AD71" s="692">
        <v>0</v>
      </c>
      <c r="AE71" s="692">
        <v>0</v>
      </c>
      <c r="AF71" s="692">
        <v>0</v>
      </c>
      <c r="AG71" s="692">
        <v>0</v>
      </c>
      <c r="AH71" s="692">
        <v>0</v>
      </c>
      <c r="AI71" s="692">
        <v>0</v>
      </c>
      <c r="AJ71" s="692">
        <v>0</v>
      </c>
      <c r="AK71" s="692">
        <v>0</v>
      </c>
      <c r="AL71" s="692">
        <v>0</v>
      </c>
      <c r="AM71" s="692">
        <v>0</v>
      </c>
      <c r="AN71" s="692">
        <v>0</v>
      </c>
      <c r="AO71" s="692">
        <v>0</v>
      </c>
      <c r="AP71" s="498">
        <v>0</v>
      </c>
      <c r="AQ71" s="498">
        <v>0</v>
      </c>
      <c r="AR71" s="692">
        <v>3.3163988452867099</v>
      </c>
      <c r="AS71" s="692">
        <v>3.0113989784965001</v>
      </c>
      <c r="AT71" s="498">
        <v>154363.86325900001</v>
      </c>
      <c r="AU71" s="695">
        <v>140167.453259</v>
      </c>
    </row>
    <row r="72" spans="1:47" ht="12" thickBot="1">
      <c r="A72" s="937"/>
      <c r="B72" s="937"/>
      <c r="C72" s="937"/>
      <c r="D72" s="937"/>
      <c r="E72" s="937"/>
      <c r="F72" s="690" t="s">
        <v>310</v>
      </c>
      <c r="G72" s="690" t="s">
        <v>310</v>
      </c>
      <c r="H72" s="691">
        <v>170179</v>
      </c>
      <c r="I72" s="692">
        <v>4937.41</v>
      </c>
      <c r="J72" s="692">
        <v>0.3</v>
      </c>
      <c r="K72" s="692">
        <v>4932.1980999999996</v>
      </c>
      <c r="L72" s="693"/>
      <c r="M72" s="692">
        <v>7.4801000000000002</v>
      </c>
      <c r="N72" s="694"/>
      <c r="O72" s="693"/>
      <c r="P72" s="693"/>
      <c r="Q72" s="693"/>
      <c r="R72" s="693"/>
      <c r="S72" s="498">
        <v>0.30497959326906099</v>
      </c>
      <c r="T72" s="692">
        <v>3.2446820516889199</v>
      </c>
      <c r="U72" s="692">
        <v>2.93970245841171</v>
      </c>
      <c r="V72" s="498">
        <v>79.579821999999993</v>
      </c>
      <c r="W72" s="692">
        <v>72.099822000000003</v>
      </c>
      <c r="X72" s="692">
        <v>-0.232992829824689</v>
      </c>
      <c r="Y72" s="692">
        <v>-5.7144360000000001</v>
      </c>
      <c r="Z72" s="692">
        <v>0</v>
      </c>
      <c r="AA72" s="692">
        <v>0</v>
      </c>
      <c r="AB72" s="692">
        <v>0</v>
      </c>
      <c r="AC72" s="692">
        <v>0</v>
      </c>
      <c r="AD72" s="692">
        <v>0</v>
      </c>
      <c r="AE72" s="692">
        <v>0</v>
      </c>
      <c r="AF72" s="692">
        <v>0</v>
      </c>
      <c r="AG72" s="692">
        <v>0</v>
      </c>
      <c r="AH72" s="692">
        <v>0</v>
      </c>
      <c r="AI72" s="692">
        <v>0</v>
      </c>
      <c r="AJ72" s="692">
        <v>0</v>
      </c>
      <c r="AK72" s="692">
        <v>0</v>
      </c>
      <c r="AL72" s="692">
        <v>0</v>
      </c>
      <c r="AM72" s="692">
        <v>0</v>
      </c>
      <c r="AN72" s="692">
        <v>0</v>
      </c>
      <c r="AO72" s="692">
        <v>0</v>
      </c>
      <c r="AP72" s="498">
        <v>0</v>
      </c>
      <c r="AQ72" s="498">
        <v>0</v>
      </c>
      <c r="AR72" s="692">
        <v>3.0116914235885699</v>
      </c>
      <c r="AS72" s="692">
        <v>2.7067118303113502</v>
      </c>
      <c r="AT72" s="498">
        <v>73.865440000000007</v>
      </c>
      <c r="AU72" s="695">
        <v>66.385440000000003</v>
      </c>
    </row>
    <row r="73" spans="1:47" ht="12" thickBot="1">
      <c r="A73" s="937"/>
      <c r="B73" s="937"/>
      <c r="C73" s="937"/>
      <c r="D73" s="937"/>
      <c r="E73" s="937"/>
      <c r="F73" s="690" t="s">
        <v>311</v>
      </c>
      <c r="G73" s="690" t="s">
        <v>311</v>
      </c>
      <c r="H73" s="691">
        <v>170180</v>
      </c>
      <c r="I73" s="692">
        <v>1211.1500000000001</v>
      </c>
      <c r="J73" s="692">
        <v>0.3</v>
      </c>
      <c r="K73" s="692">
        <v>1186.2887000000001</v>
      </c>
      <c r="L73" s="693"/>
      <c r="M73" s="692">
        <v>1.8003</v>
      </c>
      <c r="N73" s="694"/>
      <c r="O73" s="693"/>
      <c r="P73" s="693"/>
      <c r="Q73" s="693"/>
      <c r="R73" s="693"/>
      <c r="S73" s="498">
        <v>0.30513485273490698</v>
      </c>
      <c r="T73" s="692">
        <v>3.2440398298247901</v>
      </c>
      <c r="U73" s="692">
        <v>2.9389049771718598</v>
      </c>
      <c r="V73" s="498">
        <v>19.136692</v>
      </c>
      <c r="W73" s="692">
        <v>17.336691999999999</v>
      </c>
      <c r="X73" s="692">
        <v>-0.23287824146727101</v>
      </c>
      <c r="Y73" s="692">
        <v>-1.373756</v>
      </c>
      <c r="Z73" s="692">
        <v>0</v>
      </c>
      <c r="AA73" s="692">
        <v>0</v>
      </c>
      <c r="AB73" s="692">
        <v>0</v>
      </c>
      <c r="AC73" s="692">
        <v>0</v>
      </c>
      <c r="AD73" s="692">
        <v>0</v>
      </c>
      <c r="AE73" s="692">
        <v>0</v>
      </c>
      <c r="AF73" s="692">
        <v>0</v>
      </c>
      <c r="AG73" s="692">
        <v>0</v>
      </c>
      <c r="AH73" s="692">
        <v>0</v>
      </c>
      <c r="AI73" s="692">
        <v>0</v>
      </c>
      <c r="AJ73" s="692">
        <v>0</v>
      </c>
      <c r="AK73" s="692">
        <v>0</v>
      </c>
      <c r="AL73" s="692">
        <v>0</v>
      </c>
      <c r="AM73" s="692">
        <v>0</v>
      </c>
      <c r="AN73" s="692">
        <v>0</v>
      </c>
      <c r="AO73" s="692">
        <v>0</v>
      </c>
      <c r="AP73" s="498">
        <v>0</v>
      </c>
      <c r="AQ73" s="498">
        <v>0</v>
      </c>
      <c r="AR73" s="692">
        <v>3.0111668434577599</v>
      </c>
      <c r="AS73" s="692">
        <v>2.7060319908048198</v>
      </c>
      <c r="AT73" s="498">
        <v>17.762967</v>
      </c>
      <c r="AU73" s="695">
        <v>15.962967000000001</v>
      </c>
    </row>
    <row r="74" spans="1:47" ht="12" thickBot="1">
      <c r="A74" s="937"/>
      <c r="B74" s="937"/>
      <c r="C74" s="937"/>
      <c r="D74" s="937"/>
      <c r="E74" s="937"/>
      <c r="F74" s="690" t="s">
        <v>312</v>
      </c>
      <c r="G74" s="690" t="s">
        <v>312</v>
      </c>
      <c r="H74" s="691">
        <v>170181</v>
      </c>
      <c r="I74" s="692">
        <v>103106668.035504</v>
      </c>
      <c r="J74" s="692">
        <v>0.27604196730574598</v>
      </c>
      <c r="K74" s="692">
        <v>312661977.68970001</v>
      </c>
      <c r="L74" s="693"/>
      <c r="M74" s="692">
        <v>1541197.6168</v>
      </c>
      <c r="N74" s="694"/>
      <c r="O74" s="693"/>
      <c r="P74" s="693"/>
      <c r="Q74" s="693"/>
      <c r="R74" s="693"/>
      <c r="S74" s="498">
        <v>0.99127226630710297</v>
      </c>
      <c r="T74" s="692">
        <v>2.7013041445175401</v>
      </c>
      <c r="U74" s="692">
        <v>1.71003187821044</v>
      </c>
      <c r="V74" s="498">
        <v>4199899.1120880004</v>
      </c>
      <c r="W74" s="692">
        <v>2658701.4948</v>
      </c>
      <c r="X74" s="692">
        <v>-0.176693253044165</v>
      </c>
      <c r="Y74" s="692">
        <v>-274716.87631999998</v>
      </c>
      <c r="Z74" s="692">
        <v>0</v>
      </c>
      <c r="AA74" s="692">
        <v>0</v>
      </c>
      <c r="AB74" s="692">
        <v>4.0940322210720002E-3</v>
      </c>
      <c r="AC74" s="692">
        <v>6365.2670600000001</v>
      </c>
      <c r="AD74" s="692">
        <v>0</v>
      </c>
      <c r="AE74" s="692">
        <v>0</v>
      </c>
      <c r="AF74" s="692">
        <v>0</v>
      </c>
      <c r="AG74" s="692">
        <v>0</v>
      </c>
      <c r="AH74" s="692">
        <v>0</v>
      </c>
      <c r="AI74" s="692">
        <v>0</v>
      </c>
      <c r="AJ74" s="692">
        <v>0</v>
      </c>
      <c r="AK74" s="692">
        <v>0</v>
      </c>
      <c r="AL74" s="692">
        <v>0</v>
      </c>
      <c r="AM74" s="692">
        <v>0</v>
      </c>
      <c r="AN74" s="692">
        <v>0</v>
      </c>
      <c r="AO74" s="692">
        <v>0</v>
      </c>
      <c r="AP74" s="498">
        <v>0</v>
      </c>
      <c r="AQ74" s="498">
        <v>0</v>
      </c>
      <c r="AR74" s="692">
        <v>2.5287049231445198</v>
      </c>
      <c r="AS74" s="692">
        <v>1.5374326568374299</v>
      </c>
      <c r="AT74" s="498">
        <v>3931547.5019729999</v>
      </c>
      <c r="AU74" s="695">
        <v>2390349.8846849999</v>
      </c>
    </row>
    <row r="75" spans="1:47" ht="12" thickBot="1">
      <c r="A75" s="937"/>
      <c r="B75" s="937"/>
      <c r="C75" s="937"/>
      <c r="D75" s="937"/>
      <c r="E75" s="937"/>
      <c r="F75" s="936" t="s">
        <v>313</v>
      </c>
      <c r="G75" s="690" t="s">
        <v>314</v>
      </c>
      <c r="H75" s="691">
        <v>170182</v>
      </c>
      <c r="I75" s="692">
        <v>0</v>
      </c>
      <c r="J75" s="692">
        <v>0</v>
      </c>
      <c r="K75" s="692">
        <v>0</v>
      </c>
      <c r="L75" s="693"/>
      <c r="M75" s="692">
        <v>0</v>
      </c>
      <c r="N75" s="694"/>
      <c r="O75" s="693"/>
      <c r="P75" s="693"/>
      <c r="Q75" s="693"/>
      <c r="R75" s="693"/>
      <c r="S75" s="498">
        <v>0</v>
      </c>
      <c r="T75" s="692">
        <v>0</v>
      </c>
      <c r="U75" s="692">
        <v>0</v>
      </c>
      <c r="V75" s="498">
        <v>0</v>
      </c>
      <c r="W75" s="692">
        <v>0</v>
      </c>
      <c r="X75" s="692">
        <v>0</v>
      </c>
      <c r="Y75" s="692">
        <v>0</v>
      </c>
      <c r="Z75" s="692">
        <v>0</v>
      </c>
      <c r="AA75" s="692">
        <v>0</v>
      </c>
      <c r="AB75" s="692">
        <v>0</v>
      </c>
      <c r="AC75" s="692">
        <v>0</v>
      </c>
      <c r="AD75" s="692">
        <v>0</v>
      </c>
      <c r="AE75" s="692">
        <v>0</v>
      </c>
      <c r="AF75" s="692">
        <v>0</v>
      </c>
      <c r="AG75" s="692">
        <v>0</v>
      </c>
      <c r="AH75" s="692">
        <v>0</v>
      </c>
      <c r="AI75" s="692">
        <v>0</v>
      </c>
      <c r="AJ75" s="692">
        <v>0</v>
      </c>
      <c r="AK75" s="692">
        <v>0</v>
      </c>
      <c r="AL75" s="692">
        <v>0</v>
      </c>
      <c r="AM75" s="692">
        <v>0</v>
      </c>
      <c r="AN75" s="692">
        <v>0</v>
      </c>
      <c r="AO75" s="692">
        <v>0</v>
      </c>
      <c r="AP75" s="498">
        <v>0</v>
      </c>
      <c r="AQ75" s="498">
        <v>0</v>
      </c>
      <c r="AR75" s="692">
        <v>0</v>
      </c>
      <c r="AS75" s="692">
        <v>0</v>
      </c>
      <c r="AT75" s="498">
        <v>0</v>
      </c>
      <c r="AU75" s="695">
        <v>0</v>
      </c>
    </row>
    <row r="76" spans="1:47" ht="12" thickBot="1">
      <c r="A76" s="937"/>
      <c r="B76" s="937"/>
      <c r="C76" s="937"/>
      <c r="D76" s="937"/>
      <c r="E76" s="937"/>
      <c r="F76" s="938"/>
      <c r="G76" s="690" t="s">
        <v>315</v>
      </c>
      <c r="H76" s="691">
        <v>170283</v>
      </c>
      <c r="I76" s="692">
        <v>91863350.480000004</v>
      </c>
      <c r="J76" s="692">
        <v>0.3</v>
      </c>
      <c r="K76" s="692">
        <v>127777514.4156</v>
      </c>
      <c r="L76" s="693"/>
      <c r="M76" s="692">
        <v>193795.9</v>
      </c>
      <c r="N76" s="694"/>
      <c r="O76" s="693"/>
      <c r="P76" s="693"/>
      <c r="Q76" s="693"/>
      <c r="R76" s="693"/>
      <c r="S76" s="498">
        <v>0.30500000493602702</v>
      </c>
      <c r="T76" s="692">
        <v>3.2493891580029901</v>
      </c>
      <c r="U76" s="692">
        <v>2.9443891530669699</v>
      </c>
      <c r="V76" s="498">
        <v>2064650.1184729999</v>
      </c>
      <c r="W76" s="692">
        <v>1870854.218473</v>
      </c>
      <c r="X76" s="692">
        <v>-0.23387132462899601</v>
      </c>
      <c r="Y76" s="692">
        <v>-148600.99379400001</v>
      </c>
      <c r="Z76" s="692">
        <v>0</v>
      </c>
      <c r="AA76" s="692">
        <v>0</v>
      </c>
      <c r="AB76" s="692">
        <v>0</v>
      </c>
      <c r="AC76" s="692">
        <v>0</v>
      </c>
      <c r="AD76" s="692">
        <v>0</v>
      </c>
      <c r="AE76" s="692">
        <v>0</v>
      </c>
      <c r="AF76" s="692">
        <v>0</v>
      </c>
      <c r="AG76" s="692">
        <v>0</v>
      </c>
      <c r="AH76" s="692">
        <v>0</v>
      </c>
      <c r="AI76" s="692">
        <v>0</v>
      </c>
      <c r="AJ76" s="692">
        <v>0</v>
      </c>
      <c r="AK76" s="692">
        <v>0</v>
      </c>
      <c r="AL76" s="692">
        <v>0</v>
      </c>
      <c r="AM76" s="692">
        <v>0</v>
      </c>
      <c r="AN76" s="692">
        <v>0</v>
      </c>
      <c r="AO76" s="692">
        <v>0</v>
      </c>
      <c r="AP76" s="498">
        <v>0</v>
      </c>
      <c r="AQ76" s="498">
        <v>0</v>
      </c>
      <c r="AR76" s="692">
        <v>3.0155178332905899</v>
      </c>
      <c r="AS76" s="692">
        <v>2.7105178283545599</v>
      </c>
      <c r="AT76" s="498">
        <v>1916049.1246259999</v>
      </c>
      <c r="AU76" s="695">
        <v>1722253.224626</v>
      </c>
    </row>
    <row r="77" spans="1:47" ht="12" thickBot="1">
      <c r="A77" s="937"/>
      <c r="B77" s="937"/>
      <c r="C77" s="938"/>
      <c r="D77" s="938"/>
      <c r="E77" s="938"/>
      <c r="F77" s="690" t="s">
        <v>3512</v>
      </c>
      <c r="G77" s="690" t="s">
        <v>3512</v>
      </c>
      <c r="H77" s="691">
        <v>170147</v>
      </c>
      <c r="I77" s="692">
        <v>782.26</v>
      </c>
      <c r="J77" s="692">
        <v>0.3</v>
      </c>
      <c r="K77" s="692">
        <v>515815.86320000002</v>
      </c>
      <c r="L77" s="693"/>
      <c r="M77" s="692">
        <v>782.32</v>
      </c>
      <c r="N77" s="694"/>
      <c r="O77" s="693"/>
      <c r="P77" s="693"/>
      <c r="Q77" s="693"/>
      <c r="R77" s="693"/>
      <c r="S77" s="498">
        <v>0.30499971702238499</v>
      </c>
      <c r="T77" s="692">
        <v>3.21300725068033</v>
      </c>
      <c r="U77" s="692">
        <v>2.9080075336578401</v>
      </c>
      <c r="V77" s="498">
        <v>8241.3185720000001</v>
      </c>
      <c r="W77" s="692">
        <v>7458.9985720000004</v>
      </c>
      <c r="X77" s="692">
        <v>-0.227071046431467</v>
      </c>
      <c r="Y77" s="692">
        <v>-582.43405199999995</v>
      </c>
      <c r="Z77" s="692">
        <v>0</v>
      </c>
      <c r="AA77" s="692">
        <v>0</v>
      </c>
      <c r="AB77" s="692">
        <v>0</v>
      </c>
      <c r="AC77" s="692">
        <v>0</v>
      </c>
      <c r="AD77" s="692">
        <v>0</v>
      </c>
      <c r="AE77" s="692">
        <v>0</v>
      </c>
      <c r="AF77" s="692">
        <v>0</v>
      </c>
      <c r="AG77" s="692">
        <v>0</v>
      </c>
      <c r="AH77" s="692">
        <v>0</v>
      </c>
      <c r="AI77" s="692">
        <v>0</v>
      </c>
      <c r="AJ77" s="692">
        <v>0</v>
      </c>
      <c r="AK77" s="692">
        <v>0</v>
      </c>
      <c r="AL77" s="692">
        <v>0</v>
      </c>
      <c r="AM77" s="692">
        <v>0</v>
      </c>
      <c r="AN77" s="692">
        <v>0</v>
      </c>
      <c r="AO77" s="692">
        <v>0</v>
      </c>
      <c r="AP77" s="498">
        <v>0</v>
      </c>
      <c r="AQ77" s="498">
        <v>0</v>
      </c>
      <c r="AR77" s="692">
        <v>2.98593620112994</v>
      </c>
      <c r="AS77" s="692">
        <v>2.6809364841074399</v>
      </c>
      <c r="AT77" s="498">
        <v>7658.8845119999996</v>
      </c>
      <c r="AU77" s="695">
        <v>6876.5645119999999</v>
      </c>
    </row>
    <row r="78" spans="1:47" ht="12" thickBot="1">
      <c r="A78" s="937"/>
      <c r="B78" s="937"/>
      <c r="C78" s="690" t="s">
        <v>324</v>
      </c>
      <c r="D78" s="690" t="s">
        <v>324</v>
      </c>
      <c r="E78" s="690" t="s">
        <v>324</v>
      </c>
      <c r="F78" s="690" t="s">
        <v>324</v>
      </c>
      <c r="G78" s="690" t="s">
        <v>324</v>
      </c>
      <c r="H78" s="691">
        <v>170280</v>
      </c>
      <c r="I78" s="692">
        <v>881352496.75</v>
      </c>
      <c r="J78" s="692">
        <v>0.34998049753184601</v>
      </c>
      <c r="K78" s="692">
        <v>333956801.13069999</v>
      </c>
      <c r="L78" s="693"/>
      <c r="M78" s="692">
        <v>590831.11</v>
      </c>
      <c r="N78" s="694"/>
      <c r="O78" s="693"/>
      <c r="P78" s="693"/>
      <c r="Q78" s="693"/>
      <c r="R78" s="693"/>
      <c r="S78" s="498">
        <v>0.35578100686608799</v>
      </c>
      <c r="T78" s="692">
        <v>3.2400925904645699</v>
      </c>
      <c r="U78" s="692">
        <v>2.8843115835984801</v>
      </c>
      <c r="V78" s="498">
        <v>5380690.5505990004</v>
      </c>
      <c r="W78" s="692">
        <v>4789859.4405990001</v>
      </c>
      <c r="X78" s="692">
        <v>0</v>
      </c>
      <c r="Y78" s="692">
        <v>0</v>
      </c>
      <c r="Z78" s="692">
        <v>0</v>
      </c>
      <c r="AA78" s="692">
        <v>0</v>
      </c>
      <c r="AB78" s="692">
        <v>0</v>
      </c>
      <c r="AC78" s="692">
        <v>0</v>
      </c>
      <c r="AD78" s="692">
        <v>0</v>
      </c>
      <c r="AE78" s="692">
        <v>0</v>
      </c>
      <c r="AF78" s="692">
        <v>0</v>
      </c>
      <c r="AG78" s="692">
        <v>0</v>
      </c>
      <c r="AH78" s="692">
        <v>0</v>
      </c>
      <c r="AI78" s="692">
        <v>0</v>
      </c>
      <c r="AJ78" s="692">
        <v>0</v>
      </c>
      <c r="AK78" s="692">
        <v>0</v>
      </c>
      <c r="AL78" s="692">
        <v>0</v>
      </c>
      <c r="AM78" s="692">
        <v>0</v>
      </c>
      <c r="AN78" s="692">
        <v>0</v>
      </c>
      <c r="AO78" s="692">
        <v>0</v>
      </c>
      <c r="AP78" s="498">
        <v>0</v>
      </c>
      <c r="AQ78" s="498">
        <v>0</v>
      </c>
      <c r="AR78" s="692">
        <v>3.2400925904645699</v>
      </c>
      <c r="AS78" s="692">
        <v>2.8843115835984801</v>
      </c>
      <c r="AT78" s="498">
        <v>5380690.5505990004</v>
      </c>
      <c r="AU78" s="695">
        <v>4789859.4405990001</v>
      </c>
    </row>
    <row r="79" spans="1:47" ht="12" thickBot="1">
      <c r="A79" s="937"/>
      <c r="B79" s="937"/>
      <c r="C79" s="936" t="s">
        <v>316</v>
      </c>
      <c r="D79" s="936" t="s">
        <v>316</v>
      </c>
      <c r="E79" s="936" t="s">
        <v>317</v>
      </c>
      <c r="F79" s="936" t="s">
        <v>294</v>
      </c>
      <c r="G79" s="690" t="s">
        <v>295</v>
      </c>
      <c r="H79" s="691">
        <v>170185</v>
      </c>
      <c r="I79" s="692">
        <v>3500000</v>
      </c>
      <c r="J79" s="692">
        <v>1.1000000000000001</v>
      </c>
      <c r="K79" s="692">
        <v>21841.914499999999</v>
      </c>
      <c r="L79" s="693"/>
      <c r="M79" s="692">
        <v>33.119999999999997</v>
      </c>
      <c r="N79" s="694"/>
      <c r="O79" s="693"/>
      <c r="P79" s="693"/>
      <c r="Q79" s="693"/>
      <c r="R79" s="693"/>
      <c r="S79" s="498">
        <v>0.699567213400895</v>
      </c>
      <c r="T79" s="692">
        <v>3.2657446308656799</v>
      </c>
      <c r="U79" s="692">
        <v>2.56617741746473</v>
      </c>
      <c r="V79" s="498">
        <v>130853.12046400001</v>
      </c>
      <c r="W79" s="692">
        <v>102822.59046399999</v>
      </c>
      <c r="X79" s="692">
        <v>-0.23650756963563799</v>
      </c>
      <c r="Y79" s="692">
        <v>-9476.4768829999994</v>
      </c>
      <c r="Z79" s="692">
        <v>0</v>
      </c>
      <c r="AA79" s="692">
        <v>0</v>
      </c>
      <c r="AB79" s="692">
        <v>0</v>
      </c>
      <c r="AC79" s="692">
        <v>0</v>
      </c>
      <c r="AD79" s="692">
        <v>0</v>
      </c>
      <c r="AE79" s="692">
        <v>0</v>
      </c>
      <c r="AF79" s="692">
        <v>0</v>
      </c>
      <c r="AG79" s="692">
        <v>0</v>
      </c>
      <c r="AH79" s="692">
        <v>0</v>
      </c>
      <c r="AI79" s="692">
        <v>0</v>
      </c>
      <c r="AJ79" s="692">
        <v>0</v>
      </c>
      <c r="AK79" s="692">
        <v>0</v>
      </c>
      <c r="AL79" s="692">
        <v>0</v>
      </c>
      <c r="AM79" s="692">
        <v>0</v>
      </c>
      <c r="AN79" s="692">
        <v>0</v>
      </c>
      <c r="AO79" s="692">
        <v>0</v>
      </c>
      <c r="AP79" s="498">
        <v>0</v>
      </c>
      <c r="AQ79" s="498">
        <v>0</v>
      </c>
      <c r="AR79" s="692">
        <v>3.0292370600071301</v>
      </c>
      <c r="AS79" s="692">
        <v>2.3296698466061798</v>
      </c>
      <c r="AT79" s="498">
        <v>121376.643532</v>
      </c>
      <c r="AU79" s="695">
        <v>93346.113532000003</v>
      </c>
    </row>
    <row r="80" spans="1:47" ht="12" thickBot="1">
      <c r="A80" s="937"/>
      <c r="B80" s="937"/>
      <c r="C80" s="937"/>
      <c r="D80" s="937"/>
      <c r="E80" s="937"/>
      <c r="F80" s="937"/>
      <c r="G80" s="690" t="s">
        <v>296</v>
      </c>
      <c r="H80" s="691">
        <v>170186</v>
      </c>
      <c r="I80" s="692">
        <v>0</v>
      </c>
      <c r="J80" s="692">
        <v>0</v>
      </c>
      <c r="K80" s="692">
        <v>5087.3076000000001</v>
      </c>
      <c r="L80" s="693"/>
      <c r="M80" s="692">
        <v>7.71</v>
      </c>
      <c r="N80" s="694"/>
      <c r="O80" s="693"/>
      <c r="P80" s="693"/>
      <c r="Q80" s="693"/>
      <c r="R80" s="693"/>
      <c r="S80" s="498">
        <v>0.35595294120159698</v>
      </c>
      <c r="T80" s="692">
        <v>3.21411540470588</v>
      </c>
      <c r="U80" s="692">
        <v>2.8581624635294101</v>
      </c>
      <c r="V80" s="498">
        <v>89.573707999999996</v>
      </c>
      <c r="W80" s="692">
        <v>79.653707999999995</v>
      </c>
      <c r="X80" s="692">
        <v>-0.22723174588235301</v>
      </c>
      <c r="Y80" s="692">
        <v>-6.3326880000000001</v>
      </c>
      <c r="Z80" s="692">
        <v>0</v>
      </c>
      <c r="AA80" s="692">
        <v>0</v>
      </c>
      <c r="AB80" s="692">
        <v>0</v>
      </c>
      <c r="AC80" s="692">
        <v>0</v>
      </c>
      <c r="AD80" s="692">
        <v>0</v>
      </c>
      <c r="AE80" s="692">
        <v>0</v>
      </c>
      <c r="AF80" s="692">
        <v>0</v>
      </c>
      <c r="AG80" s="692">
        <v>0</v>
      </c>
      <c r="AH80" s="692">
        <v>0</v>
      </c>
      <c r="AI80" s="692">
        <v>0</v>
      </c>
      <c r="AJ80" s="692">
        <v>0</v>
      </c>
      <c r="AK80" s="692">
        <v>0</v>
      </c>
      <c r="AL80" s="692">
        <v>0</v>
      </c>
      <c r="AM80" s="692">
        <v>0</v>
      </c>
      <c r="AN80" s="692">
        <v>0</v>
      </c>
      <c r="AO80" s="692">
        <v>0</v>
      </c>
      <c r="AP80" s="498">
        <v>0</v>
      </c>
      <c r="AQ80" s="498">
        <v>0</v>
      </c>
      <c r="AR80" s="692">
        <v>2.9868836947058801</v>
      </c>
      <c r="AS80" s="692">
        <v>2.6309307535294102</v>
      </c>
      <c r="AT80" s="498">
        <v>83.241021000000003</v>
      </c>
      <c r="AU80" s="695">
        <v>73.321021000000002</v>
      </c>
    </row>
    <row r="81" spans="1:47" ht="12" thickBot="1">
      <c r="A81" s="937"/>
      <c r="B81" s="937"/>
      <c r="C81" s="937"/>
      <c r="D81" s="937"/>
      <c r="E81" s="937"/>
      <c r="F81" s="937"/>
      <c r="G81" s="690" t="s">
        <v>297</v>
      </c>
      <c r="H81" s="691">
        <v>170187</v>
      </c>
      <c r="I81" s="692">
        <v>0</v>
      </c>
      <c r="J81" s="692">
        <v>0</v>
      </c>
      <c r="K81" s="692">
        <v>0</v>
      </c>
      <c r="L81" s="693"/>
      <c r="M81" s="692">
        <v>0</v>
      </c>
      <c r="N81" s="694"/>
      <c r="O81" s="693"/>
      <c r="P81" s="693"/>
      <c r="Q81" s="693"/>
      <c r="R81" s="693"/>
      <c r="S81" s="498">
        <v>0</v>
      </c>
      <c r="T81" s="692">
        <v>0</v>
      </c>
      <c r="U81" s="692">
        <v>0</v>
      </c>
      <c r="V81" s="498">
        <v>0</v>
      </c>
      <c r="W81" s="692">
        <v>0</v>
      </c>
      <c r="X81" s="692">
        <v>0</v>
      </c>
      <c r="Y81" s="692">
        <v>0</v>
      </c>
      <c r="Z81" s="692">
        <v>0</v>
      </c>
      <c r="AA81" s="692">
        <v>0</v>
      </c>
      <c r="AB81" s="692">
        <v>0</v>
      </c>
      <c r="AC81" s="692">
        <v>0</v>
      </c>
      <c r="AD81" s="692">
        <v>0</v>
      </c>
      <c r="AE81" s="692">
        <v>0</v>
      </c>
      <c r="AF81" s="692">
        <v>0</v>
      </c>
      <c r="AG81" s="692">
        <v>0</v>
      </c>
      <c r="AH81" s="692">
        <v>0</v>
      </c>
      <c r="AI81" s="692">
        <v>0</v>
      </c>
      <c r="AJ81" s="692">
        <v>0</v>
      </c>
      <c r="AK81" s="692">
        <v>0</v>
      </c>
      <c r="AL81" s="692">
        <v>0</v>
      </c>
      <c r="AM81" s="692">
        <v>0</v>
      </c>
      <c r="AN81" s="692">
        <v>0</v>
      </c>
      <c r="AO81" s="692">
        <v>0</v>
      </c>
      <c r="AP81" s="498">
        <v>0</v>
      </c>
      <c r="AQ81" s="498">
        <v>0</v>
      </c>
      <c r="AR81" s="692">
        <v>0</v>
      </c>
      <c r="AS81" s="692">
        <v>0</v>
      </c>
      <c r="AT81" s="498">
        <v>0</v>
      </c>
      <c r="AU81" s="695">
        <v>0</v>
      </c>
    </row>
    <row r="82" spans="1:47" ht="12" thickBot="1">
      <c r="A82" s="937"/>
      <c r="B82" s="937"/>
      <c r="C82" s="937"/>
      <c r="D82" s="937"/>
      <c r="E82" s="937"/>
      <c r="F82" s="937"/>
      <c r="G82" s="690" t="s">
        <v>298</v>
      </c>
      <c r="H82" s="691">
        <v>170188</v>
      </c>
      <c r="I82" s="692">
        <v>11792997.779999999</v>
      </c>
      <c r="J82" s="692">
        <v>1.09955011375403</v>
      </c>
      <c r="K82" s="692">
        <v>47421182.033</v>
      </c>
      <c r="L82" s="693"/>
      <c r="M82" s="692">
        <v>71922.100099999996</v>
      </c>
      <c r="N82" s="694"/>
      <c r="O82" s="693"/>
      <c r="P82" s="693"/>
      <c r="Q82" s="693"/>
      <c r="R82" s="693"/>
      <c r="S82" s="498">
        <v>0.98301818548723696</v>
      </c>
      <c r="T82" s="692">
        <v>3.26334281558968</v>
      </c>
      <c r="U82" s="692">
        <v>2.2803246301023998</v>
      </c>
      <c r="V82" s="498">
        <v>210318.885546</v>
      </c>
      <c r="W82" s="692">
        <v>146964.43554599999</v>
      </c>
      <c r="X82" s="692">
        <v>-0.235701059217784</v>
      </c>
      <c r="Y82" s="692">
        <v>-15190.676217</v>
      </c>
      <c r="Z82" s="692">
        <v>0</v>
      </c>
      <c r="AA82" s="692">
        <v>0</v>
      </c>
      <c r="AB82" s="692">
        <v>0</v>
      </c>
      <c r="AC82" s="692">
        <v>0</v>
      </c>
      <c r="AD82" s="692">
        <v>0</v>
      </c>
      <c r="AE82" s="692">
        <v>0</v>
      </c>
      <c r="AF82" s="692">
        <v>0</v>
      </c>
      <c r="AG82" s="692">
        <v>0</v>
      </c>
      <c r="AH82" s="692">
        <v>0</v>
      </c>
      <c r="AI82" s="692">
        <v>0</v>
      </c>
      <c r="AJ82" s="692">
        <v>0</v>
      </c>
      <c r="AK82" s="692">
        <v>0</v>
      </c>
      <c r="AL82" s="692">
        <v>0</v>
      </c>
      <c r="AM82" s="692">
        <v>0</v>
      </c>
      <c r="AN82" s="692">
        <v>0</v>
      </c>
      <c r="AO82" s="692">
        <v>0</v>
      </c>
      <c r="AP82" s="498">
        <v>0</v>
      </c>
      <c r="AQ82" s="498">
        <v>0</v>
      </c>
      <c r="AR82" s="692">
        <v>3.0276417583890001</v>
      </c>
      <c r="AS82" s="692">
        <v>2.0446235729017199</v>
      </c>
      <c r="AT82" s="498">
        <v>195128.20945900001</v>
      </c>
      <c r="AU82" s="695">
        <v>131773.75945899999</v>
      </c>
    </row>
    <row r="83" spans="1:47" ht="12" thickBot="1">
      <c r="A83" s="937"/>
      <c r="B83" s="937"/>
      <c r="C83" s="937"/>
      <c r="D83" s="937"/>
      <c r="E83" s="937"/>
      <c r="F83" s="938"/>
      <c r="G83" s="690" t="s">
        <v>299</v>
      </c>
      <c r="H83" s="691">
        <v>170190</v>
      </c>
      <c r="I83" s="692">
        <v>305299084.02999997</v>
      </c>
      <c r="J83" s="692">
        <v>0.75645672571951195</v>
      </c>
      <c r="K83" s="692">
        <v>375170536.59670001</v>
      </c>
      <c r="L83" s="693"/>
      <c r="M83" s="692">
        <v>569008.36369999999</v>
      </c>
      <c r="N83" s="694"/>
      <c r="O83" s="693"/>
      <c r="P83" s="693"/>
      <c r="Q83" s="693"/>
      <c r="R83" s="693"/>
      <c r="S83" s="498">
        <v>0.79320559469636798</v>
      </c>
      <c r="T83" s="692">
        <v>2.8183803818845101</v>
      </c>
      <c r="U83" s="692">
        <v>2.0251747871881398</v>
      </c>
      <c r="V83" s="498">
        <v>4637702.6355400002</v>
      </c>
      <c r="W83" s="692">
        <v>3332466.5855399999</v>
      </c>
      <c r="X83" s="692">
        <v>-0.171015800840776</v>
      </c>
      <c r="Y83" s="692">
        <v>-281410.00248800003</v>
      </c>
      <c r="Z83" s="692">
        <v>0</v>
      </c>
      <c r="AA83" s="692">
        <v>0</v>
      </c>
      <c r="AB83" s="692">
        <v>0</v>
      </c>
      <c r="AC83" s="692">
        <v>0</v>
      </c>
      <c r="AD83" s="692">
        <v>0</v>
      </c>
      <c r="AE83" s="692">
        <v>0</v>
      </c>
      <c r="AF83" s="692">
        <v>0</v>
      </c>
      <c r="AG83" s="692">
        <v>0</v>
      </c>
      <c r="AH83" s="692">
        <v>0</v>
      </c>
      <c r="AI83" s="692">
        <v>0</v>
      </c>
      <c r="AJ83" s="692">
        <v>0</v>
      </c>
      <c r="AK83" s="692">
        <v>0</v>
      </c>
      <c r="AL83" s="692">
        <v>0</v>
      </c>
      <c r="AM83" s="692">
        <v>0</v>
      </c>
      <c r="AN83" s="692">
        <v>0</v>
      </c>
      <c r="AO83" s="692">
        <v>0</v>
      </c>
      <c r="AP83" s="498">
        <v>0</v>
      </c>
      <c r="AQ83" s="498">
        <v>0</v>
      </c>
      <c r="AR83" s="692">
        <v>2.6473645812521802</v>
      </c>
      <c r="AS83" s="692">
        <v>1.8541589865558099</v>
      </c>
      <c r="AT83" s="498">
        <v>4356292.6333950004</v>
      </c>
      <c r="AU83" s="695">
        <v>3051056.5833950001</v>
      </c>
    </row>
    <row r="84" spans="1:47" ht="12" thickBot="1">
      <c r="A84" s="937"/>
      <c r="B84" s="937"/>
      <c r="C84" s="937"/>
      <c r="D84" s="937"/>
      <c r="E84" s="937"/>
      <c r="F84" s="690" t="s">
        <v>300</v>
      </c>
      <c r="G84" s="690" t="s">
        <v>302</v>
      </c>
      <c r="H84" s="691">
        <v>170197</v>
      </c>
      <c r="I84" s="692">
        <v>0</v>
      </c>
      <c r="J84" s="692">
        <v>0</v>
      </c>
      <c r="K84" s="692">
        <v>129.4915</v>
      </c>
      <c r="L84" s="693"/>
      <c r="M84" s="692">
        <v>0.2</v>
      </c>
      <c r="N84" s="694"/>
      <c r="O84" s="693"/>
      <c r="P84" s="693"/>
      <c r="Q84" s="693"/>
      <c r="R84" s="693"/>
      <c r="S84" s="498">
        <v>0</v>
      </c>
      <c r="T84" s="692">
        <v>0</v>
      </c>
      <c r="U84" s="692">
        <v>0</v>
      </c>
      <c r="V84" s="498">
        <v>0</v>
      </c>
      <c r="W84" s="692">
        <v>0</v>
      </c>
      <c r="X84" s="692">
        <v>0</v>
      </c>
      <c r="Y84" s="692">
        <v>0</v>
      </c>
      <c r="Z84" s="692">
        <v>0</v>
      </c>
      <c r="AA84" s="692">
        <v>0</v>
      </c>
      <c r="AB84" s="692">
        <v>0</v>
      </c>
      <c r="AC84" s="692">
        <v>0</v>
      </c>
      <c r="AD84" s="692">
        <v>0</v>
      </c>
      <c r="AE84" s="692">
        <v>0</v>
      </c>
      <c r="AF84" s="692">
        <v>0</v>
      </c>
      <c r="AG84" s="692">
        <v>0</v>
      </c>
      <c r="AH84" s="692">
        <v>0</v>
      </c>
      <c r="AI84" s="692">
        <v>0</v>
      </c>
      <c r="AJ84" s="692">
        <v>0</v>
      </c>
      <c r="AK84" s="692">
        <v>0</v>
      </c>
      <c r="AL84" s="692">
        <v>0</v>
      </c>
      <c r="AM84" s="692">
        <v>0</v>
      </c>
      <c r="AN84" s="692">
        <v>0</v>
      </c>
      <c r="AO84" s="692">
        <v>0</v>
      </c>
      <c r="AP84" s="498">
        <v>0</v>
      </c>
      <c r="AQ84" s="498">
        <v>0</v>
      </c>
      <c r="AR84" s="692">
        <v>0</v>
      </c>
      <c r="AS84" s="692">
        <v>0</v>
      </c>
      <c r="AT84" s="498">
        <v>0</v>
      </c>
      <c r="AU84" s="695">
        <v>0</v>
      </c>
    </row>
    <row r="85" spans="1:47" ht="12" thickBot="1">
      <c r="A85" s="937"/>
      <c r="B85" s="937"/>
      <c r="C85" s="937"/>
      <c r="D85" s="937"/>
      <c r="E85" s="937"/>
      <c r="F85" s="936" t="s">
        <v>303</v>
      </c>
      <c r="G85" s="690" t="s">
        <v>2641</v>
      </c>
      <c r="H85" s="691">
        <v>170200</v>
      </c>
      <c r="I85" s="692">
        <v>4855000</v>
      </c>
      <c r="J85" s="692">
        <v>1.1000000000000001</v>
      </c>
      <c r="K85" s="692">
        <v>192417.58240000001</v>
      </c>
      <c r="L85" s="693"/>
      <c r="M85" s="692">
        <v>291.83</v>
      </c>
      <c r="N85" s="694"/>
      <c r="O85" s="693"/>
      <c r="P85" s="693"/>
      <c r="Q85" s="693"/>
      <c r="R85" s="693"/>
      <c r="S85" s="498">
        <v>1.1183293742812299</v>
      </c>
      <c r="T85" s="692">
        <v>3.2141154179803499</v>
      </c>
      <c r="U85" s="692">
        <v>2.09578604369944</v>
      </c>
      <c r="V85" s="498">
        <v>4961.2418180000004</v>
      </c>
      <c r="W85" s="692">
        <v>3235.0118179999999</v>
      </c>
      <c r="X85" s="692">
        <v>-0.22723173585981099</v>
      </c>
      <c r="Y85" s="692">
        <v>-350.75018899999998</v>
      </c>
      <c r="Z85" s="692">
        <v>0</v>
      </c>
      <c r="AA85" s="692">
        <v>0</v>
      </c>
      <c r="AB85" s="692">
        <v>0</v>
      </c>
      <c r="AC85" s="692">
        <v>0</v>
      </c>
      <c r="AD85" s="692">
        <v>0</v>
      </c>
      <c r="AE85" s="692">
        <v>0</v>
      </c>
      <c r="AF85" s="692">
        <v>0</v>
      </c>
      <c r="AG85" s="692">
        <v>0</v>
      </c>
      <c r="AH85" s="692">
        <v>0</v>
      </c>
      <c r="AI85" s="692">
        <v>0</v>
      </c>
      <c r="AJ85" s="692">
        <v>0</v>
      </c>
      <c r="AK85" s="692">
        <v>0</v>
      </c>
      <c r="AL85" s="692">
        <v>0</v>
      </c>
      <c r="AM85" s="692">
        <v>0</v>
      </c>
      <c r="AN85" s="692">
        <v>0</v>
      </c>
      <c r="AO85" s="692">
        <v>0</v>
      </c>
      <c r="AP85" s="498">
        <v>0</v>
      </c>
      <c r="AQ85" s="498">
        <v>0</v>
      </c>
      <c r="AR85" s="692">
        <v>2.98688368341623</v>
      </c>
      <c r="AS85" s="692">
        <v>1.8685543091353201</v>
      </c>
      <c r="AT85" s="498">
        <v>4610.4916309999999</v>
      </c>
      <c r="AU85" s="695">
        <v>2884.2616309999999</v>
      </c>
    </row>
    <row r="86" spans="1:47" ht="12" thickBot="1">
      <c r="A86" s="937"/>
      <c r="B86" s="937"/>
      <c r="C86" s="937"/>
      <c r="D86" s="937"/>
      <c r="E86" s="937"/>
      <c r="F86" s="938"/>
      <c r="G86" s="690" t="s">
        <v>305</v>
      </c>
      <c r="H86" s="691">
        <v>170204</v>
      </c>
      <c r="I86" s="692">
        <v>20794250</v>
      </c>
      <c r="J86" s="692">
        <v>1.09905322384794</v>
      </c>
      <c r="K86" s="692">
        <v>37749650.679799996</v>
      </c>
      <c r="L86" s="693"/>
      <c r="M86" s="692">
        <v>57253.6204</v>
      </c>
      <c r="N86" s="694"/>
      <c r="O86" s="693"/>
      <c r="P86" s="693"/>
      <c r="Q86" s="693"/>
      <c r="R86" s="693"/>
      <c r="S86" s="498">
        <v>1.05292287780849</v>
      </c>
      <c r="T86" s="692">
        <v>3.1890308323844301</v>
      </c>
      <c r="U86" s="692">
        <v>2.1361079545760102</v>
      </c>
      <c r="V86" s="498">
        <v>155448.62440199999</v>
      </c>
      <c r="W86" s="692">
        <v>104124.124402</v>
      </c>
      <c r="X86" s="692">
        <v>-0.22464850493699701</v>
      </c>
      <c r="Y86" s="692">
        <v>-10950.443223</v>
      </c>
      <c r="Z86" s="692">
        <v>0</v>
      </c>
      <c r="AA86" s="692">
        <v>0</v>
      </c>
      <c r="AB86" s="692">
        <v>0</v>
      </c>
      <c r="AC86" s="692">
        <v>0</v>
      </c>
      <c r="AD86" s="692">
        <v>0</v>
      </c>
      <c r="AE86" s="692">
        <v>0</v>
      </c>
      <c r="AF86" s="692">
        <v>0</v>
      </c>
      <c r="AG86" s="692">
        <v>0</v>
      </c>
      <c r="AH86" s="692">
        <v>0</v>
      </c>
      <c r="AI86" s="692">
        <v>0</v>
      </c>
      <c r="AJ86" s="692">
        <v>0</v>
      </c>
      <c r="AK86" s="692">
        <v>0</v>
      </c>
      <c r="AL86" s="692">
        <v>0</v>
      </c>
      <c r="AM86" s="692">
        <v>0</v>
      </c>
      <c r="AN86" s="692">
        <v>0</v>
      </c>
      <c r="AO86" s="692">
        <v>0</v>
      </c>
      <c r="AP86" s="498">
        <v>0</v>
      </c>
      <c r="AQ86" s="498">
        <v>0</v>
      </c>
      <c r="AR86" s="692">
        <v>2.9643823292732701</v>
      </c>
      <c r="AS86" s="692">
        <v>1.91145945146484</v>
      </c>
      <c r="AT86" s="498">
        <v>144498.18126799999</v>
      </c>
      <c r="AU86" s="695">
        <v>93173.681268</v>
      </c>
    </row>
    <row r="87" spans="1:47" ht="12" thickBot="1">
      <c r="A87" s="937"/>
      <c r="B87" s="937"/>
      <c r="C87" s="937"/>
      <c r="D87" s="937"/>
      <c r="E87" s="937"/>
      <c r="F87" s="690" t="s">
        <v>318</v>
      </c>
      <c r="G87" s="690" t="s">
        <v>307</v>
      </c>
      <c r="H87" s="691">
        <v>170206</v>
      </c>
      <c r="I87" s="692">
        <v>50000</v>
      </c>
      <c r="J87" s="692">
        <v>1.1000000000000001</v>
      </c>
      <c r="K87" s="692">
        <v>70473536.458299994</v>
      </c>
      <c r="L87" s="693"/>
      <c r="M87" s="692">
        <v>93025.266199999998</v>
      </c>
      <c r="N87" s="694"/>
      <c r="O87" s="693"/>
      <c r="P87" s="693"/>
      <c r="Q87" s="693"/>
      <c r="R87" s="693"/>
      <c r="S87" s="498">
        <v>0.81073633947440205</v>
      </c>
      <c r="T87" s="692">
        <v>2.7810098344174001</v>
      </c>
      <c r="U87" s="692">
        <v>1.9702734949430201</v>
      </c>
      <c r="V87" s="498">
        <v>129446.27760099999</v>
      </c>
      <c r="W87" s="692">
        <v>91709.337601000007</v>
      </c>
      <c r="X87" s="692">
        <v>-0.16694603386505599</v>
      </c>
      <c r="Y87" s="692">
        <v>-7770.7537659999998</v>
      </c>
      <c r="Z87" s="692">
        <v>0</v>
      </c>
      <c r="AA87" s="692">
        <v>0</v>
      </c>
      <c r="AB87" s="692">
        <v>0</v>
      </c>
      <c r="AC87" s="692">
        <v>0</v>
      </c>
      <c r="AD87" s="692">
        <v>0</v>
      </c>
      <c r="AE87" s="692">
        <v>0</v>
      </c>
      <c r="AF87" s="692">
        <v>0</v>
      </c>
      <c r="AG87" s="692">
        <v>0</v>
      </c>
      <c r="AH87" s="692">
        <v>0</v>
      </c>
      <c r="AI87" s="692">
        <v>0</v>
      </c>
      <c r="AJ87" s="692">
        <v>0</v>
      </c>
      <c r="AK87" s="692">
        <v>0</v>
      </c>
      <c r="AL87" s="692">
        <v>0</v>
      </c>
      <c r="AM87" s="692">
        <v>0</v>
      </c>
      <c r="AN87" s="692">
        <v>0</v>
      </c>
      <c r="AO87" s="692">
        <v>0</v>
      </c>
      <c r="AP87" s="498">
        <v>0</v>
      </c>
      <c r="AQ87" s="498">
        <v>0</v>
      </c>
      <c r="AR87" s="692">
        <v>2.6140638014761501</v>
      </c>
      <c r="AS87" s="692">
        <v>1.8033274620017701</v>
      </c>
      <c r="AT87" s="498">
        <v>121675.52387800001</v>
      </c>
      <c r="AU87" s="695">
        <v>83938.583878000005</v>
      </c>
    </row>
    <row r="88" spans="1:47" ht="12" thickBot="1">
      <c r="A88" s="937"/>
      <c r="B88" s="937"/>
      <c r="C88" s="937"/>
      <c r="D88" s="937"/>
      <c r="E88" s="937"/>
      <c r="F88" s="690" t="s">
        <v>308</v>
      </c>
      <c r="G88" s="690" t="s">
        <v>308</v>
      </c>
      <c r="H88" s="691">
        <v>170209</v>
      </c>
      <c r="I88" s="692">
        <v>106003470.42</v>
      </c>
      <c r="J88" s="692">
        <v>1.15297031286101</v>
      </c>
      <c r="K88" s="692">
        <v>1010950574.7311</v>
      </c>
      <c r="L88" s="693"/>
      <c r="M88" s="692">
        <v>8905603.8010000009</v>
      </c>
      <c r="N88" s="694"/>
      <c r="O88" s="693"/>
      <c r="P88" s="693"/>
      <c r="Q88" s="693"/>
      <c r="R88" s="693"/>
      <c r="S88" s="498">
        <v>0.78392791521545702</v>
      </c>
      <c r="T88" s="692">
        <v>3.1133332801855</v>
      </c>
      <c r="U88" s="692">
        <v>2.3294053649699999</v>
      </c>
      <c r="V88" s="498">
        <v>702100.281571</v>
      </c>
      <c r="W88" s="692">
        <v>525313.55157100002</v>
      </c>
      <c r="X88" s="692">
        <v>-0.214592715146431</v>
      </c>
      <c r="Y88" s="692">
        <v>-48393.664336000002</v>
      </c>
      <c r="Z88" s="692">
        <v>0</v>
      </c>
      <c r="AA88" s="692">
        <v>0</v>
      </c>
      <c r="AB88" s="692">
        <v>0</v>
      </c>
      <c r="AC88" s="692">
        <v>0</v>
      </c>
      <c r="AD88" s="692">
        <v>0</v>
      </c>
      <c r="AE88" s="692">
        <v>0</v>
      </c>
      <c r="AF88" s="692">
        <v>0</v>
      </c>
      <c r="AG88" s="692">
        <v>0</v>
      </c>
      <c r="AH88" s="692">
        <v>0</v>
      </c>
      <c r="AI88" s="692">
        <v>0</v>
      </c>
      <c r="AJ88" s="692">
        <v>0</v>
      </c>
      <c r="AK88" s="692">
        <v>0</v>
      </c>
      <c r="AL88" s="692">
        <v>0</v>
      </c>
      <c r="AM88" s="692">
        <v>0</v>
      </c>
      <c r="AN88" s="692">
        <v>0</v>
      </c>
      <c r="AO88" s="692">
        <v>0</v>
      </c>
      <c r="AP88" s="498">
        <v>0</v>
      </c>
      <c r="AQ88" s="498">
        <v>0</v>
      </c>
      <c r="AR88" s="692">
        <v>2.8987405684401901</v>
      </c>
      <c r="AS88" s="692">
        <v>2.11481265322469</v>
      </c>
      <c r="AT88" s="498">
        <v>653706.61800200096</v>
      </c>
      <c r="AU88" s="695">
        <v>476919.88800199999</v>
      </c>
    </row>
    <row r="89" spans="1:47" ht="12" thickBot="1">
      <c r="A89" s="937"/>
      <c r="B89" s="937"/>
      <c r="C89" s="937"/>
      <c r="D89" s="937"/>
      <c r="E89" s="938"/>
      <c r="F89" s="690" t="s">
        <v>312</v>
      </c>
      <c r="G89" s="690" t="s">
        <v>312</v>
      </c>
      <c r="H89" s="691">
        <v>170213</v>
      </c>
      <c r="I89" s="692">
        <v>2041290.06</v>
      </c>
      <c r="J89" s="692">
        <v>1.09974757874439</v>
      </c>
      <c r="K89" s="692">
        <v>312661977.68970001</v>
      </c>
      <c r="L89" s="693"/>
      <c r="M89" s="692">
        <v>1541197.6168</v>
      </c>
      <c r="N89" s="694"/>
      <c r="O89" s="693"/>
      <c r="P89" s="693"/>
      <c r="Q89" s="693"/>
      <c r="R89" s="693"/>
      <c r="S89" s="498">
        <v>1.03670602350783</v>
      </c>
      <c r="T89" s="692">
        <v>3.3792443197083499</v>
      </c>
      <c r="U89" s="692">
        <v>2.3425382962004599</v>
      </c>
      <c r="V89" s="498">
        <v>544914.66502299998</v>
      </c>
      <c r="W89" s="692">
        <v>377742.28502299997</v>
      </c>
      <c r="X89" s="692">
        <v>-0.25173244312834098</v>
      </c>
      <c r="Y89" s="692">
        <v>-40592.714507999997</v>
      </c>
      <c r="Z89" s="692">
        <v>0</v>
      </c>
      <c r="AA89" s="692">
        <v>0</v>
      </c>
      <c r="AB89" s="692">
        <v>0</v>
      </c>
      <c r="AC89" s="692">
        <v>0</v>
      </c>
      <c r="AD89" s="692">
        <v>0</v>
      </c>
      <c r="AE89" s="692">
        <v>0</v>
      </c>
      <c r="AF89" s="692">
        <v>0</v>
      </c>
      <c r="AG89" s="692">
        <v>0</v>
      </c>
      <c r="AH89" s="692">
        <v>0</v>
      </c>
      <c r="AI89" s="692">
        <v>0</v>
      </c>
      <c r="AJ89" s="692">
        <v>0</v>
      </c>
      <c r="AK89" s="692">
        <v>0</v>
      </c>
      <c r="AL89" s="692">
        <v>0</v>
      </c>
      <c r="AM89" s="692">
        <v>0</v>
      </c>
      <c r="AN89" s="692">
        <v>0</v>
      </c>
      <c r="AO89" s="692">
        <v>0</v>
      </c>
      <c r="AP89" s="498">
        <v>0</v>
      </c>
      <c r="AQ89" s="498">
        <v>0</v>
      </c>
      <c r="AR89" s="692">
        <v>3.1275118749614301</v>
      </c>
      <c r="AS89" s="692">
        <v>2.0908058514535499</v>
      </c>
      <c r="AT89" s="498">
        <v>504321.95025400002</v>
      </c>
      <c r="AU89" s="695">
        <v>337149.57025400002</v>
      </c>
    </row>
    <row r="90" spans="1:47" ht="12" thickBot="1">
      <c r="A90" s="937"/>
      <c r="B90" s="937"/>
      <c r="C90" s="937"/>
      <c r="D90" s="937"/>
      <c r="E90" s="936" t="s">
        <v>319</v>
      </c>
      <c r="F90" s="936" t="s">
        <v>294</v>
      </c>
      <c r="G90" s="690" t="s">
        <v>295</v>
      </c>
      <c r="H90" s="691">
        <v>170216</v>
      </c>
      <c r="I90" s="692">
        <v>66490020.5</v>
      </c>
      <c r="J90" s="692">
        <v>1.2999999942848599</v>
      </c>
      <c r="K90" s="692">
        <v>21841.914499999999</v>
      </c>
      <c r="L90" s="693"/>
      <c r="M90" s="692">
        <v>33.119999999999997</v>
      </c>
      <c r="N90" s="694"/>
      <c r="O90" s="693"/>
      <c r="P90" s="693"/>
      <c r="Q90" s="693"/>
      <c r="R90" s="693"/>
      <c r="S90" s="498">
        <v>1.3144887698098999</v>
      </c>
      <c r="T90" s="692">
        <v>3.4566505223637001</v>
      </c>
      <c r="U90" s="692">
        <v>2.1421617525537902</v>
      </c>
      <c r="V90" s="498">
        <v>881559.152122</v>
      </c>
      <c r="W90" s="692">
        <v>546321.44212200004</v>
      </c>
      <c r="X90" s="692">
        <v>-0.26447092979546899</v>
      </c>
      <c r="Y90" s="692">
        <v>-67448.753387999997</v>
      </c>
      <c r="Z90" s="692">
        <v>0</v>
      </c>
      <c r="AA90" s="692">
        <v>0</v>
      </c>
      <c r="AB90" s="692">
        <v>0</v>
      </c>
      <c r="AC90" s="692">
        <v>0</v>
      </c>
      <c r="AD90" s="692">
        <v>0</v>
      </c>
      <c r="AE90" s="692">
        <v>0</v>
      </c>
      <c r="AF90" s="692">
        <v>0</v>
      </c>
      <c r="AG90" s="692">
        <v>0</v>
      </c>
      <c r="AH90" s="692">
        <v>0</v>
      </c>
      <c r="AI90" s="692">
        <v>0</v>
      </c>
      <c r="AJ90" s="692">
        <v>0</v>
      </c>
      <c r="AK90" s="692">
        <v>0</v>
      </c>
      <c r="AL90" s="692">
        <v>0</v>
      </c>
      <c r="AM90" s="692">
        <v>0</v>
      </c>
      <c r="AN90" s="692">
        <v>0</v>
      </c>
      <c r="AO90" s="692">
        <v>0</v>
      </c>
      <c r="AP90" s="498">
        <v>0</v>
      </c>
      <c r="AQ90" s="498">
        <v>0</v>
      </c>
      <c r="AR90" s="692">
        <v>3.1921795934935999</v>
      </c>
      <c r="AS90" s="692">
        <v>1.8776908236837</v>
      </c>
      <c r="AT90" s="498">
        <v>814110.39896999998</v>
      </c>
      <c r="AU90" s="695">
        <v>478872.68897000002</v>
      </c>
    </row>
    <row r="91" spans="1:47" ht="12" thickBot="1">
      <c r="A91" s="937"/>
      <c r="B91" s="937"/>
      <c r="C91" s="937"/>
      <c r="D91" s="937"/>
      <c r="E91" s="937"/>
      <c r="F91" s="937"/>
      <c r="G91" s="690" t="s">
        <v>296</v>
      </c>
      <c r="H91" s="691">
        <v>170217</v>
      </c>
      <c r="I91" s="692">
        <v>0</v>
      </c>
      <c r="J91" s="692">
        <v>0</v>
      </c>
      <c r="K91" s="692">
        <v>5087.3076000000001</v>
      </c>
      <c r="L91" s="693"/>
      <c r="M91" s="692">
        <v>7.71</v>
      </c>
      <c r="N91" s="694"/>
      <c r="O91" s="693"/>
      <c r="P91" s="693"/>
      <c r="Q91" s="693"/>
      <c r="R91" s="693"/>
      <c r="S91" s="498">
        <v>0.35585861456558998</v>
      </c>
      <c r="T91" s="692">
        <v>3.3480978489165198</v>
      </c>
      <c r="U91" s="692">
        <v>2.9922392343516901</v>
      </c>
      <c r="V91" s="498">
        <v>515.02160900000001</v>
      </c>
      <c r="W91" s="692">
        <v>460.281609</v>
      </c>
      <c r="X91" s="692">
        <v>-0.246659186110124</v>
      </c>
      <c r="Y91" s="692">
        <v>-37.942383</v>
      </c>
      <c r="Z91" s="692">
        <v>0</v>
      </c>
      <c r="AA91" s="692">
        <v>0</v>
      </c>
      <c r="AB91" s="692">
        <v>0</v>
      </c>
      <c r="AC91" s="692">
        <v>0</v>
      </c>
      <c r="AD91" s="692">
        <v>0</v>
      </c>
      <c r="AE91" s="692">
        <v>0</v>
      </c>
      <c r="AF91" s="692">
        <v>0</v>
      </c>
      <c r="AG91" s="692">
        <v>0</v>
      </c>
      <c r="AH91" s="692">
        <v>0</v>
      </c>
      <c r="AI91" s="692">
        <v>0</v>
      </c>
      <c r="AJ91" s="692">
        <v>0</v>
      </c>
      <c r="AK91" s="692">
        <v>0</v>
      </c>
      <c r="AL91" s="692">
        <v>0</v>
      </c>
      <c r="AM91" s="692">
        <v>0</v>
      </c>
      <c r="AN91" s="692">
        <v>0</v>
      </c>
      <c r="AO91" s="692">
        <v>0</v>
      </c>
      <c r="AP91" s="498">
        <v>0</v>
      </c>
      <c r="AQ91" s="498">
        <v>0</v>
      </c>
      <c r="AR91" s="692">
        <v>3.1014386628063901</v>
      </c>
      <c r="AS91" s="692">
        <v>2.74558004824156</v>
      </c>
      <c r="AT91" s="498">
        <v>477.07922600000001</v>
      </c>
      <c r="AU91" s="695">
        <v>422.339226</v>
      </c>
    </row>
    <row r="92" spans="1:47" ht="12" thickBot="1">
      <c r="A92" s="937"/>
      <c r="B92" s="937"/>
      <c r="C92" s="937"/>
      <c r="D92" s="937"/>
      <c r="E92" s="937"/>
      <c r="F92" s="937"/>
      <c r="G92" s="690" t="s">
        <v>297</v>
      </c>
      <c r="H92" s="691">
        <v>170218</v>
      </c>
      <c r="I92" s="692">
        <v>0</v>
      </c>
      <c r="J92" s="692">
        <v>0</v>
      </c>
      <c r="K92" s="692">
        <v>0</v>
      </c>
      <c r="L92" s="693"/>
      <c r="M92" s="692">
        <v>0</v>
      </c>
      <c r="N92" s="694"/>
      <c r="O92" s="693"/>
      <c r="P92" s="693"/>
      <c r="Q92" s="693"/>
      <c r="R92" s="693"/>
      <c r="S92" s="498">
        <v>0</v>
      </c>
      <c r="T92" s="692">
        <v>0</v>
      </c>
      <c r="U92" s="692">
        <v>0</v>
      </c>
      <c r="V92" s="498">
        <v>0</v>
      </c>
      <c r="W92" s="692">
        <v>0</v>
      </c>
      <c r="X92" s="692">
        <v>0</v>
      </c>
      <c r="Y92" s="692">
        <v>0</v>
      </c>
      <c r="Z92" s="692">
        <v>0</v>
      </c>
      <c r="AA92" s="692">
        <v>0</v>
      </c>
      <c r="AB92" s="692">
        <v>0</v>
      </c>
      <c r="AC92" s="692">
        <v>0</v>
      </c>
      <c r="AD92" s="692">
        <v>0</v>
      </c>
      <c r="AE92" s="692">
        <v>0</v>
      </c>
      <c r="AF92" s="692">
        <v>0</v>
      </c>
      <c r="AG92" s="692">
        <v>0</v>
      </c>
      <c r="AH92" s="692">
        <v>0</v>
      </c>
      <c r="AI92" s="692">
        <v>0</v>
      </c>
      <c r="AJ92" s="692">
        <v>0</v>
      </c>
      <c r="AK92" s="692">
        <v>0</v>
      </c>
      <c r="AL92" s="692">
        <v>0</v>
      </c>
      <c r="AM92" s="692">
        <v>0</v>
      </c>
      <c r="AN92" s="692">
        <v>0</v>
      </c>
      <c r="AO92" s="692">
        <v>0</v>
      </c>
      <c r="AP92" s="498">
        <v>0</v>
      </c>
      <c r="AQ92" s="498">
        <v>0</v>
      </c>
      <c r="AR92" s="692">
        <v>0</v>
      </c>
      <c r="AS92" s="692">
        <v>0</v>
      </c>
      <c r="AT92" s="498">
        <v>0</v>
      </c>
      <c r="AU92" s="695">
        <v>0</v>
      </c>
    </row>
    <row r="93" spans="1:47" ht="12" thickBot="1">
      <c r="A93" s="937"/>
      <c r="B93" s="937"/>
      <c r="C93" s="937"/>
      <c r="D93" s="937"/>
      <c r="E93" s="937"/>
      <c r="F93" s="937"/>
      <c r="G93" s="690" t="s">
        <v>298</v>
      </c>
      <c r="H93" s="691">
        <v>170219</v>
      </c>
      <c r="I93" s="692">
        <v>141378727.28999999</v>
      </c>
      <c r="J93" s="692">
        <v>1.31158442442787</v>
      </c>
      <c r="K93" s="692">
        <v>47421182.033</v>
      </c>
      <c r="L93" s="693"/>
      <c r="M93" s="692">
        <v>71922.100099999996</v>
      </c>
      <c r="N93" s="694"/>
      <c r="O93" s="693"/>
      <c r="P93" s="693"/>
      <c r="Q93" s="693"/>
      <c r="R93" s="693"/>
      <c r="S93" s="498">
        <v>1.34312128393885</v>
      </c>
      <c r="T93" s="692">
        <v>3.4811356497343802</v>
      </c>
      <c r="U93" s="692">
        <v>2.1380143657955202</v>
      </c>
      <c r="V93" s="498">
        <v>2965324.3420170001</v>
      </c>
      <c r="W93" s="692">
        <v>1821217.752017</v>
      </c>
      <c r="X93" s="692">
        <v>-0.26727663996626</v>
      </c>
      <c r="Y93" s="692">
        <v>-227673.381991</v>
      </c>
      <c r="Z93" s="692">
        <v>0</v>
      </c>
      <c r="AA93" s="692">
        <v>0</v>
      </c>
      <c r="AB93" s="692">
        <v>0</v>
      </c>
      <c r="AC93" s="692">
        <v>0</v>
      </c>
      <c r="AD93" s="692">
        <v>0</v>
      </c>
      <c r="AE93" s="692">
        <v>0</v>
      </c>
      <c r="AF93" s="692">
        <v>0</v>
      </c>
      <c r="AG93" s="692">
        <v>0</v>
      </c>
      <c r="AH93" s="692">
        <v>0</v>
      </c>
      <c r="AI93" s="692">
        <v>0</v>
      </c>
      <c r="AJ93" s="692">
        <v>0</v>
      </c>
      <c r="AK93" s="692">
        <v>0</v>
      </c>
      <c r="AL93" s="692">
        <v>0</v>
      </c>
      <c r="AM93" s="692">
        <v>0</v>
      </c>
      <c r="AN93" s="692">
        <v>0</v>
      </c>
      <c r="AO93" s="692">
        <v>0</v>
      </c>
      <c r="AP93" s="498">
        <v>0</v>
      </c>
      <c r="AQ93" s="498">
        <v>0</v>
      </c>
      <c r="AR93" s="692">
        <v>3.2138590100909599</v>
      </c>
      <c r="AS93" s="692">
        <v>1.8707377261520901</v>
      </c>
      <c r="AT93" s="498">
        <v>2737650.9603010002</v>
      </c>
      <c r="AU93" s="695">
        <v>1593544.3703010001</v>
      </c>
    </row>
    <row r="94" spans="1:47" ht="12" thickBot="1">
      <c r="A94" s="937"/>
      <c r="B94" s="937"/>
      <c r="C94" s="937"/>
      <c r="D94" s="937"/>
      <c r="E94" s="937"/>
      <c r="F94" s="938"/>
      <c r="G94" s="690" t="s">
        <v>299</v>
      </c>
      <c r="H94" s="691">
        <v>170221</v>
      </c>
      <c r="I94" s="692">
        <v>1273981254.5699999</v>
      </c>
      <c r="J94" s="692">
        <v>1.4125217608173399</v>
      </c>
      <c r="K94" s="692">
        <v>375170536.59670001</v>
      </c>
      <c r="L94" s="693"/>
      <c r="M94" s="692">
        <v>569008.36369999999</v>
      </c>
      <c r="N94" s="694"/>
      <c r="O94" s="693"/>
      <c r="P94" s="693"/>
      <c r="Q94" s="693"/>
      <c r="R94" s="693"/>
      <c r="S94" s="498">
        <v>1.5214341782171601</v>
      </c>
      <c r="T94" s="692">
        <v>3.50918661194045</v>
      </c>
      <c r="U94" s="692">
        <v>1.9877524337232999</v>
      </c>
      <c r="V94" s="498">
        <v>25224713.892220002</v>
      </c>
      <c r="W94" s="692">
        <v>14288349.97222</v>
      </c>
      <c r="X94" s="692">
        <v>-0.27136945391888501</v>
      </c>
      <c r="Y94" s="692">
        <v>-1950656.2605989999</v>
      </c>
      <c r="Z94" s="692">
        <v>0</v>
      </c>
      <c r="AA94" s="692">
        <v>0</v>
      </c>
      <c r="AB94" s="692">
        <v>0</v>
      </c>
      <c r="AC94" s="692">
        <v>0</v>
      </c>
      <c r="AD94" s="692">
        <v>0</v>
      </c>
      <c r="AE94" s="692">
        <v>0</v>
      </c>
      <c r="AF94" s="692">
        <v>0</v>
      </c>
      <c r="AG94" s="692">
        <v>0</v>
      </c>
      <c r="AH94" s="692">
        <v>0</v>
      </c>
      <c r="AI94" s="692">
        <v>0</v>
      </c>
      <c r="AJ94" s="692">
        <v>0</v>
      </c>
      <c r="AK94" s="692">
        <v>0</v>
      </c>
      <c r="AL94" s="692">
        <v>0</v>
      </c>
      <c r="AM94" s="692">
        <v>0</v>
      </c>
      <c r="AN94" s="692">
        <v>0</v>
      </c>
      <c r="AO94" s="692">
        <v>0</v>
      </c>
      <c r="AP94" s="498">
        <v>0</v>
      </c>
      <c r="AQ94" s="498">
        <v>0</v>
      </c>
      <c r="AR94" s="692">
        <v>3.2378171577740802</v>
      </c>
      <c r="AS94" s="692">
        <v>1.7163829795569301</v>
      </c>
      <c r="AT94" s="498">
        <v>23274057.629841998</v>
      </c>
      <c r="AU94" s="695">
        <v>12337693.709842</v>
      </c>
    </row>
    <row r="95" spans="1:47" ht="12" thickBot="1">
      <c r="A95" s="937"/>
      <c r="B95" s="937"/>
      <c r="C95" s="937"/>
      <c r="D95" s="937"/>
      <c r="E95" s="937"/>
      <c r="F95" s="690" t="s">
        <v>300</v>
      </c>
      <c r="G95" s="690" t="s">
        <v>302</v>
      </c>
      <c r="H95" s="691">
        <v>170228</v>
      </c>
      <c r="I95" s="692">
        <v>0</v>
      </c>
      <c r="J95" s="692">
        <v>0</v>
      </c>
      <c r="K95" s="692">
        <v>129.4915</v>
      </c>
      <c r="L95" s="693"/>
      <c r="M95" s="692">
        <v>0.2</v>
      </c>
      <c r="N95" s="694"/>
      <c r="O95" s="693"/>
      <c r="P95" s="693"/>
      <c r="Q95" s="693"/>
      <c r="R95" s="693"/>
      <c r="S95" s="498">
        <v>0</v>
      </c>
      <c r="T95" s="692">
        <v>0</v>
      </c>
      <c r="U95" s="692">
        <v>0</v>
      </c>
      <c r="V95" s="498">
        <v>0</v>
      </c>
      <c r="W95" s="692">
        <v>0</v>
      </c>
      <c r="X95" s="692">
        <v>0</v>
      </c>
      <c r="Y95" s="692">
        <v>0</v>
      </c>
      <c r="Z95" s="692">
        <v>0</v>
      </c>
      <c r="AA95" s="692">
        <v>0</v>
      </c>
      <c r="AB95" s="692">
        <v>0</v>
      </c>
      <c r="AC95" s="692">
        <v>0</v>
      </c>
      <c r="AD95" s="692">
        <v>0</v>
      </c>
      <c r="AE95" s="692">
        <v>0</v>
      </c>
      <c r="AF95" s="692">
        <v>0</v>
      </c>
      <c r="AG95" s="692">
        <v>0</v>
      </c>
      <c r="AH95" s="692">
        <v>0</v>
      </c>
      <c r="AI95" s="692">
        <v>0</v>
      </c>
      <c r="AJ95" s="692">
        <v>0</v>
      </c>
      <c r="AK95" s="692">
        <v>0</v>
      </c>
      <c r="AL95" s="692">
        <v>0</v>
      </c>
      <c r="AM95" s="692">
        <v>0</v>
      </c>
      <c r="AN95" s="692">
        <v>0</v>
      </c>
      <c r="AO95" s="692">
        <v>0</v>
      </c>
      <c r="AP95" s="498">
        <v>0</v>
      </c>
      <c r="AQ95" s="498">
        <v>0</v>
      </c>
      <c r="AR95" s="692">
        <v>0</v>
      </c>
      <c r="AS95" s="692">
        <v>0</v>
      </c>
      <c r="AT95" s="498">
        <v>0</v>
      </c>
      <c r="AU95" s="695">
        <v>0</v>
      </c>
    </row>
    <row r="96" spans="1:47" ht="12" thickBot="1">
      <c r="A96" s="937"/>
      <c r="B96" s="937"/>
      <c r="C96" s="937"/>
      <c r="D96" s="937"/>
      <c r="E96" s="937"/>
      <c r="F96" s="936" t="s">
        <v>303</v>
      </c>
      <c r="G96" s="690" t="s">
        <v>2642</v>
      </c>
      <c r="H96" s="691">
        <v>170230</v>
      </c>
      <c r="I96" s="692">
        <v>7850000</v>
      </c>
      <c r="J96" s="692">
        <v>1.2794267515923601</v>
      </c>
      <c r="K96" s="692">
        <v>859230.76919999998</v>
      </c>
      <c r="L96" s="693"/>
      <c r="M96" s="692">
        <v>4787.6099999999997</v>
      </c>
      <c r="N96" s="694"/>
      <c r="O96" s="693"/>
      <c r="P96" s="693"/>
      <c r="Q96" s="693"/>
      <c r="R96" s="693"/>
      <c r="S96" s="498">
        <v>1.1205174958444599</v>
      </c>
      <c r="T96" s="692">
        <v>3.05838048730145</v>
      </c>
      <c r="U96" s="692">
        <v>1.9378629914579899</v>
      </c>
      <c r="V96" s="498">
        <v>13067.473787000001</v>
      </c>
      <c r="W96" s="692">
        <v>8279.8637870000002</v>
      </c>
      <c r="X96" s="692">
        <v>-0.205342954239673</v>
      </c>
      <c r="Y96" s="692">
        <v>-877.36424</v>
      </c>
      <c r="Z96" s="692">
        <v>0</v>
      </c>
      <c r="AA96" s="692">
        <v>0</v>
      </c>
      <c r="AB96" s="692">
        <v>0</v>
      </c>
      <c r="AC96" s="692">
        <v>0</v>
      </c>
      <c r="AD96" s="692">
        <v>0</v>
      </c>
      <c r="AE96" s="692">
        <v>0</v>
      </c>
      <c r="AF96" s="692">
        <v>0</v>
      </c>
      <c r="AG96" s="692">
        <v>0</v>
      </c>
      <c r="AH96" s="692">
        <v>0</v>
      </c>
      <c r="AI96" s="692">
        <v>0</v>
      </c>
      <c r="AJ96" s="692">
        <v>0</v>
      </c>
      <c r="AK96" s="692">
        <v>0</v>
      </c>
      <c r="AL96" s="692">
        <v>0</v>
      </c>
      <c r="AM96" s="692">
        <v>0</v>
      </c>
      <c r="AN96" s="692">
        <v>0</v>
      </c>
      <c r="AO96" s="692">
        <v>0</v>
      </c>
      <c r="AP96" s="498">
        <v>0</v>
      </c>
      <c r="AQ96" s="498">
        <v>0</v>
      </c>
      <c r="AR96" s="692">
        <v>2.8530375475725802</v>
      </c>
      <c r="AS96" s="692">
        <v>1.7325200517291199</v>
      </c>
      <c r="AT96" s="498">
        <v>12190.109608999999</v>
      </c>
      <c r="AU96" s="695">
        <v>7402.4996090000004</v>
      </c>
    </row>
    <row r="97" spans="1:47" ht="12" thickBot="1">
      <c r="A97" s="937"/>
      <c r="B97" s="937"/>
      <c r="C97" s="937"/>
      <c r="D97" s="937"/>
      <c r="E97" s="937"/>
      <c r="F97" s="937"/>
      <c r="G97" s="690" t="s">
        <v>2641</v>
      </c>
      <c r="H97" s="691">
        <v>170231</v>
      </c>
      <c r="I97" s="692">
        <v>80849500</v>
      </c>
      <c r="J97" s="692">
        <v>1.3468726460893401</v>
      </c>
      <c r="K97" s="692">
        <v>192417.58240000001</v>
      </c>
      <c r="L97" s="693"/>
      <c r="M97" s="692">
        <v>291.83</v>
      </c>
      <c r="N97" s="694"/>
      <c r="O97" s="693"/>
      <c r="P97" s="693"/>
      <c r="Q97" s="693"/>
      <c r="R97" s="693"/>
      <c r="S97" s="498">
        <v>1.3835186766688301</v>
      </c>
      <c r="T97" s="692">
        <v>3.34078256278123</v>
      </c>
      <c r="U97" s="692">
        <v>1.95726388611257</v>
      </c>
      <c r="V97" s="498">
        <v>188293.67057799999</v>
      </c>
      <c r="W97" s="692">
        <v>110315.590578</v>
      </c>
      <c r="X97" s="692">
        <v>-0.24809335149415501</v>
      </c>
      <c r="Y97" s="692">
        <v>-13983.073403</v>
      </c>
      <c r="Z97" s="692">
        <v>0</v>
      </c>
      <c r="AA97" s="692">
        <v>0</v>
      </c>
      <c r="AB97" s="692">
        <v>0</v>
      </c>
      <c r="AC97" s="692">
        <v>0</v>
      </c>
      <c r="AD97" s="692">
        <v>0</v>
      </c>
      <c r="AE97" s="692">
        <v>0</v>
      </c>
      <c r="AF97" s="692">
        <v>0</v>
      </c>
      <c r="AG97" s="692">
        <v>0</v>
      </c>
      <c r="AH97" s="692">
        <v>0</v>
      </c>
      <c r="AI97" s="692">
        <v>0</v>
      </c>
      <c r="AJ97" s="692">
        <v>0</v>
      </c>
      <c r="AK97" s="692">
        <v>0</v>
      </c>
      <c r="AL97" s="692">
        <v>0</v>
      </c>
      <c r="AM97" s="692">
        <v>0</v>
      </c>
      <c r="AN97" s="692">
        <v>0</v>
      </c>
      <c r="AO97" s="692">
        <v>0</v>
      </c>
      <c r="AP97" s="498">
        <v>0</v>
      </c>
      <c r="AQ97" s="498">
        <v>0</v>
      </c>
      <c r="AR97" s="692">
        <v>3.0926892107548101</v>
      </c>
      <c r="AS97" s="692">
        <v>1.7091705340861401</v>
      </c>
      <c r="AT97" s="498">
        <v>174310.59714500001</v>
      </c>
      <c r="AU97" s="695">
        <v>96332.517145000005</v>
      </c>
    </row>
    <row r="98" spans="1:47" ht="12" thickBot="1">
      <c r="A98" s="937"/>
      <c r="B98" s="937"/>
      <c r="C98" s="937"/>
      <c r="D98" s="937"/>
      <c r="E98" s="937"/>
      <c r="F98" s="938"/>
      <c r="G98" s="690" t="s">
        <v>305</v>
      </c>
      <c r="H98" s="691">
        <v>170235</v>
      </c>
      <c r="I98" s="692">
        <v>54622722.950000003</v>
      </c>
      <c r="J98" s="692">
        <v>1.2834419831682899</v>
      </c>
      <c r="K98" s="692">
        <v>37749650.679799996</v>
      </c>
      <c r="L98" s="693"/>
      <c r="M98" s="692">
        <v>57253.6204</v>
      </c>
      <c r="N98" s="694"/>
      <c r="O98" s="693"/>
      <c r="P98" s="693"/>
      <c r="Q98" s="693"/>
      <c r="R98" s="693"/>
      <c r="S98" s="498">
        <v>1.2133572366345899</v>
      </c>
      <c r="T98" s="692">
        <v>3.1950752194235501</v>
      </c>
      <c r="U98" s="692">
        <v>1.98171798278885</v>
      </c>
      <c r="V98" s="498">
        <v>171802.015778</v>
      </c>
      <c r="W98" s="692">
        <v>106558.72577800001</v>
      </c>
      <c r="X98" s="692">
        <v>-0.227931712271804</v>
      </c>
      <c r="Y98" s="692">
        <v>-12256.089431</v>
      </c>
      <c r="Z98" s="692">
        <v>0</v>
      </c>
      <c r="AA98" s="692">
        <v>0</v>
      </c>
      <c r="AB98" s="692">
        <v>0</v>
      </c>
      <c r="AC98" s="692">
        <v>0</v>
      </c>
      <c r="AD98" s="692">
        <v>0</v>
      </c>
      <c r="AE98" s="692">
        <v>0</v>
      </c>
      <c r="AF98" s="692">
        <v>0</v>
      </c>
      <c r="AG98" s="692">
        <v>0</v>
      </c>
      <c r="AH98" s="692">
        <v>0</v>
      </c>
      <c r="AI98" s="692">
        <v>0</v>
      </c>
      <c r="AJ98" s="692">
        <v>0</v>
      </c>
      <c r="AK98" s="692">
        <v>0</v>
      </c>
      <c r="AL98" s="692">
        <v>0</v>
      </c>
      <c r="AM98" s="692">
        <v>0</v>
      </c>
      <c r="AN98" s="692">
        <v>0</v>
      </c>
      <c r="AO98" s="692">
        <v>0</v>
      </c>
      <c r="AP98" s="498">
        <v>0</v>
      </c>
      <c r="AQ98" s="498">
        <v>0</v>
      </c>
      <c r="AR98" s="692">
        <v>2.9671435067240002</v>
      </c>
      <c r="AS98" s="692">
        <v>1.7537862700893101</v>
      </c>
      <c r="AT98" s="498">
        <v>159545.926324</v>
      </c>
      <c r="AU98" s="695">
        <v>94302.636324000006</v>
      </c>
    </row>
    <row r="99" spans="1:47" ht="12" thickBot="1">
      <c r="A99" s="937"/>
      <c r="B99" s="937"/>
      <c r="C99" s="937"/>
      <c r="D99" s="937"/>
      <c r="E99" s="937"/>
      <c r="F99" s="690" t="s">
        <v>318</v>
      </c>
      <c r="G99" s="690" t="s">
        <v>307</v>
      </c>
      <c r="H99" s="691">
        <v>170237</v>
      </c>
      <c r="I99" s="692">
        <v>16846319</v>
      </c>
      <c r="J99" s="692">
        <v>1.1151209026731601</v>
      </c>
      <c r="K99" s="692">
        <v>70473536.458299994</v>
      </c>
      <c r="L99" s="693"/>
      <c r="M99" s="692">
        <v>93025.266199999998</v>
      </c>
      <c r="N99" s="694"/>
      <c r="O99" s="693"/>
      <c r="P99" s="693"/>
      <c r="Q99" s="693"/>
      <c r="R99" s="693"/>
      <c r="S99" s="498">
        <v>1.1259212010839801</v>
      </c>
      <c r="T99" s="692">
        <v>3.15764330266463</v>
      </c>
      <c r="U99" s="692">
        <v>2.0317221015806002</v>
      </c>
      <c r="V99" s="498">
        <v>184931.179718</v>
      </c>
      <c r="W99" s="692">
        <v>118990.24971800001</v>
      </c>
      <c r="X99" s="692">
        <v>-0.22165000556919001</v>
      </c>
      <c r="Y99" s="692">
        <v>-12981.199295</v>
      </c>
      <c r="Z99" s="692">
        <v>0</v>
      </c>
      <c r="AA99" s="692">
        <v>0</v>
      </c>
      <c r="AB99" s="692">
        <v>0</v>
      </c>
      <c r="AC99" s="692">
        <v>0</v>
      </c>
      <c r="AD99" s="692">
        <v>0</v>
      </c>
      <c r="AE99" s="692">
        <v>0</v>
      </c>
      <c r="AF99" s="692">
        <v>0</v>
      </c>
      <c r="AG99" s="692">
        <v>0</v>
      </c>
      <c r="AH99" s="692">
        <v>0</v>
      </c>
      <c r="AI99" s="692">
        <v>0</v>
      </c>
      <c r="AJ99" s="692">
        <v>0</v>
      </c>
      <c r="AK99" s="692">
        <v>0</v>
      </c>
      <c r="AL99" s="692">
        <v>0</v>
      </c>
      <c r="AM99" s="692">
        <v>0</v>
      </c>
      <c r="AN99" s="692">
        <v>0</v>
      </c>
      <c r="AO99" s="692">
        <v>0</v>
      </c>
      <c r="AP99" s="498">
        <v>0</v>
      </c>
      <c r="AQ99" s="498">
        <v>0</v>
      </c>
      <c r="AR99" s="692">
        <v>2.9359932970954401</v>
      </c>
      <c r="AS99" s="692">
        <v>1.8100720960114101</v>
      </c>
      <c r="AT99" s="498">
        <v>171949.980423</v>
      </c>
      <c r="AU99" s="695">
        <v>106009.05042299999</v>
      </c>
    </row>
    <row r="100" spans="1:47" ht="12" thickBot="1">
      <c r="A100" s="937"/>
      <c r="B100" s="937"/>
      <c r="C100" s="937"/>
      <c r="D100" s="937"/>
      <c r="E100" s="937"/>
      <c r="F100" s="690" t="s">
        <v>308</v>
      </c>
      <c r="G100" s="690" t="s">
        <v>308</v>
      </c>
      <c r="H100" s="691">
        <v>170240</v>
      </c>
      <c r="I100" s="692">
        <v>1028287801.29</v>
      </c>
      <c r="J100" s="692">
        <v>1.37350661926425</v>
      </c>
      <c r="K100" s="692">
        <v>1010950574.7311</v>
      </c>
      <c r="L100" s="693"/>
      <c r="M100" s="692">
        <v>8905603.8010000009</v>
      </c>
      <c r="N100" s="694"/>
      <c r="O100" s="693"/>
      <c r="P100" s="693"/>
      <c r="Q100" s="693"/>
      <c r="R100" s="693"/>
      <c r="S100" s="498">
        <v>1.46782655345818</v>
      </c>
      <c r="T100" s="692">
        <v>3.4771331870723601</v>
      </c>
      <c r="U100" s="692">
        <v>2.0093066336141701</v>
      </c>
      <c r="V100" s="498">
        <v>10569297.187742</v>
      </c>
      <c r="W100" s="692">
        <v>6107605.8377419999</v>
      </c>
      <c r="X100" s="692">
        <v>-0.26740626992806898</v>
      </c>
      <c r="Y100" s="692">
        <v>-812823.72134699998</v>
      </c>
      <c r="Z100" s="692">
        <v>0</v>
      </c>
      <c r="AA100" s="692">
        <v>0</v>
      </c>
      <c r="AB100" s="692">
        <v>0</v>
      </c>
      <c r="AC100" s="692">
        <v>0</v>
      </c>
      <c r="AD100" s="692">
        <v>0</v>
      </c>
      <c r="AE100" s="692">
        <v>0</v>
      </c>
      <c r="AF100" s="692">
        <v>0</v>
      </c>
      <c r="AG100" s="692">
        <v>0</v>
      </c>
      <c r="AH100" s="692">
        <v>0</v>
      </c>
      <c r="AI100" s="692">
        <v>0</v>
      </c>
      <c r="AJ100" s="692">
        <v>0</v>
      </c>
      <c r="AK100" s="692">
        <v>0</v>
      </c>
      <c r="AL100" s="692">
        <v>0</v>
      </c>
      <c r="AM100" s="692">
        <v>0</v>
      </c>
      <c r="AN100" s="692">
        <v>0</v>
      </c>
      <c r="AO100" s="692">
        <v>0</v>
      </c>
      <c r="AP100" s="498">
        <v>0</v>
      </c>
      <c r="AQ100" s="498">
        <v>0</v>
      </c>
      <c r="AR100" s="692">
        <v>3.20972691686499</v>
      </c>
      <c r="AS100" s="692">
        <v>1.7419003634068</v>
      </c>
      <c r="AT100" s="498">
        <v>9756473.4655460007</v>
      </c>
      <c r="AU100" s="695">
        <v>5294782.1155460002</v>
      </c>
    </row>
    <row r="101" spans="1:47" ht="12" thickBot="1">
      <c r="A101" s="937"/>
      <c r="B101" s="937"/>
      <c r="C101" s="937"/>
      <c r="D101" s="937"/>
      <c r="E101" s="938"/>
      <c r="F101" s="690" t="s">
        <v>312</v>
      </c>
      <c r="G101" s="690" t="s">
        <v>312</v>
      </c>
      <c r="H101" s="691">
        <v>170244</v>
      </c>
      <c r="I101" s="692">
        <v>62635625.799999997</v>
      </c>
      <c r="J101" s="692">
        <v>1.2997630021284201</v>
      </c>
      <c r="K101" s="692">
        <v>312661977.68970001</v>
      </c>
      <c r="L101" s="693"/>
      <c r="M101" s="692">
        <v>1541197.6168</v>
      </c>
      <c r="N101" s="694"/>
      <c r="O101" s="693"/>
      <c r="P101" s="693"/>
      <c r="Q101" s="693"/>
      <c r="R101" s="693"/>
      <c r="S101" s="498">
        <v>1.6357034741629399</v>
      </c>
      <c r="T101" s="692">
        <v>3.5886055332970299</v>
      </c>
      <c r="U101" s="692">
        <v>1.95290205913403</v>
      </c>
      <c r="V101" s="498">
        <v>934806.12734400004</v>
      </c>
      <c r="W101" s="692">
        <v>508717.04734400002</v>
      </c>
      <c r="X101" s="692">
        <v>-0.281603209823099</v>
      </c>
      <c r="Y101" s="692">
        <v>-73355.626183999993</v>
      </c>
      <c r="Z101" s="692">
        <v>0</v>
      </c>
      <c r="AA101" s="692">
        <v>0</v>
      </c>
      <c r="AB101" s="692">
        <v>0</v>
      </c>
      <c r="AC101" s="692">
        <v>0</v>
      </c>
      <c r="AD101" s="692">
        <v>0</v>
      </c>
      <c r="AE101" s="692">
        <v>0</v>
      </c>
      <c r="AF101" s="692">
        <v>0</v>
      </c>
      <c r="AG101" s="692">
        <v>0</v>
      </c>
      <c r="AH101" s="692">
        <v>0</v>
      </c>
      <c r="AI101" s="692">
        <v>0</v>
      </c>
      <c r="AJ101" s="692">
        <v>0</v>
      </c>
      <c r="AK101" s="692">
        <v>0</v>
      </c>
      <c r="AL101" s="692">
        <v>0</v>
      </c>
      <c r="AM101" s="692">
        <v>0</v>
      </c>
      <c r="AN101" s="692">
        <v>0</v>
      </c>
      <c r="AO101" s="692">
        <v>0</v>
      </c>
      <c r="AP101" s="498">
        <v>0</v>
      </c>
      <c r="AQ101" s="498">
        <v>0</v>
      </c>
      <c r="AR101" s="692">
        <v>3.3070023236351598</v>
      </c>
      <c r="AS101" s="692">
        <v>1.6712988494721599</v>
      </c>
      <c r="AT101" s="498">
        <v>861450.50120199996</v>
      </c>
      <c r="AU101" s="695">
        <v>435361.421202</v>
      </c>
    </row>
    <row r="102" spans="1:47" ht="12" thickBot="1">
      <c r="A102" s="937"/>
      <c r="B102" s="937"/>
      <c r="C102" s="937"/>
      <c r="D102" s="937"/>
      <c r="E102" s="936" t="s">
        <v>321</v>
      </c>
      <c r="F102" s="936" t="s">
        <v>294</v>
      </c>
      <c r="G102" s="690" t="s">
        <v>295</v>
      </c>
      <c r="H102" s="691">
        <v>170247</v>
      </c>
      <c r="I102" s="692">
        <v>66965000</v>
      </c>
      <c r="J102" s="692">
        <v>2.1055402075711198</v>
      </c>
      <c r="K102" s="692">
        <v>21841.914499999999</v>
      </c>
      <c r="L102" s="693"/>
      <c r="M102" s="692">
        <v>33.119999999999997</v>
      </c>
      <c r="N102" s="694"/>
      <c r="O102" s="693"/>
      <c r="P102" s="693"/>
      <c r="Q102" s="693"/>
      <c r="R102" s="693"/>
      <c r="S102" s="498">
        <v>2.1095322918155399</v>
      </c>
      <c r="T102" s="692">
        <v>3.86752008993692</v>
      </c>
      <c r="U102" s="692">
        <v>1.7579877981213701</v>
      </c>
      <c r="V102" s="498">
        <v>1286483.0064409999</v>
      </c>
      <c r="W102" s="692">
        <v>584773.02644100005</v>
      </c>
      <c r="X102" s="692">
        <v>-0.32161808112631801</v>
      </c>
      <c r="Y102" s="692">
        <v>-106982.300366</v>
      </c>
      <c r="Z102" s="692">
        <v>0</v>
      </c>
      <c r="AA102" s="692">
        <v>0</v>
      </c>
      <c r="AB102" s="692">
        <v>0</v>
      </c>
      <c r="AC102" s="692">
        <v>0</v>
      </c>
      <c r="AD102" s="692">
        <v>0</v>
      </c>
      <c r="AE102" s="692">
        <v>0</v>
      </c>
      <c r="AF102" s="692">
        <v>0</v>
      </c>
      <c r="AG102" s="692">
        <v>0</v>
      </c>
      <c r="AH102" s="692">
        <v>0</v>
      </c>
      <c r="AI102" s="692">
        <v>0</v>
      </c>
      <c r="AJ102" s="692">
        <v>0</v>
      </c>
      <c r="AK102" s="692">
        <v>0</v>
      </c>
      <c r="AL102" s="692">
        <v>0</v>
      </c>
      <c r="AM102" s="692">
        <v>0</v>
      </c>
      <c r="AN102" s="692">
        <v>0</v>
      </c>
      <c r="AO102" s="692">
        <v>0</v>
      </c>
      <c r="AP102" s="498">
        <v>0</v>
      </c>
      <c r="AQ102" s="498">
        <v>0</v>
      </c>
      <c r="AR102" s="692">
        <v>3.5459020091412898</v>
      </c>
      <c r="AS102" s="692">
        <v>1.4363697173257499</v>
      </c>
      <c r="AT102" s="498">
        <v>1179500.706185</v>
      </c>
      <c r="AU102" s="695">
        <v>477790.72618499998</v>
      </c>
    </row>
    <row r="103" spans="1:47" ht="12" thickBot="1">
      <c r="A103" s="937"/>
      <c r="B103" s="937"/>
      <c r="C103" s="937"/>
      <c r="D103" s="937"/>
      <c r="E103" s="937"/>
      <c r="F103" s="937"/>
      <c r="G103" s="690" t="s">
        <v>296</v>
      </c>
      <c r="H103" s="691">
        <v>170248</v>
      </c>
      <c r="I103" s="692">
        <v>110000</v>
      </c>
      <c r="J103" s="692">
        <v>1.5</v>
      </c>
      <c r="K103" s="692">
        <v>5087.3076000000001</v>
      </c>
      <c r="L103" s="693"/>
      <c r="M103" s="692">
        <v>7.71</v>
      </c>
      <c r="N103" s="694"/>
      <c r="O103" s="693"/>
      <c r="P103" s="693"/>
      <c r="Q103" s="693"/>
      <c r="R103" s="693"/>
      <c r="S103" s="498">
        <v>1.50081125540822</v>
      </c>
      <c r="T103" s="692">
        <v>3.43181487584416</v>
      </c>
      <c r="U103" s="692">
        <v>1.9310036204329</v>
      </c>
      <c r="V103" s="498">
        <v>649.79445599999997</v>
      </c>
      <c r="W103" s="692">
        <v>365.62445600000001</v>
      </c>
      <c r="X103" s="692">
        <v>-0.26258896043290098</v>
      </c>
      <c r="Y103" s="692">
        <v>-49.719712999999999</v>
      </c>
      <c r="Z103" s="692">
        <v>0</v>
      </c>
      <c r="AA103" s="692">
        <v>0</v>
      </c>
      <c r="AB103" s="692">
        <v>0</v>
      </c>
      <c r="AC103" s="692">
        <v>0</v>
      </c>
      <c r="AD103" s="692">
        <v>0</v>
      </c>
      <c r="AE103" s="692">
        <v>0</v>
      </c>
      <c r="AF103" s="692">
        <v>0</v>
      </c>
      <c r="AG103" s="692">
        <v>0</v>
      </c>
      <c r="AH103" s="692">
        <v>0</v>
      </c>
      <c r="AI103" s="692">
        <v>0</v>
      </c>
      <c r="AJ103" s="692">
        <v>0</v>
      </c>
      <c r="AK103" s="692">
        <v>0</v>
      </c>
      <c r="AL103" s="692">
        <v>0</v>
      </c>
      <c r="AM103" s="692">
        <v>0</v>
      </c>
      <c r="AN103" s="692">
        <v>0</v>
      </c>
      <c r="AO103" s="692">
        <v>0</v>
      </c>
      <c r="AP103" s="498">
        <v>0</v>
      </c>
      <c r="AQ103" s="498">
        <v>0</v>
      </c>
      <c r="AR103" s="692">
        <v>3.1692259048484801</v>
      </c>
      <c r="AS103" s="692">
        <v>1.6684146494372301</v>
      </c>
      <c r="AT103" s="498">
        <v>600.07474100000002</v>
      </c>
      <c r="AU103" s="695">
        <v>315.904741</v>
      </c>
    </row>
    <row r="104" spans="1:47" ht="12" thickBot="1">
      <c r="A104" s="937"/>
      <c r="B104" s="937"/>
      <c r="C104" s="937"/>
      <c r="D104" s="937"/>
      <c r="E104" s="937"/>
      <c r="F104" s="937"/>
      <c r="G104" s="690" t="s">
        <v>298</v>
      </c>
      <c r="H104" s="691">
        <v>170250</v>
      </c>
      <c r="I104" s="692">
        <v>34750000</v>
      </c>
      <c r="J104" s="692">
        <v>2.0313669064748199</v>
      </c>
      <c r="K104" s="692">
        <v>47421182.033</v>
      </c>
      <c r="L104" s="693"/>
      <c r="M104" s="692">
        <v>71922.100099999996</v>
      </c>
      <c r="N104" s="694"/>
      <c r="O104" s="693"/>
      <c r="P104" s="693"/>
      <c r="Q104" s="693"/>
      <c r="R104" s="693"/>
      <c r="S104" s="498">
        <v>2.4263803657955698</v>
      </c>
      <c r="T104" s="692">
        <v>4.1134250770552097</v>
      </c>
      <c r="U104" s="692">
        <v>1.6870447112595801</v>
      </c>
      <c r="V104" s="498">
        <v>1039100.625476</v>
      </c>
      <c r="W104" s="692">
        <v>426167.77547599998</v>
      </c>
      <c r="X104" s="692">
        <v>-0.357723694614281</v>
      </c>
      <c r="Y104" s="692">
        <v>-90365.305762999997</v>
      </c>
      <c r="Z104" s="692">
        <v>0</v>
      </c>
      <c r="AA104" s="692">
        <v>0</v>
      </c>
      <c r="AB104" s="692">
        <v>0</v>
      </c>
      <c r="AC104" s="692">
        <v>0</v>
      </c>
      <c r="AD104" s="692">
        <v>0</v>
      </c>
      <c r="AE104" s="692">
        <v>0</v>
      </c>
      <c r="AF104" s="692">
        <v>0</v>
      </c>
      <c r="AG104" s="692">
        <v>0</v>
      </c>
      <c r="AH104" s="692">
        <v>0</v>
      </c>
      <c r="AI104" s="692">
        <v>0</v>
      </c>
      <c r="AJ104" s="692">
        <v>0</v>
      </c>
      <c r="AK104" s="692">
        <v>0</v>
      </c>
      <c r="AL104" s="692">
        <v>0</v>
      </c>
      <c r="AM104" s="692">
        <v>0</v>
      </c>
      <c r="AN104" s="692">
        <v>0</v>
      </c>
      <c r="AO104" s="692">
        <v>0</v>
      </c>
      <c r="AP104" s="498">
        <v>0</v>
      </c>
      <c r="AQ104" s="498">
        <v>0</v>
      </c>
      <c r="AR104" s="692">
        <v>3.7557013829555501</v>
      </c>
      <c r="AS104" s="692">
        <v>1.3293210171599199</v>
      </c>
      <c r="AT104" s="498">
        <v>948735.31984300003</v>
      </c>
      <c r="AU104" s="695">
        <v>335802.469843</v>
      </c>
    </row>
    <row r="105" spans="1:47" ht="12" thickBot="1">
      <c r="A105" s="937"/>
      <c r="B105" s="937"/>
      <c r="C105" s="937"/>
      <c r="D105" s="937"/>
      <c r="E105" s="937"/>
      <c r="F105" s="938"/>
      <c r="G105" s="690" t="s">
        <v>299</v>
      </c>
      <c r="H105" s="691">
        <v>170252</v>
      </c>
      <c r="I105" s="692">
        <v>874662075.88</v>
      </c>
      <c r="J105" s="692">
        <v>1.6373562113678299</v>
      </c>
      <c r="K105" s="692">
        <v>375170536.59670001</v>
      </c>
      <c r="L105" s="693"/>
      <c r="M105" s="692">
        <v>569008.36369999999</v>
      </c>
      <c r="N105" s="694"/>
      <c r="O105" s="693"/>
      <c r="P105" s="693"/>
      <c r="Q105" s="693"/>
      <c r="R105" s="693"/>
      <c r="S105" s="498">
        <v>1.9291448763383301</v>
      </c>
      <c r="T105" s="692">
        <v>3.81537169120935</v>
      </c>
      <c r="U105" s="692">
        <v>1.88622681487101</v>
      </c>
      <c r="V105" s="498">
        <v>13585009.088086</v>
      </c>
      <c r="W105" s="692">
        <v>6716097.5380859999</v>
      </c>
      <c r="X105" s="692">
        <v>-0.31610899029182299</v>
      </c>
      <c r="Y105" s="692">
        <v>-1125537.3928139999</v>
      </c>
      <c r="Z105" s="692">
        <v>0</v>
      </c>
      <c r="AA105" s="692">
        <v>0</v>
      </c>
      <c r="AB105" s="692">
        <v>0</v>
      </c>
      <c r="AC105" s="692">
        <v>0</v>
      </c>
      <c r="AD105" s="692">
        <v>0</v>
      </c>
      <c r="AE105" s="692">
        <v>0</v>
      </c>
      <c r="AF105" s="692">
        <v>0</v>
      </c>
      <c r="AG105" s="692">
        <v>0</v>
      </c>
      <c r="AH105" s="692">
        <v>0</v>
      </c>
      <c r="AI105" s="692">
        <v>0</v>
      </c>
      <c r="AJ105" s="692">
        <v>0</v>
      </c>
      <c r="AK105" s="692">
        <v>0</v>
      </c>
      <c r="AL105" s="692">
        <v>0</v>
      </c>
      <c r="AM105" s="692">
        <v>0</v>
      </c>
      <c r="AN105" s="692">
        <v>0</v>
      </c>
      <c r="AO105" s="692">
        <v>0</v>
      </c>
      <c r="AP105" s="498">
        <v>0</v>
      </c>
      <c r="AQ105" s="498">
        <v>0</v>
      </c>
      <c r="AR105" s="692">
        <v>3.4992627007442398</v>
      </c>
      <c r="AS105" s="692">
        <v>1.5701178244059</v>
      </c>
      <c r="AT105" s="498">
        <v>12459471.694654999</v>
      </c>
      <c r="AU105" s="695">
        <v>5590560.1446550004</v>
      </c>
    </row>
    <row r="106" spans="1:47" ht="12" thickBot="1">
      <c r="A106" s="937"/>
      <c r="B106" s="937"/>
      <c r="C106" s="937"/>
      <c r="D106" s="937"/>
      <c r="E106" s="937"/>
      <c r="F106" s="936" t="s">
        <v>303</v>
      </c>
      <c r="G106" s="690" t="s">
        <v>322</v>
      </c>
      <c r="H106" s="691">
        <v>170263</v>
      </c>
      <c r="I106" s="692">
        <v>198565.97</v>
      </c>
      <c r="J106" s="692">
        <v>0.35</v>
      </c>
      <c r="K106" s="692">
        <v>225423.93150000001</v>
      </c>
      <c r="L106" s="693"/>
      <c r="M106" s="692">
        <v>341.89</v>
      </c>
      <c r="N106" s="694"/>
      <c r="O106" s="693"/>
      <c r="P106" s="693"/>
      <c r="Q106" s="693"/>
      <c r="R106" s="693"/>
      <c r="S106" s="498">
        <v>0.30499735687915802</v>
      </c>
      <c r="T106" s="692">
        <v>1.8921756858445999</v>
      </c>
      <c r="U106" s="692">
        <v>1.5871783289649</v>
      </c>
      <c r="V106" s="498">
        <v>2121.054267</v>
      </c>
      <c r="W106" s="692">
        <v>1779.1642670000001</v>
      </c>
      <c r="X106" s="692">
        <v>-3.8258002582429E-2</v>
      </c>
      <c r="Y106" s="692">
        <v>-42.885711000000001</v>
      </c>
      <c r="Z106" s="692">
        <v>0</v>
      </c>
      <c r="AA106" s="692">
        <v>0</v>
      </c>
      <c r="AB106" s="692">
        <v>0</v>
      </c>
      <c r="AC106" s="692">
        <v>0</v>
      </c>
      <c r="AD106" s="692">
        <v>0</v>
      </c>
      <c r="AE106" s="692">
        <v>0</v>
      </c>
      <c r="AF106" s="692">
        <v>0</v>
      </c>
      <c r="AG106" s="692">
        <v>0</v>
      </c>
      <c r="AH106" s="692">
        <v>0</v>
      </c>
      <c r="AI106" s="692">
        <v>0</v>
      </c>
      <c r="AJ106" s="692">
        <v>0</v>
      </c>
      <c r="AK106" s="692">
        <v>0</v>
      </c>
      <c r="AL106" s="692">
        <v>0</v>
      </c>
      <c r="AM106" s="692">
        <v>0</v>
      </c>
      <c r="AN106" s="692">
        <v>0</v>
      </c>
      <c r="AO106" s="692">
        <v>0</v>
      </c>
      <c r="AP106" s="498">
        <v>0</v>
      </c>
      <c r="AQ106" s="498">
        <v>0</v>
      </c>
      <c r="AR106" s="692">
        <v>1.8539176502547701</v>
      </c>
      <c r="AS106" s="692">
        <v>1.5489202933750701</v>
      </c>
      <c r="AT106" s="498">
        <v>2078.1685189999998</v>
      </c>
      <c r="AU106" s="695">
        <v>1736.278519</v>
      </c>
    </row>
    <row r="107" spans="1:47" ht="12" thickBot="1">
      <c r="A107" s="937"/>
      <c r="B107" s="937"/>
      <c r="C107" s="937"/>
      <c r="D107" s="937"/>
      <c r="E107" s="937"/>
      <c r="F107" s="937"/>
      <c r="G107" s="690" t="s">
        <v>305</v>
      </c>
      <c r="H107" s="691">
        <v>170266</v>
      </c>
      <c r="I107" s="692">
        <v>67683404.840000004</v>
      </c>
      <c r="J107" s="692">
        <v>0.64154768957985497</v>
      </c>
      <c r="K107" s="692">
        <v>37749650.679799996</v>
      </c>
      <c r="L107" s="693"/>
      <c r="M107" s="692">
        <v>57253.6204</v>
      </c>
      <c r="N107" s="694"/>
      <c r="O107" s="693"/>
      <c r="P107" s="693"/>
      <c r="Q107" s="693"/>
      <c r="R107" s="693"/>
      <c r="S107" s="498">
        <v>1.50289325882792</v>
      </c>
      <c r="T107" s="692">
        <v>3.1300007548177802</v>
      </c>
      <c r="U107" s="692">
        <v>1.6271074959898699</v>
      </c>
      <c r="V107" s="498">
        <v>1375132.41912</v>
      </c>
      <c r="W107" s="692">
        <v>714852.30911999999</v>
      </c>
      <c r="X107" s="692">
        <v>-0.2142455019044</v>
      </c>
      <c r="Y107" s="692">
        <v>-94126.474208</v>
      </c>
      <c r="Z107" s="692">
        <v>0</v>
      </c>
      <c r="AA107" s="692">
        <v>0</v>
      </c>
      <c r="AB107" s="692">
        <v>0</v>
      </c>
      <c r="AC107" s="692">
        <v>0</v>
      </c>
      <c r="AD107" s="692">
        <v>0</v>
      </c>
      <c r="AE107" s="692">
        <v>0</v>
      </c>
      <c r="AF107" s="692">
        <v>0</v>
      </c>
      <c r="AG107" s="692">
        <v>0</v>
      </c>
      <c r="AH107" s="692">
        <v>0</v>
      </c>
      <c r="AI107" s="692">
        <v>0</v>
      </c>
      <c r="AJ107" s="692">
        <v>0</v>
      </c>
      <c r="AK107" s="692">
        <v>0</v>
      </c>
      <c r="AL107" s="692">
        <v>0</v>
      </c>
      <c r="AM107" s="692">
        <v>0</v>
      </c>
      <c r="AN107" s="692">
        <v>0</v>
      </c>
      <c r="AO107" s="692">
        <v>0</v>
      </c>
      <c r="AP107" s="498">
        <v>0</v>
      </c>
      <c r="AQ107" s="498">
        <v>0</v>
      </c>
      <c r="AR107" s="692">
        <v>2.91575525275405</v>
      </c>
      <c r="AS107" s="692">
        <v>1.41286199392614</v>
      </c>
      <c r="AT107" s="498">
        <v>1281005.944842</v>
      </c>
      <c r="AU107" s="695">
        <v>620725.83484200004</v>
      </c>
    </row>
    <row r="108" spans="1:47" ht="12" thickBot="1">
      <c r="A108" s="937"/>
      <c r="B108" s="937"/>
      <c r="C108" s="937"/>
      <c r="D108" s="937"/>
      <c r="E108" s="937"/>
      <c r="F108" s="938"/>
      <c r="G108" s="690" t="s">
        <v>3513</v>
      </c>
      <c r="H108" s="691">
        <v>170267</v>
      </c>
      <c r="I108" s="692">
        <v>50000000</v>
      </c>
      <c r="J108" s="692">
        <v>1.95</v>
      </c>
      <c r="K108" s="692">
        <v>21290109.890099999</v>
      </c>
      <c r="L108" s="693"/>
      <c r="M108" s="692">
        <v>288420.7</v>
      </c>
      <c r="N108" s="694"/>
      <c r="O108" s="693"/>
      <c r="P108" s="693"/>
      <c r="Q108" s="693"/>
      <c r="R108" s="693"/>
      <c r="S108" s="498">
        <v>2.7243206410653298</v>
      </c>
      <c r="T108" s="692">
        <v>4.2707620420088199</v>
      </c>
      <c r="U108" s="692">
        <v>1.5464414009434799</v>
      </c>
      <c r="V108" s="498">
        <v>452140.67651299998</v>
      </c>
      <c r="W108" s="692">
        <v>163719.976513</v>
      </c>
      <c r="X108" s="692">
        <v>-0.37770028098188202</v>
      </c>
      <c r="Y108" s="692">
        <v>-39986.695320999999</v>
      </c>
      <c r="Z108" s="692">
        <v>0</v>
      </c>
      <c r="AA108" s="692">
        <v>0</v>
      </c>
      <c r="AB108" s="692">
        <v>0</v>
      </c>
      <c r="AC108" s="692">
        <v>0</v>
      </c>
      <c r="AD108" s="692">
        <v>0</v>
      </c>
      <c r="AE108" s="692">
        <v>0</v>
      </c>
      <c r="AF108" s="692">
        <v>0</v>
      </c>
      <c r="AG108" s="692">
        <v>0</v>
      </c>
      <c r="AH108" s="692">
        <v>0</v>
      </c>
      <c r="AI108" s="692">
        <v>0</v>
      </c>
      <c r="AJ108" s="692">
        <v>0</v>
      </c>
      <c r="AK108" s="692">
        <v>0</v>
      </c>
      <c r="AL108" s="692">
        <v>0</v>
      </c>
      <c r="AM108" s="692">
        <v>0</v>
      </c>
      <c r="AN108" s="692">
        <v>0</v>
      </c>
      <c r="AO108" s="692">
        <v>0</v>
      </c>
      <c r="AP108" s="498">
        <v>0</v>
      </c>
      <c r="AQ108" s="498">
        <v>0</v>
      </c>
      <c r="AR108" s="692">
        <v>3.8930617610836098</v>
      </c>
      <c r="AS108" s="692">
        <v>1.16874112001827</v>
      </c>
      <c r="AT108" s="498">
        <v>412153.98119800002</v>
      </c>
      <c r="AU108" s="695">
        <v>123733.281198</v>
      </c>
    </row>
    <row r="109" spans="1:47" ht="12" thickBot="1">
      <c r="A109" s="937"/>
      <c r="B109" s="937"/>
      <c r="C109" s="937"/>
      <c r="D109" s="937"/>
      <c r="E109" s="937"/>
      <c r="F109" s="690" t="s">
        <v>318</v>
      </c>
      <c r="G109" s="690" t="s">
        <v>323</v>
      </c>
      <c r="H109" s="691">
        <v>170270</v>
      </c>
      <c r="I109" s="692">
        <v>3800000</v>
      </c>
      <c r="J109" s="692">
        <v>0.35</v>
      </c>
      <c r="K109" s="692">
        <v>3800000</v>
      </c>
      <c r="L109" s="693"/>
      <c r="M109" s="692">
        <v>5763.33</v>
      </c>
      <c r="N109" s="694"/>
      <c r="O109" s="693"/>
      <c r="P109" s="693"/>
      <c r="Q109" s="693"/>
      <c r="R109" s="693"/>
      <c r="S109" s="498">
        <v>0.30499982359745498</v>
      </c>
      <c r="T109" s="692">
        <v>1.89409826426547</v>
      </c>
      <c r="U109" s="692">
        <v>1.58909844066802</v>
      </c>
      <c r="V109" s="498">
        <v>35791.212010000003</v>
      </c>
      <c r="W109" s="692">
        <v>30027.882010000001</v>
      </c>
      <c r="X109" s="692">
        <v>-3.8053128963851997E-2</v>
      </c>
      <c r="Y109" s="692">
        <v>-719.05857900000001</v>
      </c>
      <c r="Z109" s="692">
        <v>0</v>
      </c>
      <c r="AA109" s="692">
        <v>0</v>
      </c>
      <c r="AB109" s="692">
        <v>0</v>
      </c>
      <c r="AC109" s="692">
        <v>0</v>
      </c>
      <c r="AD109" s="692">
        <v>0</v>
      </c>
      <c r="AE109" s="692">
        <v>0</v>
      </c>
      <c r="AF109" s="692">
        <v>0</v>
      </c>
      <c r="AG109" s="692">
        <v>0</v>
      </c>
      <c r="AH109" s="692">
        <v>0</v>
      </c>
      <c r="AI109" s="692">
        <v>0</v>
      </c>
      <c r="AJ109" s="692">
        <v>0</v>
      </c>
      <c r="AK109" s="692">
        <v>0</v>
      </c>
      <c r="AL109" s="692">
        <v>0</v>
      </c>
      <c r="AM109" s="692">
        <v>0</v>
      </c>
      <c r="AN109" s="692">
        <v>0</v>
      </c>
      <c r="AO109" s="692">
        <v>0</v>
      </c>
      <c r="AP109" s="498">
        <v>0</v>
      </c>
      <c r="AQ109" s="498">
        <v>0</v>
      </c>
      <c r="AR109" s="692">
        <v>1.8560451369950799</v>
      </c>
      <c r="AS109" s="692">
        <v>1.5510453133976301</v>
      </c>
      <c r="AT109" s="498">
        <v>35072.153463000002</v>
      </c>
      <c r="AU109" s="695">
        <v>29308.823463000001</v>
      </c>
    </row>
    <row r="110" spans="1:47" ht="12" thickBot="1">
      <c r="A110" s="937"/>
      <c r="B110" s="937"/>
      <c r="C110" s="937"/>
      <c r="D110" s="937"/>
      <c r="E110" s="937"/>
      <c r="F110" s="690" t="s">
        <v>308</v>
      </c>
      <c r="G110" s="690" t="s">
        <v>308</v>
      </c>
      <c r="H110" s="691">
        <v>170271</v>
      </c>
      <c r="I110" s="692">
        <v>3749287568.1244001</v>
      </c>
      <c r="J110" s="692">
        <v>1.84530865465408</v>
      </c>
      <c r="K110" s="692">
        <v>1010950574.7311</v>
      </c>
      <c r="L110" s="693"/>
      <c r="M110" s="692">
        <v>8905603.8010000009</v>
      </c>
      <c r="N110" s="694"/>
      <c r="O110" s="693"/>
      <c r="P110" s="693"/>
      <c r="Q110" s="693"/>
      <c r="R110" s="693"/>
      <c r="S110" s="498">
        <v>2.3198640421436298</v>
      </c>
      <c r="T110" s="692">
        <v>4.0765742276222703</v>
      </c>
      <c r="U110" s="692">
        <v>1.75671018547864</v>
      </c>
      <c r="V110" s="498">
        <v>112801466.62128</v>
      </c>
      <c r="W110" s="692">
        <v>48609316.128192097</v>
      </c>
      <c r="X110" s="692">
        <v>-0.34926633349283398</v>
      </c>
      <c r="Y110" s="692">
        <v>-9664427.1536809895</v>
      </c>
      <c r="Z110" s="692">
        <v>0</v>
      </c>
      <c r="AA110" s="692">
        <v>0</v>
      </c>
      <c r="AB110" s="692">
        <v>0</v>
      </c>
      <c r="AC110" s="692">
        <v>0</v>
      </c>
      <c r="AD110" s="692">
        <v>0</v>
      </c>
      <c r="AE110" s="692">
        <v>0</v>
      </c>
      <c r="AF110" s="692">
        <v>0</v>
      </c>
      <c r="AG110" s="692">
        <v>0</v>
      </c>
      <c r="AH110" s="692">
        <v>0</v>
      </c>
      <c r="AI110" s="692">
        <v>0</v>
      </c>
      <c r="AJ110" s="692">
        <v>0</v>
      </c>
      <c r="AK110" s="692">
        <v>0</v>
      </c>
      <c r="AL110" s="692">
        <v>0</v>
      </c>
      <c r="AM110" s="692">
        <v>0</v>
      </c>
      <c r="AN110" s="692">
        <v>0</v>
      </c>
      <c r="AO110" s="692">
        <v>0</v>
      </c>
      <c r="AP110" s="498">
        <v>0</v>
      </c>
      <c r="AQ110" s="498">
        <v>0</v>
      </c>
      <c r="AR110" s="692">
        <v>3.72730789433948</v>
      </c>
      <c r="AS110" s="692">
        <v>1.4074438521958501</v>
      </c>
      <c r="AT110" s="498">
        <v>103137039.47341099</v>
      </c>
      <c r="AU110" s="695">
        <v>38944888.980323002</v>
      </c>
    </row>
    <row r="111" spans="1:47" ht="12" thickBot="1">
      <c r="A111" s="937"/>
      <c r="B111" s="937"/>
      <c r="C111" s="937"/>
      <c r="D111" s="937"/>
      <c r="E111" s="937"/>
      <c r="F111" s="690" t="s">
        <v>312</v>
      </c>
      <c r="G111" s="690" t="s">
        <v>312</v>
      </c>
      <c r="H111" s="691">
        <v>170275</v>
      </c>
      <c r="I111" s="692">
        <v>611696764.43200004</v>
      </c>
      <c r="J111" s="692">
        <v>1.29723353944896</v>
      </c>
      <c r="K111" s="692">
        <v>312661977.68970001</v>
      </c>
      <c r="L111" s="693"/>
      <c r="M111" s="692">
        <v>1541197.6168</v>
      </c>
      <c r="N111" s="694"/>
      <c r="O111" s="693"/>
      <c r="P111" s="693"/>
      <c r="Q111" s="693"/>
      <c r="R111" s="693"/>
      <c r="S111" s="498">
        <v>1.67775486516118</v>
      </c>
      <c r="T111" s="692">
        <v>3.84127805186001</v>
      </c>
      <c r="U111" s="692">
        <v>2.1635231866988298</v>
      </c>
      <c r="V111" s="498">
        <v>16049948.183320999</v>
      </c>
      <c r="W111" s="692">
        <v>9039812.9401530009</v>
      </c>
      <c r="X111" s="692">
        <v>-0.30884502451208601</v>
      </c>
      <c r="Y111" s="692">
        <v>-1290442.028193</v>
      </c>
      <c r="Z111" s="692">
        <v>0</v>
      </c>
      <c r="AA111" s="692">
        <v>0</v>
      </c>
      <c r="AB111" s="692">
        <v>0</v>
      </c>
      <c r="AC111" s="692">
        <v>0</v>
      </c>
      <c r="AD111" s="692">
        <v>0</v>
      </c>
      <c r="AE111" s="692">
        <v>0</v>
      </c>
      <c r="AF111" s="692">
        <v>0</v>
      </c>
      <c r="AG111" s="692">
        <v>0</v>
      </c>
      <c r="AH111" s="692">
        <v>0</v>
      </c>
      <c r="AI111" s="692">
        <v>0</v>
      </c>
      <c r="AJ111" s="692">
        <v>0</v>
      </c>
      <c r="AK111" s="692">
        <v>0</v>
      </c>
      <c r="AL111" s="692">
        <v>0</v>
      </c>
      <c r="AM111" s="692">
        <v>0</v>
      </c>
      <c r="AN111" s="692">
        <v>0</v>
      </c>
      <c r="AO111" s="692">
        <v>0</v>
      </c>
      <c r="AP111" s="498">
        <v>0</v>
      </c>
      <c r="AQ111" s="498">
        <v>0</v>
      </c>
      <c r="AR111" s="692">
        <v>3.5324330274644802</v>
      </c>
      <c r="AS111" s="692">
        <v>1.8546781623033</v>
      </c>
      <c r="AT111" s="498">
        <v>14759506.155615</v>
      </c>
      <c r="AU111" s="695">
        <v>7749370.9124469999</v>
      </c>
    </row>
    <row r="112" spans="1:47" ht="12" thickBot="1">
      <c r="A112" s="937"/>
      <c r="B112" s="937"/>
      <c r="C112" s="937"/>
      <c r="D112" s="937"/>
      <c r="E112" s="937"/>
      <c r="F112" s="690" t="s">
        <v>3512</v>
      </c>
      <c r="G112" s="690" t="s">
        <v>3512</v>
      </c>
      <c r="H112" s="691">
        <v>170276</v>
      </c>
      <c r="I112" s="692">
        <v>0</v>
      </c>
      <c r="J112" s="692">
        <v>0</v>
      </c>
      <c r="K112" s="692">
        <v>515815.86320000002</v>
      </c>
      <c r="L112" s="693"/>
      <c r="M112" s="692">
        <v>782.32</v>
      </c>
      <c r="N112" s="694"/>
      <c r="O112" s="693"/>
      <c r="P112" s="693"/>
      <c r="Q112" s="693"/>
      <c r="R112" s="693"/>
      <c r="S112" s="498">
        <v>0.35583252000003202</v>
      </c>
      <c r="T112" s="692">
        <v>3.4871666667480001</v>
      </c>
      <c r="U112" s="692">
        <v>3.1313341467479998</v>
      </c>
      <c r="V112" s="498">
        <v>19055.555555999999</v>
      </c>
      <c r="W112" s="692">
        <v>17111.115556000001</v>
      </c>
      <c r="X112" s="692">
        <v>-0.26682416674800002</v>
      </c>
      <c r="Y112" s="692">
        <v>-1458.055556</v>
      </c>
      <c r="Z112" s="692">
        <v>0</v>
      </c>
      <c r="AA112" s="692">
        <v>0</v>
      </c>
      <c r="AB112" s="692">
        <v>0</v>
      </c>
      <c r="AC112" s="692">
        <v>0</v>
      </c>
      <c r="AD112" s="692">
        <v>0</v>
      </c>
      <c r="AE112" s="692">
        <v>0</v>
      </c>
      <c r="AF112" s="692">
        <v>0</v>
      </c>
      <c r="AG112" s="692">
        <v>0</v>
      </c>
      <c r="AH112" s="692">
        <v>0</v>
      </c>
      <c r="AI112" s="692">
        <v>0</v>
      </c>
      <c r="AJ112" s="692">
        <v>0</v>
      </c>
      <c r="AK112" s="692">
        <v>0</v>
      </c>
      <c r="AL112" s="692">
        <v>0</v>
      </c>
      <c r="AM112" s="692">
        <v>0</v>
      </c>
      <c r="AN112" s="692">
        <v>0</v>
      </c>
      <c r="AO112" s="692">
        <v>0</v>
      </c>
      <c r="AP112" s="498">
        <v>0</v>
      </c>
      <c r="AQ112" s="498">
        <v>0</v>
      </c>
      <c r="AR112" s="692">
        <v>3.2203425000000001</v>
      </c>
      <c r="AS112" s="692">
        <v>2.8645099799999998</v>
      </c>
      <c r="AT112" s="498">
        <v>17597.5</v>
      </c>
      <c r="AU112" s="695">
        <v>15653.06</v>
      </c>
    </row>
    <row r="113" spans="1:47" ht="12" thickBot="1">
      <c r="A113" s="937"/>
      <c r="B113" s="937"/>
      <c r="C113" s="937"/>
      <c r="D113" s="937"/>
      <c r="E113" s="938"/>
      <c r="F113" s="690" t="s">
        <v>313</v>
      </c>
      <c r="G113" s="690" t="s">
        <v>315</v>
      </c>
      <c r="H113" s="691">
        <v>170376</v>
      </c>
      <c r="I113" s="692">
        <v>31010000</v>
      </c>
      <c r="J113" s="692">
        <v>1.5</v>
      </c>
      <c r="K113" s="692">
        <v>127777514.4156</v>
      </c>
      <c r="L113" s="693"/>
      <c r="M113" s="692">
        <v>193795.9</v>
      </c>
      <c r="N113" s="694"/>
      <c r="O113" s="693"/>
      <c r="P113" s="693"/>
      <c r="Q113" s="693"/>
      <c r="R113" s="693"/>
      <c r="S113" s="498">
        <v>1.50786519064163</v>
      </c>
      <c r="T113" s="692">
        <v>3.4559554877807299</v>
      </c>
      <c r="U113" s="692">
        <v>1.9480902971390801</v>
      </c>
      <c r="V113" s="498">
        <v>521205.30006400001</v>
      </c>
      <c r="W113" s="692">
        <v>293798.63006400003</v>
      </c>
      <c r="X113" s="692">
        <v>-0.26715171481703798</v>
      </c>
      <c r="Y113" s="692">
        <v>-40290.128208000002</v>
      </c>
      <c r="Z113" s="692">
        <v>0</v>
      </c>
      <c r="AA113" s="692">
        <v>0</v>
      </c>
      <c r="AB113" s="692">
        <v>0</v>
      </c>
      <c r="AC113" s="692">
        <v>0</v>
      </c>
      <c r="AD113" s="692">
        <v>0</v>
      </c>
      <c r="AE113" s="692">
        <v>0</v>
      </c>
      <c r="AF113" s="692">
        <v>0</v>
      </c>
      <c r="AG113" s="692">
        <v>0</v>
      </c>
      <c r="AH113" s="692">
        <v>0</v>
      </c>
      <c r="AI113" s="692">
        <v>0</v>
      </c>
      <c r="AJ113" s="692">
        <v>0</v>
      </c>
      <c r="AK113" s="692">
        <v>0</v>
      </c>
      <c r="AL113" s="692">
        <v>0</v>
      </c>
      <c r="AM113" s="692">
        <v>0</v>
      </c>
      <c r="AN113" s="692">
        <v>0</v>
      </c>
      <c r="AO113" s="692">
        <v>0</v>
      </c>
      <c r="AP113" s="498">
        <v>0</v>
      </c>
      <c r="AQ113" s="498">
        <v>0</v>
      </c>
      <c r="AR113" s="692">
        <v>3.1888037726984599</v>
      </c>
      <c r="AS113" s="692">
        <v>1.6809385820568099</v>
      </c>
      <c r="AT113" s="498">
        <v>480915.17181600002</v>
      </c>
      <c r="AU113" s="695">
        <v>253508.501816</v>
      </c>
    </row>
    <row r="114" spans="1:47" ht="12" thickBot="1">
      <c r="A114" s="937"/>
      <c r="B114" s="937"/>
      <c r="C114" s="937"/>
      <c r="D114" s="937"/>
      <c r="E114" s="936" t="s">
        <v>2712</v>
      </c>
      <c r="F114" s="690" t="s">
        <v>308</v>
      </c>
      <c r="G114" s="690" t="s">
        <v>308</v>
      </c>
      <c r="H114" s="691">
        <v>170476</v>
      </c>
      <c r="I114" s="692">
        <v>1310000</v>
      </c>
      <c r="J114" s="692">
        <v>2.3290076335877901</v>
      </c>
      <c r="K114" s="692">
        <v>1010950574.7311</v>
      </c>
      <c r="L114" s="693"/>
      <c r="M114" s="692">
        <v>8905603.8010000009</v>
      </c>
      <c r="N114" s="694"/>
      <c r="O114" s="693"/>
      <c r="P114" s="693"/>
      <c r="Q114" s="693"/>
      <c r="R114" s="693"/>
      <c r="S114" s="498">
        <v>2.4673548756413699</v>
      </c>
      <c r="T114" s="692">
        <v>4.7570828945005896</v>
      </c>
      <c r="U114" s="692">
        <v>2.2897280188590599</v>
      </c>
      <c r="V114" s="498">
        <v>19753.591756999998</v>
      </c>
      <c r="W114" s="692">
        <v>9508.001757</v>
      </c>
      <c r="X114" s="692">
        <v>-0.44967252310698802</v>
      </c>
      <c r="Y114" s="692">
        <v>-1867.246723</v>
      </c>
      <c r="Z114" s="692">
        <v>0</v>
      </c>
      <c r="AA114" s="692">
        <v>0</v>
      </c>
      <c r="AB114" s="692">
        <v>0</v>
      </c>
      <c r="AC114" s="692">
        <v>0</v>
      </c>
      <c r="AD114" s="692">
        <v>0</v>
      </c>
      <c r="AE114" s="692">
        <v>0</v>
      </c>
      <c r="AF114" s="692">
        <v>0</v>
      </c>
      <c r="AG114" s="692">
        <v>0</v>
      </c>
      <c r="AH114" s="692">
        <v>0</v>
      </c>
      <c r="AI114" s="692">
        <v>0</v>
      </c>
      <c r="AJ114" s="692">
        <v>0</v>
      </c>
      <c r="AK114" s="692">
        <v>0</v>
      </c>
      <c r="AL114" s="692">
        <v>0</v>
      </c>
      <c r="AM114" s="692">
        <v>0</v>
      </c>
      <c r="AN114" s="692">
        <v>0</v>
      </c>
      <c r="AO114" s="692">
        <v>0</v>
      </c>
      <c r="AP114" s="498">
        <v>0</v>
      </c>
      <c r="AQ114" s="498">
        <v>0</v>
      </c>
      <c r="AR114" s="692">
        <v>4.3074103473114898</v>
      </c>
      <c r="AS114" s="692">
        <v>1.84005547166996</v>
      </c>
      <c r="AT114" s="498">
        <v>17886.344934000001</v>
      </c>
      <c r="AU114" s="695">
        <v>7640.7549339999996</v>
      </c>
    </row>
    <row r="115" spans="1:47" ht="12" thickBot="1">
      <c r="A115" s="937"/>
      <c r="B115" s="937"/>
      <c r="C115" s="937"/>
      <c r="D115" s="937"/>
      <c r="E115" s="937"/>
      <c r="F115" s="690" t="s">
        <v>303</v>
      </c>
      <c r="G115" s="690" t="s">
        <v>305</v>
      </c>
      <c r="H115" s="691">
        <v>170482</v>
      </c>
      <c r="I115" s="692">
        <v>1209450.29</v>
      </c>
      <c r="J115" s="692">
        <v>2.1</v>
      </c>
      <c r="K115" s="692">
        <v>37749650.679799996</v>
      </c>
      <c r="L115" s="693"/>
      <c r="M115" s="692">
        <v>57253.6204</v>
      </c>
      <c r="N115" s="694"/>
      <c r="O115" s="693"/>
      <c r="P115" s="693"/>
      <c r="Q115" s="693"/>
      <c r="R115" s="693"/>
      <c r="S115" s="498">
        <v>2.1047265827057502</v>
      </c>
      <c r="T115" s="692">
        <v>4.67940854036285</v>
      </c>
      <c r="U115" s="692">
        <v>2.5746819576571101</v>
      </c>
      <c r="V115" s="498">
        <v>28142.928605000001</v>
      </c>
      <c r="W115" s="692">
        <v>15484.668605000001</v>
      </c>
      <c r="X115" s="692">
        <v>-0.43811597278682601</v>
      </c>
      <c r="Y115" s="692">
        <v>-2634.9198700000002</v>
      </c>
      <c r="Z115" s="692">
        <v>0</v>
      </c>
      <c r="AA115" s="692">
        <v>0</v>
      </c>
      <c r="AB115" s="692">
        <v>0</v>
      </c>
      <c r="AC115" s="692">
        <v>0</v>
      </c>
      <c r="AD115" s="692">
        <v>0</v>
      </c>
      <c r="AE115" s="692">
        <v>0</v>
      </c>
      <c r="AF115" s="692">
        <v>0</v>
      </c>
      <c r="AG115" s="692">
        <v>0</v>
      </c>
      <c r="AH115" s="692">
        <v>0</v>
      </c>
      <c r="AI115" s="692">
        <v>0</v>
      </c>
      <c r="AJ115" s="692">
        <v>0</v>
      </c>
      <c r="AK115" s="692">
        <v>0</v>
      </c>
      <c r="AL115" s="692">
        <v>0</v>
      </c>
      <c r="AM115" s="692">
        <v>0</v>
      </c>
      <c r="AN115" s="692">
        <v>0</v>
      </c>
      <c r="AO115" s="692">
        <v>0</v>
      </c>
      <c r="AP115" s="498">
        <v>0</v>
      </c>
      <c r="AQ115" s="498">
        <v>0</v>
      </c>
      <c r="AR115" s="692">
        <v>4.2412925572670996</v>
      </c>
      <c r="AS115" s="692">
        <v>2.1365659745613499</v>
      </c>
      <c r="AT115" s="498">
        <v>25508.008673</v>
      </c>
      <c r="AU115" s="695">
        <v>12849.748673</v>
      </c>
    </row>
    <row r="116" spans="1:47" ht="12" thickBot="1">
      <c r="A116" s="937"/>
      <c r="B116" s="937"/>
      <c r="C116" s="937"/>
      <c r="D116" s="937"/>
      <c r="E116" s="938"/>
      <c r="F116" s="690" t="s">
        <v>312</v>
      </c>
      <c r="G116" s="690" t="s">
        <v>312</v>
      </c>
      <c r="H116" s="691">
        <v>170489</v>
      </c>
      <c r="I116" s="692">
        <v>500000</v>
      </c>
      <c r="J116" s="692">
        <v>2.1</v>
      </c>
      <c r="K116" s="692">
        <v>312661977.68970001</v>
      </c>
      <c r="L116" s="693"/>
      <c r="M116" s="692">
        <v>1541197.6168</v>
      </c>
      <c r="N116" s="694"/>
      <c r="O116" s="693"/>
      <c r="P116" s="693"/>
      <c r="Q116" s="693"/>
      <c r="R116" s="693"/>
      <c r="S116" s="498">
        <v>2.1205743243264501</v>
      </c>
      <c r="T116" s="692">
        <v>3.5662707296108098</v>
      </c>
      <c r="U116" s="692">
        <v>1.44569640528649</v>
      </c>
      <c r="V116" s="498">
        <v>7210.4927319999997</v>
      </c>
      <c r="W116" s="692">
        <v>2922.9927320000002</v>
      </c>
      <c r="X116" s="692">
        <v>-0.28323355827567598</v>
      </c>
      <c r="Y116" s="692">
        <v>-572.65801399999998</v>
      </c>
      <c r="Z116" s="692">
        <v>0</v>
      </c>
      <c r="AA116" s="692">
        <v>0</v>
      </c>
      <c r="AB116" s="692">
        <v>0</v>
      </c>
      <c r="AC116" s="692">
        <v>0</v>
      </c>
      <c r="AD116" s="692">
        <v>0</v>
      </c>
      <c r="AE116" s="692">
        <v>0</v>
      </c>
      <c r="AF116" s="692">
        <v>0</v>
      </c>
      <c r="AG116" s="692">
        <v>0</v>
      </c>
      <c r="AH116" s="692">
        <v>0</v>
      </c>
      <c r="AI116" s="692">
        <v>0</v>
      </c>
      <c r="AJ116" s="692">
        <v>0</v>
      </c>
      <c r="AK116" s="692">
        <v>0</v>
      </c>
      <c r="AL116" s="692">
        <v>0</v>
      </c>
      <c r="AM116" s="692">
        <v>0</v>
      </c>
      <c r="AN116" s="692">
        <v>0</v>
      </c>
      <c r="AO116" s="692">
        <v>0</v>
      </c>
      <c r="AP116" s="498">
        <v>0</v>
      </c>
      <c r="AQ116" s="498">
        <v>0</v>
      </c>
      <c r="AR116" s="692">
        <v>3.2830371485837802</v>
      </c>
      <c r="AS116" s="692">
        <v>1.1624628242594599</v>
      </c>
      <c r="AT116" s="498">
        <v>6637.834672</v>
      </c>
      <c r="AU116" s="695">
        <v>2350.334672</v>
      </c>
    </row>
    <row r="117" spans="1:47" ht="12" thickBot="1">
      <c r="A117" s="937"/>
      <c r="B117" s="937"/>
      <c r="C117" s="937"/>
      <c r="D117" s="937"/>
      <c r="E117" s="936" t="s">
        <v>2713</v>
      </c>
      <c r="F117" s="936" t="s">
        <v>294</v>
      </c>
      <c r="G117" s="690" t="s">
        <v>295</v>
      </c>
      <c r="H117" s="691">
        <v>170490</v>
      </c>
      <c r="I117" s="692">
        <v>0</v>
      </c>
      <c r="J117" s="692">
        <v>0</v>
      </c>
      <c r="K117" s="692">
        <v>21841.914499999999</v>
      </c>
      <c r="L117" s="693"/>
      <c r="M117" s="692">
        <v>33.119999999999997</v>
      </c>
      <c r="N117" s="694"/>
      <c r="O117" s="693"/>
      <c r="P117" s="693"/>
      <c r="Q117" s="693"/>
      <c r="R117" s="693"/>
      <c r="S117" s="498">
        <v>0</v>
      </c>
      <c r="T117" s="692">
        <v>0</v>
      </c>
      <c r="U117" s="692">
        <v>0</v>
      </c>
      <c r="V117" s="498">
        <v>0</v>
      </c>
      <c r="W117" s="692">
        <v>0</v>
      </c>
      <c r="X117" s="692">
        <v>0</v>
      </c>
      <c r="Y117" s="692">
        <v>0</v>
      </c>
      <c r="Z117" s="692">
        <v>0</v>
      </c>
      <c r="AA117" s="692">
        <v>0</v>
      </c>
      <c r="AB117" s="692">
        <v>0</v>
      </c>
      <c r="AC117" s="692">
        <v>0</v>
      </c>
      <c r="AD117" s="692">
        <v>0</v>
      </c>
      <c r="AE117" s="692">
        <v>0</v>
      </c>
      <c r="AF117" s="692">
        <v>0</v>
      </c>
      <c r="AG117" s="692">
        <v>0</v>
      </c>
      <c r="AH117" s="692">
        <v>0</v>
      </c>
      <c r="AI117" s="692">
        <v>0</v>
      </c>
      <c r="AJ117" s="692">
        <v>0</v>
      </c>
      <c r="AK117" s="692">
        <v>0</v>
      </c>
      <c r="AL117" s="692">
        <v>0</v>
      </c>
      <c r="AM117" s="692">
        <v>0</v>
      </c>
      <c r="AN117" s="692">
        <v>0</v>
      </c>
      <c r="AO117" s="692">
        <v>0</v>
      </c>
      <c r="AP117" s="498">
        <v>0</v>
      </c>
      <c r="AQ117" s="498">
        <v>0</v>
      </c>
      <c r="AR117" s="692">
        <v>0</v>
      </c>
      <c r="AS117" s="692">
        <v>0</v>
      </c>
      <c r="AT117" s="498">
        <v>0</v>
      </c>
      <c r="AU117" s="695">
        <v>0</v>
      </c>
    </row>
    <row r="118" spans="1:47" ht="12" thickBot="1">
      <c r="A118" s="937"/>
      <c r="B118" s="937"/>
      <c r="C118" s="937"/>
      <c r="D118" s="937"/>
      <c r="E118" s="937"/>
      <c r="F118" s="938"/>
      <c r="G118" s="690" t="s">
        <v>299</v>
      </c>
      <c r="H118" s="691">
        <v>170495</v>
      </c>
      <c r="I118" s="692">
        <v>100000000</v>
      </c>
      <c r="J118" s="692">
        <v>3.25</v>
      </c>
      <c r="K118" s="692">
        <v>375170536.59670001</v>
      </c>
      <c r="L118" s="693"/>
      <c r="M118" s="692">
        <v>569008.36369999999</v>
      </c>
      <c r="N118" s="694"/>
      <c r="O118" s="693"/>
      <c r="P118" s="693"/>
      <c r="Q118" s="693"/>
      <c r="R118" s="693"/>
      <c r="S118" s="498">
        <v>3.3041674800003</v>
      </c>
      <c r="T118" s="692">
        <v>3.8938333333739998</v>
      </c>
      <c r="U118" s="692">
        <v>0.58966585337400002</v>
      </c>
      <c r="V118" s="498">
        <v>21277.777778</v>
      </c>
      <c r="W118" s="692">
        <v>3222.2177780000002</v>
      </c>
      <c r="X118" s="692">
        <v>-0.325790833374</v>
      </c>
      <c r="Y118" s="692">
        <v>-1780.2777779999999</v>
      </c>
      <c r="Z118" s="692">
        <v>0</v>
      </c>
      <c r="AA118" s="692">
        <v>0</v>
      </c>
      <c r="AB118" s="692">
        <v>0</v>
      </c>
      <c r="AC118" s="692">
        <v>0</v>
      </c>
      <c r="AD118" s="692">
        <v>0</v>
      </c>
      <c r="AE118" s="692">
        <v>0</v>
      </c>
      <c r="AF118" s="692">
        <v>0</v>
      </c>
      <c r="AG118" s="692">
        <v>0</v>
      </c>
      <c r="AH118" s="692">
        <v>0</v>
      </c>
      <c r="AI118" s="692">
        <v>0</v>
      </c>
      <c r="AJ118" s="692">
        <v>0</v>
      </c>
      <c r="AK118" s="692">
        <v>0</v>
      </c>
      <c r="AL118" s="692">
        <v>0</v>
      </c>
      <c r="AM118" s="692">
        <v>0</v>
      </c>
      <c r="AN118" s="692">
        <v>0</v>
      </c>
      <c r="AO118" s="692">
        <v>0</v>
      </c>
      <c r="AP118" s="498">
        <v>0</v>
      </c>
      <c r="AQ118" s="498">
        <v>0</v>
      </c>
      <c r="AR118" s="692">
        <v>3.5680424999999998</v>
      </c>
      <c r="AS118" s="692">
        <v>0.26387502000000002</v>
      </c>
      <c r="AT118" s="498">
        <v>19497.5</v>
      </c>
      <c r="AU118" s="695">
        <v>1441.94</v>
      </c>
    </row>
    <row r="119" spans="1:47" ht="12" thickBot="1">
      <c r="A119" s="937"/>
      <c r="B119" s="937"/>
      <c r="C119" s="937"/>
      <c r="D119" s="937"/>
      <c r="E119" s="937"/>
      <c r="F119" s="690" t="s">
        <v>308</v>
      </c>
      <c r="G119" s="690" t="s">
        <v>308</v>
      </c>
      <c r="H119" s="691">
        <v>170496</v>
      </c>
      <c r="I119" s="692">
        <v>267580000</v>
      </c>
      <c r="J119" s="692">
        <v>3.1769751102474002</v>
      </c>
      <c r="K119" s="692">
        <v>1010950574.7311</v>
      </c>
      <c r="L119" s="693"/>
      <c r="M119" s="692">
        <v>8905603.8010000009</v>
      </c>
      <c r="N119" s="694"/>
      <c r="O119" s="693"/>
      <c r="P119" s="693"/>
      <c r="Q119" s="693"/>
      <c r="R119" s="693"/>
      <c r="S119" s="498">
        <v>3.1822954087321</v>
      </c>
      <c r="T119" s="692">
        <v>4.8701301276154298</v>
      </c>
      <c r="U119" s="692">
        <v>1.68783471888333</v>
      </c>
      <c r="V119" s="498">
        <v>6184679.377444</v>
      </c>
      <c r="W119" s="692">
        <v>2143416.357444</v>
      </c>
      <c r="X119" s="692">
        <v>-0.46736048623728899</v>
      </c>
      <c r="Y119" s="692">
        <v>-593510.78622600005</v>
      </c>
      <c r="Z119" s="692">
        <v>0</v>
      </c>
      <c r="AA119" s="692">
        <v>0</v>
      </c>
      <c r="AB119" s="692">
        <v>0</v>
      </c>
      <c r="AC119" s="692">
        <v>0</v>
      </c>
      <c r="AD119" s="692">
        <v>0</v>
      </c>
      <c r="AE119" s="692">
        <v>0</v>
      </c>
      <c r="AF119" s="692">
        <v>0</v>
      </c>
      <c r="AG119" s="692">
        <v>0</v>
      </c>
      <c r="AH119" s="692">
        <v>0</v>
      </c>
      <c r="AI119" s="692">
        <v>0</v>
      </c>
      <c r="AJ119" s="692">
        <v>0</v>
      </c>
      <c r="AK119" s="692">
        <v>0</v>
      </c>
      <c r="AL119" s="692">
        <v>0</v>
      </c>
      <c r="AM119" s="692">
        <v>0</v>
      </c>
      <c r="AN119" s="692">
        <v>0</v>
      </c>
      <c r="AO119" s="692">
        <v>0</v>
      </c>
      <c r="AP119" s="498">
        <v>0</v>
      </c>
      <c r="AQ119" s="498">
        <v>0</v>
      </c>
      <c r="AR119" s="692">
        <v>4.4027696414049204</v>
      </c>
      <c r="AS119" s="692">
        <v>1.22047423267282</v>
      </c>
      <c r="AT119" s="498">
        <v>5591168.5912520001</v>
      </c>
      <c r="AU119" s="695">
        <v>1549905.5712520001</v>
      </c>
    </row>
    <row r="120" spans="1:47" ht="12" thickBot="1">
      <c r="A120" s="937"/>
      <c r="B120" s="937"/>
      <c r="C120" s="937"/>
      <c r="D120" s="937"/>
      <c r="E120" s="937"/>
      <c r="F120" s="936" t="s">
        <v>303</v>
      </c>
      <c r="G120" s="690" t="s">
        <v>305</v>
      </c>
      <c r="H120" s="691">
        <v>170502</v>
      </c>
      <c r="I120" s="692">
        <v>755384.99</v>
      </c>
      <c r="J120" s="692">
        <v>2.75</v>
      </c>
      <c r="K120" s="692">
        <v>37749650.679799996</v>
      </c>
      <c r="L120" s="693"/>
      <c r="M120" s="692">
        <v>57253.6204</v>
      </c>
      <c r="N120" s="694"/>
      <c r="O120" s="693"/>
      <c r="P120" s="693"/>
      <c r="Q120" s="693"/>
      <c r="R120" s="693"/>
      <c r="S120" s="498">
        <v>2.75767339236128</v>
      </c>
      <c r="T120" s="692">
        <v>4.8631369331126297</v>
      </c>
      <c r="U120" s="692">
        <v>2.1054635407513498</v>
      </c>
      <c r="V120" s="498">
        <v>18267.333255000001</v>
      </c>
      <c r="W120" s="692">
        <v>7908.7232549999999</v>
      </c>
      <c r="X120" s="692">
        <v>-0.46582441262941199</v>
      </c>
      <c r="Y120" s="692">
        <v>-1749.7697270000001</v>
      </c>
      <c r="Z120" s="692">
        <v>0</v>
      </c>
      <c r="AA120" s="692">
        <v>0</v>
      </c>
      <c r="AB120" s="692">
        <v>0</v>
      </c>
      <c r="AC120" s="692">
        <v>0</v>
      </c>
      <c r="AD120" s="692">
        <v>0</v>
      </c>
      <c r="AE120" s="692">
        <v>0</v>
      </c>
      <c r="AF120" s="692">
        <v>0</v>
      </c>
      <c r="AG120" s="692">
        <v>0</v>
      </c>
      <c r="AH120" s="692">
        <v>0</v>
      </c>
      <c r="AI120" s="692">
        <v>0</v>
      </c>
      <c r="AJ120" s="692">
        <v>0</v>
      </c>
      <c r="AK120" s="692">
        <v>0</v>
      </c>
      <c r="AL120" s="692">
        <v>0</v>
      </c>
      <c r="AM120" s="692">
        <v>0</v>
      </c>
      <c r="AN120" s="692">
        <v>0</v>
      </c>
      <c r="AO120" s="692">
        <v>0</v>
      </c>
      <c r="AP120" s="498">
        <v>0</v>
      </c>
      <c r="AQ120" s="498">
        <v>0</v>
      </c>
      <c r="AR120" s="692">
        <v>4.3973125204832098</v>
      </c>
      <c r="AS120" s="692">
        <v>1.63963912812194</v>
      </c>
      <c r="AT120" s="498">
        <v>16517.563527999999</v>
      </c>
      <c r="AU120" s="695">
        <v>6158.953528</v>
      </c>
    </row>
    <row r="121" spans="1:47" ht="12" thickBot="1">
      <c r="A121" s="937"/>
      <c r="B121" s="937"/>
      <c r="C121" s="937"/>
      <c r="D121" s="937"/>
      <c r="E121" s="937"/>
      <c r="F121" s="938"/>
      <c r="G121" s="690" t="s">
        <v>3513</v>
      </c>
      <c r="H121" s="691">
        <v>170543</v>
      </c>
      <c r="I121" s="692">
        <v>27000000</v>
      </c>
      <c r="J121" s="692">
        <v>2.75</v>
      </c>
      <c r="K121" s="692">
        <v>21290109.890099999</v>
      </c>
      <c r="L121" s="693"/>
      <c r="M121" s="692">
        <v>288420.7</v>
      </c>
      <c r="N121" s="694"/>
      <c r="O121" s="693"/>
      <c r="P121" s="693"/>
      <c r="Q121" s="693"/>
      <c r="R121" s="693"/>
      <c r="S121" s="498">
        <v>2.7958333333342398</v>
      </c>
      <c r="T121" s="692">
        <v>3.8938333333333301</v>
      </c>
      <c r="U121" s="692">
        <v>1.0980000000000001</v>
      </c>
      <c r="V121" s="498">
        <v>28725</v>
      </c>
      <c r="W121" s="692">
        <v>8100</v>
      </c>
      <c r="X121" s="692">
        <v>-0.32579083333333297</v>
      </c>
      <c r="Y121" s="692">
        <v>-2403.375</v>
      </c>
      <c r="Z121" s="692">
        <v>0</v>
      </c>
      <c r="AA121" s="692">
        <v>0</v>
      </c>
      <c r="AB121" s="692">
        <v>0</v>
      </c>
      <c r="AC121" s="692">
        <v>0</v>
      </c>
      <c r="AD121" s="692">
        <v>0</v>
      </c>
      <c r="AE121" s="692">
        <v>0</v>
      </c>
      <c r="AF121" s="692">
        <v>0</v>
      </c>
      <c r="AG121" s="692">
        <v>0</v>
      </c>
      <c r="AH121" s="692">
        <v>0</v>
      </c>
      <c r="AI121" s="692">
        <v>0</v>
      </c>
      <c r="AJ121" s="692">
        <v>0</v>
      </c>
      <c r="AK121" s="692">
        <v>0</v>
      </c>
      <c r="AL121" s="692">
        <v>0</v>
      </c>
      <c r="AM121" s="692">
        <v>0</v>
      </c>
      <c r="AN121" s="692">
        <v>0</v>
      </c>
      <c r="AO121" s="692">
        <v>0</v>
      </c>
      <c r="AP121" s="498">
        <v>0</v>
      </c>
      <c r="AQ121" s="498">
        <v>0</v>
      </c>
      <c r="AR121" s="692">
        <v>3.5680424999999998</v>
      </c>
      <c r="AS121" s="692">
        <v>0.77220916666666695</v>
      </c>
      <c r="AT121" s="498">
        <v>26321.625</v>
      </c>
      <c r="AU121" s="695">
        <v>5696.625</v>
      </c>
    </row>
    <row r="122" spans="1:47" ht="12" thickBot="1">
      <c r="A122" s="937"/>
      <c r="B122" s="938"/>
      <c r="C122" s="938"/>
      <c r="D122" s="938"/>
      <c r="E122" s="938"/>
      <c r="F122" s="690" t="s">
        <v>312</v>
      </c>
      <c r="G122" s="690" t="s">
        <v>312</v>
      </c>
      <c r="H122" s="691">
        <v>170509</v>
      </c>
      <c r="I122" s="692">
        <v>30000000</v>
      </c>
      <c r="J122" s="692">
        <v>2.75</v>
      </c>
      <c r="K122" s="692">
        <v>312661977.68970001</v>
      </c>
      <c r="L122" s="693"/>
      <c r="M122" s="692">
        <v>1541197.6168</v>
      </c>
      <c r="N122" s="694"/>
      <c r="O122" s="693"/>
      <c r="P122" s="693"/>
      <c r="Q122" s="693"/>
      <c r="R122" s="693"/>
      <c r="S122" s="498">
        <v>2.7601544780219802</v>
      </c>
      <c r="T122" s="692">
        <v>4.8631369382750602</v>
      </c>
      <c r="U122" s="692">
        <v>2.10298246025308</v>
      </c>
      <c r="V122" s="498">
        <v>725484.36292300001</v>
      </c>
      <c r="W122" s="692">
        <v>313723.61292300001</v>
      </c>
      <c r="X122" s="692">
        <v>-0.465824414202198</v>
      </c>
      <c r="Y122" s="692">
        <v>-69491.838839999997</v>
      </c>
      <c r="Z122" s="692">
        <v>0</v>
      </c>
      <c r="AA122" s="692">
        <v>0</v>
      </c>
      <c r="AB122" s="692">
        <v>0</v>
      </c>
      <c r="AC122" s="692">
        <v>0</v>
      </c>
      <c r="AD122" s="692">
        <v>0</v>
      </c>
      <c r="AE122" s="692">
        <v>0</v>
      </c>
      <c r="AF122" s="692">
        <v>0</v>
      </c>
      <c r="AG122" s="692">
        <v>0</v>
      </c>
      <c r="AH122" s="692">
        <v>0</v>
      </c>
      <c r="AI122" s="692">
        <v>0</v>
      </c>
      <c r="AJ122" s="692">
        <v>0</v>
      </c>
      <c r="AK122" s="692">
        <v>0</v>
      </c>
      <c r="AL122" s="692">
        <v>0</v>
      </c>
      <c r="AM122" s="692">
        <v>0</v>
      </c>
      <c r="AN122" s="692">
        <v>0</v>
      </c>
      <c r="AO122" s="692">
        <v>0</v>
      </c>
      <c r="AP122" s="498">
        <v>0</v>
      </c>
      <c r="AQ122" s="498">
        <v>0</v>
      </c>
      <c r="AR122" s="692">
        <v>4.3973125240728601</v>
      </c>
      <c r="AS122" s="692">
        <v>1.6371580460508799</v>
      </c>
      <c r="AT122" s="498">
        <v>655992.52408300003</v>
      </c>
      <c r="AU122" s="695">
        <v>244231.774083</v>
      </c>
    </row>
    <row r="123" spans="1:47" ht="12" thickBot="1">
      <c r="A123" s="937"/>
      <c r="B123" s="936" t="s">
        <v>218</v>
      </c>
      <c r="C123" s="936" t="s">
        <v>325</v>
      </c>
      <c r="D123" s="936" t="s">
        <v>326</v>
      </c>
      <c r="E123" s="690" t="s">
        <v>327</v>
      </c>
      <c r="F123" s="690" t="s">
        <v>327</v>
      </c>
      <c r="G123" s="690" t="s">
        <v>327</v>
      </c>
      <c r="H123" s="691">
        <v>170301</v>
      </c>
      <c r="I123" s="692">
        <v>10276395210.9408</v>
      </c>
      <c r="J123" s="692">
        <v>0.34485116439945501</v>
      </c>
      <c r="K123" s="692">
        <v>10322724995.2173</v>
      </c>
      <c r="L123" s="693"/>
      <c r="M123" s="692">
        <v>17988223.408599999</v>
      </c>
      <c r="N123" s="694"/>
      <c r="O123" s="693"/>
      <c r="P123" s="693"/>
      <c r="Q123" s="693"/>
      <c r="R123" s="693"/>
      <c r="S123" s="498">
        <v>0.35043192142823099</v>
      </c>
      <c r="T123" s="692">
        <v>3.35652272971865</v>
      </c>
      <c r="U123" s="692">
        <v>3.0060908082904101</v>
      </c>
      <c r="V123" s="498">
        <v>172295605.63435</v>
      </c>
      <c r="W123" s="692">
        <v>154307382.40514299</v>
      </c>
      <c r="X123" s="692">
        <v>-0.25044129553080902</v>
      </c>
      <c r="Y123" s="692">
        <v>-12855546.696372001</v>
      </c>
      <c r="Z123" s="692">
        <v>0</v>
      </c>
      <c r="AA123" s="692">
        <v>0</v>
      </c>
      <c r="AB123" s="692">
        <v>3.7950831000000003E-8</v>
      </c>
      <c r="AC123" s="692">
        <v>1.9480759999999999</v>
      </c>
      <c r="AD123" s="692">
        <v>0</v>
      </c>
      <c r="AE123" s="692">
        <v>0</v>
      </c>
      <c r="AF123" s="692">
        <v>0</v>
      </c>
      <c r="AG123" s="692">
        <v>0</v>
      </c>
      <c r="AH123" s="692">
        <v>0</v>
      </c>
      <c r="AI123" s="692">
        <v>0</v>
      </c>
      <c r="AJ123" s="692">
        <v>0</v>
      </c>
      <c r="AK123" s="692">
        <v>0</v>
      </c>
      <c r="AL123" s="692">
        <v>0</v>
      </c>
      <c r="AM123" s="692">
        <v>0</v>
      </c>
      <c r="AN123" s="692">
        <v>0</v>
      </c>
      <c r="AO123" s="692">
        <v>0</v>
      </c>
      <c r="AP123" s="498">
        <v>0</v>
      </c>
      <c r="AQ123" s="498">
        <v>0</v>
      </c>
      <c r="AR123" s="692">
        <v>3.1060814717653402</v>
      </c>
      <c r="AS123" s="692">
        <v>2.7556495503370999</v>
      </c>
      <c r="AT123" s="498">
        <v>159440060.866891</v>
      </c>
      <c r="AU123" s="695">
        <v>141451837.637683</v>
      </c>
    </row>
    <row r="124" spans="1:47" ht="12" thickBot="1">
      <c r="A124" s="937"/>
      <c r="B124" s="937"/>
      <c r="C124" s="937"/>
      <c r="D124" s="937"/>
      <c r="E124" s="690" t="s">
        <v>328</v>
      </c>
      <c r="F124" s="690" t="s">
        <v>328</v>
      </c>
      <c r="G124" s="690" t="s">
        <v>328</v>
      </c>
      <c r="H124" s="691">
        <v>170302</v>
      </c>
      <c r="I124" s="692">
        <v>64271540197.190002</v>
      </c>
      <c r="J124" s="692">
        <v>0.30020245253553302</v>
      </c>
      <c r="K124" s="692">
        <v>60461912973.666901</v>
      </c>
      <c r="L124" s="693"/>
      <c r="M124" s="692">
        <v>91686942.909999996</v>
      </c>
      <c r="N124" s="694"/>
      <c r="O124" s="693"/>
      <c r="P124" s="693"/>
      <c r="Q124" s="693"/>
      <c r="R124" s="693"/>
      <c r="S124" s="498">
        <v>0.30495484049857302</v>
      </c>
      <c r="T124" s="692">
        <v>3.3656310461437799</v>
      </c>
      <c r="U124" s="692">
        <v>3.0606762056452101</v>
      </c>
      <c r="V124" s="498">
        <v>1011902552.89982</v>
      </c>
      <c r="W124" s="692">
        <v>920215562.43981802</v>
      </c>
      <c r="X124" s="692">
        <v>-0.25118039744429999</v>
      </c>
      <c r="Y124" s="692">
        <v>-75519295.468675002</v>
      </c>
      <c r="Z124" s="692">
        <v>0</v>
      </c>
      <c r="AA124" s="692">
        <v>0</v>
      </c>
      <c r="AB124" s="692">
        <v>5.5089225782000003E-4</v>
      </c>
      <c r="AC124" s="692">
        <v>165629.944108</v>
      </c>
      <c r="AD124" s="692">
        <v>0</v>
      </c>
      <c r="AE124" s="692">
        <v>0</v>
      </c>
      <c r="AF124" s="692">
        <v>0</v>
      </c>
      <c r="AG124" s="692">
        <v>0</v>
      </c>
      <c r="AH124" s="692">
        <v>0</v>
      </c>
      <c r="AI124" s="692">
        <v>0</v>
      </c>
      <c r="AJ124" s="692">
        <v>0</v>
      </c>
      <c r="AK124" s="692">
        <v>0</v>
      </c>
      <c r="AL124" s="692">
        <v>0</v>
      </c>
      <c r="AM124" s="692">
        <v>0</v>
      </c>
      <c r="AN124" s="692">
        <v>0</v>
      </c>
      <c r="AO124" s="692">
        <v>0</v>
      </c>
      <c r="AP124" s="498">
        <v>0</v>
      </c>
      <c r="AQ124" s="498">
        <v>0</v>
      </c>
      <c r="AR124" s="692">
        <v>3.1150015374197699</v>
      </c>
      <c r="AS124" s="692">
        <v>2.8100466969211801</v>
      </c>
      <c r="AT124" s="498">
        <v>936548886.31166399</v>
      </c>
      <c r="AU124" s="695">
        <v>844861895.85166097</v>
      </c>
    </row>
    <row r="125" spans="1:47" ht="12" thickBot="1">
      <c r="A125" s="937"/>
      <c r="B125" s="937"/>
      <c r="C125" s="937"/>
      <c r="D125" s="937"/>
      <c r="E125" s="690" t="s">
        <v>329</v>
      </c>
      <c r="F125" s="690" t="s">
        <v>329</v>
      </c>
      <c r="G125" s="690" t="s">
        <v>329</v>
      </c>
      <c r="H125" s="691">
        <v>170303</v>
      </c>
      <c r="I125" s="692">
        <v>203261367.90000001</v>
      </c>
      <c r="J125" s="692">
        <v>0.30002026844324903</v>
      </c>
      <c r="K125" s="692">
        <v>164355773.05160001</v>
      </c>
      <c r="L125" s="693"/>
      <c r="M125" s="692">
        <v>249160.44</v>
      </c>
      <c r="N125" s="694"/>
      <c r="O125" s="693"/>
      <c r="P125" s="693"/>
      <c r="Q125" s="693"/>
      <c r="R125" s="693"/>
      <c r="S125" s="498">
        <v>0.30486237112913001</v>
      </c>
      <c r="T125" s="692">
        <v>3.3638986444388901</v>
      </c>
      <c r="U125" s="692">
        <v>3.0590362733097498</v>
      </c>
      <c r="V125" s="498">
        <v>2749274.9048020002</v>
      </c>
      <c r="W125" s="692">
        <v>2500114.4648020002</v>
      </c>
      <c r="X125" s="692">
        <v>-0.25102537555931798</v>
      </c>
      <c r="Y125" s="692">
        <v>-205160.09500900001</v>
      </c>
      <c r="Z125" s="692">
        <v>0</v>
      </c>
      <c r="AA125" s="692">
        <v>0</v>
      </c>
      <c r="AB125" s="692">
        <v>0</v>
      </c>
      <c r="AC125" s="692">
        <v>0</v>
      </c>
      <c r="AD125" s="692">
        <v>0</v>
      </c>
      <c r="AE125" s="692">
        <v>0</v>
      </c>
      <c r="AF125" s="692">
        <v>0</v>
      </c>
      <c r="AG125" s="692">
        <v>0</v>
      </c>
      <c r="AH125" s="692">
        <v>0</v>
      </c>
      <c r="AI125" s="692">
        <v>0</v>
      </c>
      <c r="AJ125" s="692">
        <v>0</v>
      </c>
      <c r="AK125" s="692">
        <v>0</v>
      </c>
      <c r="AL125" s="692">
        <v>0</v>
      </c>
      <c r="AM125" s="692">
        <v>0</v>
      </c>
      <c r="AN125" s="692">
        <v>0</v>
      </c>
      <c r="AO125" s="692">
        <v>0</v>
      </c>
      <c r="AP125" s="498">
        <v>0</v>
      </c>
      <c r="AQ125" s="498">
        <v>0</v>
      </c>
      <c r="AR125" s="692">
        <v>3.1128732731045301</v>
      </c>
      <c r="AS125" s="692">
        <v>2.8080109019753801</v>
      </c>
      <c r="AT125" s="498">
        <v>2544114.8132460001</v>
      </c>
      <c r="AU125" s="695">
        <v>2294954.3732460001</v>
      </c>
    </row>
    <row r="126" spans="1:47" ht="12" thickBot="1">
      <c r="A126" s="937"/>
      <c r="B126" s="937"/>
      <c r="C126" s="937"/>
      <c r="D126" s="937"/>
      <c r="E126" s="690" t="s">
        <v>330</v>
      </c>
      <c r="F126" s="690" t="s">
        <v>330</v>
      </c>
      <c r="G126" s="690" t="s">
        <v>330</v>
      </c>
      <c r="H126" s="691">
        <v>170304</v>
      </c>
      <c r="I126" s="692">
        <v>78448867.2299999</v>
      </c>
      <c r="J126" s="692">
        <v>0.30000348451812803</v>
      </c>
      <c r="K126" s="692">
        <v>84237799.076100007</v>
      </c>
      <c r="L126" s="693"/>
      <c r="M126" s="692">
        <v>126982.83</v>
      </c>
      <c r="N126" s="694"/>
      <c r="O126" s="693"/>
      <c r="P126" s="693"/>
      <c r="Q126" s="693"/>
      <c r="R126" s="693"/>
      <c r="S126" s="498">
        <v>0.30498690405370799</v>
      </c>
      <c r="T126" s="692">
        <v>3.3652302948711101</v>
      </c>
      <c r="U126" s="692">
        <v>3.0426728623631401</v>
      </c>
      <c r="V126" s="498">
        <v>1413630.537921</v>
      </c>
      <c r="W126" s="692">
        <v>1278134.0051810001</v>
      </c>
      <c r="X126" s="692">
        <v>-0.25106001799890298</v>
      </c>
      <c r="Y126" s="692">
        <v>-105462.65105099999</v>
      </c>
      <c r="Z126" s="692">
        <v>0</v>
      </c>
      <c r="AA126" s="692">
        <v>0</v>
      </c>
      <c r="AB126" s="692">
        <v>0</v>
      </c>
      <c r="AC126" s="692">
        <v>0</v>
      </c>
      <c r="AD126" s="692">
        <v>0</v>
      </c>
      <c r="AE126" s="692">
        <v>0</v>
      </c>
      <c r="AF126" s="692">
        <v>0</v>
      </c>
      <c r="AG126" s="692">
        <v>0</v>
      </c>
      <c r="AH126" s="692">
        <v>0</v>
      </c>
      <c r="AI126" s="692">
        <v>0</v>
      </c>
      <c r="AJ126" s="692">
        <v>0</v>
      </c>
      <c r="AK126" s="692">
        <v>0</v>
      </c>
      <c r="AL126" s="692">
        <v>0</v>
      </c>
      <c r="AM126" s="692">
        <v>0</v>
      </c>
      <c r="AN126" s="692">
        <v>0</v>
      </c>
      <c r="AO126" s="692">
        <v>0</v>
      </c>
      <c r="AP126" s="498">
        <v>0</v>
      </c>
      <c r="AQ126" s="498">
        <v>0</v>
      </c>
      <c r="AR126" s="692">
        <v>3.1141702863515901</v>
      </c>
      <c r="AS126" s="692">
        <v>2.7930603010347799</v>
      </c>
      <c r="AT126" s="498">
        <v>1308167.8908520001</v>
      </c>
      <c r="AU126" s="695">
        <v>1173279.3865</v>
      </c>
    </row>
    <row r="127" spans="1:47" ht="12" thickBot="1">
      <c r="A127" s="937"/>
      <c r="B127" s="937"/>
      <c r="C127" s="937"/>
      <c r="D127" s="937"/>
      <c r="E127" s="690" t="s">
        <v>331</v>
      </c>
      <c r="F127" s="690" t="s">
        <v>331</v>
      </c>
      <c r="G127" s="690" t="s">
        <v>331</v>
      </c>
      <c r="H127" s="691">
        <v>170305</v>
      </c>
      <c r="I127" s="692">
        <v>38524081.720000103</v>
      </c>
      <c r="J127" s="692">
        <v>0.29988552744664698</v>
      </c>
      <c r="K127" s="692">
        <v>36597698.946999997</v>
      </c>
      <c r="L127" s="693"/>
      <c r="M127" s="692">
        <v>55297.279999999999</v>
      </c>
      <c r="N127" s="694"/>
      <c r="O127" s="693"/>
      <c r="P127" s="693"/>
      <c r="Q127" s="693"/>
      <c r="R127" s="693"/>
      <c r="S127" s="498">
        <v>0.30385029670923702</v>
      </c>
      <c r="T127" s="692">
        <v>3.3884951446588301</v>
      </c>
      <c r="U127" s="692">
        <v>3.0846448479492801</v>
      </c>
      <c r="V127" s="498">
        <v>616667.37476300006</v>
      </c>
      <c r="W127" s="692">
        <v>561370.09476300003</v>
      </c>
      <c r="X127" s="692">
        <v>-0.25176060477394002</v>
      </c>
      <c r="Y127" s="692">
        <v>-45817.551622999999</v>
      </c>
      <c r="Z127" s="692">
        <v>0</v>
      </c>
      <c r="AA127" s="692">
        <v>0</v>
      </c>
      <c r="AB127" s="692">
        <v>3.096953457645E-3</v>
      </c>
      <c r="AC127" s="692">
        <v>563.61012100000005</v>
      </c>
      <c r="AD127" s="692">
        <v>0</v>
      </c>
      <c r="AE127" s="692">
        <v>0</v>
      </c>
      <c r="AF127" s="692">
        <v>0</v>
      </c>
      <c r="AG127" s="692">
        <v>0</v>
      </c>
      <c r="AH127" s="692">
        <v>0</v>
      </c>
      <c r="AI127" s="692">
        <v>0</v>
      </c>
      <c r="AJ127" s="692">
        <v>0</v>
      </c>
      <c r="AK127" s="692">
        <v>0</v>
      </c>
      <c r="AL127" s="692">
        <v>0</v>
      </c>
      <c r="AM127" s="692">
        <v>0</v>
      </c>
      <c r="AN127" s="692">
        <v>0</v>
      </c>
      <c r="AO127" s="692">
        <v>0</v>
      </c>
      <c r="AP127" s="498">
        <v>0</v>
      </c>
      <c r="AQ127" s="498">
        <v>0</v>
      </c>
      <c r="AR127" s="692">
        <v>3.13983586972186</v>
      </c>
      <c r="AS127" s="692">
        <v>2.8359855730122998</v>
      </c>
      <c r="AT127" s="498">
        <v>571414.22971199895</v>
      </c>
      <c r="AU127" s="695">
        <v>516116.94971199898</v>
      </c>
    </row>
    <row r="128" spans="1:47" ht="12" thickBot="1">
      <c r="A128" s="937"/>
      <c r="B128" s="937"/>
      <c r="C128" s="937"/>
      <c r="D128" s="937"/>
      <c r="E128" s="690" t="s">
        <v>332</v>
      </c>
      <c r="F128" s="690" t="s">
        <v>332</v>
      </c>
      <c r="G128" s="690" t="s">
        <v>332</v>
      </c>
      <c r="H128" s="691">
        <v>170307</v>
      </c>
      <c r="I128" s="692">
        <v>51187.899999999601</v>
      </c>
      <c r="J128" s="692">
        <v>0</v>
      </c>
      <c r="K128" s="692">
        <v>47722.078500000003</v>
      </c>
      <c r="L128" s="693"/>
      <c r="M128" s="692">
        <v>0</v>
      </c>
      <c r="N128" s="694"/>
      <c r="O128" s="693"/>
      <c r="P128" s="693"/>
      <c r="Q128" s="693"/>
      <c r="R128" s="693"/>
      <c r="S128" s="498">
        <v>0</v>
      </c>
      <c r="T128" s="692">
        <v>3.3689772912499598</v>
      </c>
      <c r="U128" s="692">
        <v>3.3689772912499598</v>
      </c>
      <c r="V128" s="498">
        <v>799.48027399999796</v>
      </c>
      <c r="W128" s="692">
        <v>799.48027399999796</v>
      </c>
      <c r="X128" s="692">
        <v>-0.212163202197301</v>
      </c>
      <c r="Y128" s="692">
        <v>-50.347710999999897</v>
      </c>
      <c r="Z128" s="692">
        <v>0</v>
      </c>
      <c r="AA128" s="692">
        <v>0</v>
      </c>
      <c r="AB128" s="692">
        <v>2.231451550303E-3</v>
      </c>
      <c r="AC128" s="692">
        <v>0.52953799999999995</v>
      </c>
      <c r="AD128" s="692">
        <v>0</v>
      </c>
      <c r="AE128" s="692">
        <v>0</v>
      </c>
      <c r="AF128" s="692">
        <v>0</v>
      </c>
      <c r="AG128" s="692">
        <v>0</v>
      </c>
      <c r="AH128" s="692">
        <v>0</v>
      </c>
      <c r="AI128" s="692">
        <v>0</v>
      </c>
      <c r="AJ128" s="692">
        <v>0</v>
      </c>
      <c r="AK128" s="692">
        <v>0</v>
      </c>
      <c r="AL128" s="692">
        <v>0</v>
      </c>
      <c r="AM128" s="692">
        <v>0</v>
      </c>
      <c r="AN128" s="692">
        <v>0</v>
      </c>
      <c r="AO128" s="692">
        <v>0</v>
      </c>
      <c r="AP128" s="498">
        <v>0</v>
      </c>
      <c r="AQ128" s="498">
        <v>0</v>
      </c>
      <c r="AR128" s="692">
        <v>3.1282609459491102</v>
      </c>
      <c r="AS128" s="692">
        <v>3.1282609459491102</v>
      </c>
      <c r="AT128" s="498">
        <v>742.35671599999796</v>
      </c>
      <c r="AU128" s="695">
        <v>742.35671599999796</v>
      </c>
    </row>
    <row r="129" spans="1:47" ht="12" thickBot="1">
      <c r="A129" s="937"/>
      <c r="B129" s="937"/>
      <c r="C129" s="938"/>
      <c r="D129" s="938"/>
      <c r="E129" s="690" t="s">
        <v>333</v>
      </c>
      <c r="F129" s="690" t="s">
        <v>333</v>
      </c>
      <c r="G129" s="690" t="s">
        <v>333</v>
      </c>
      <c r="H129" s="691">
        <v>170308</v>
      </c>
      <c r="I129" s="692">
        <v>1729952.93</v>
      </c>
      <c r="J129" s="692">
        <v>0.30017453422851198</v>
      </c>
      <c r="K129" s="692">
        <v>1617146.2633</v>
      </c>
      <c r="L129" s="693"/>
      <c r="M129" s="692">
        <v>2456.89</v>
      </c>
      <c r="N129" s="694"/>
      <c r="O129" s="693"/>
      <c r="P129" s="693"/>
      <c r="Q129" s="693"/>
      <c r="R129" s="693"/>
      <c r="S129" s="498">
        <v>0.30552454665543</v>
      </c>
      <c r="T129" s="692">
        <v>3.3803253471650798</v>
      </c>
      <c r="U129" s="692">
        <v>3.0748008005096401</v>
      </c>
      <c r="V129" s="498">
        <v>27183.045137000001</v>
      </c>
      <c r="W129" s="692">
        <v>24726.155137000002</v>
      </c>
      <c r="X129" s="692">
        <v>-0.25221955194780199</v>
      </c>
      <c r="Y129" s="692">
        <v>-2028.2353800000001</v>
      </c>
      <c r="Z129" s="692">
        <v>0</v>
      </c>
      <c r="AA129" s="692">
        <v>0</v>
      </c>
      <c r="AB129" s="692">
        <v>1.133534108036E-2</v>
      </c>
      <c r="AC129" s="692">
        <v>91.153677999999999</v>
      </c>
      <c r="AD129" s="692">
        <v>0</v>
      </c>
      <c r="AE129" s="692">
        <v>0</v>
      </c>
      <c r="AF129" s="692">
        <v>0</v>
      </c>
      <c r="AG129" s="692">
        <v>0</v>
      </c>
      <c r="AH129" s="692">
        <v>0</v>
      </c>
      <c r="AI129" s="692">
        <v>0</v>
      </c>
      <c r="AJ129" s="692">
        <v>0</v>
      </c>
      <c r="AK129" s="692">
        <v>0</v>
      </c>
      <c r="AL129" s="692">
        <v>0</v>
      </c>
      <c r="AM129" s="692">
        <v>0</v>
      </c>
      <c r="AN129" s="692">
        <v>0</v>
      </c>
      <c r="AO129" s="692">
        <v>0</v>
      </c>
      <c r="AP129" s="498">
        <v>0</v>
      </c>
      <c r="AQ129" s="498">
        <v>0</v>
      </c>
      <c r="AR129" s="692">
        <v>3.13944116104412</v>
      </c>
      <c r="AS129" s="692">
        <v>2.8339166143886798</v>
      </c>
      <c r="AT129" s="498">
        <v>25245.963634</v>
      </c>
      <c r="AU129" s="695">
        <v>22789.073634</v>
      </c>
    </row>
    <row r="130" spans="1:47" ht="12" thickBot="1">
      <c r="A130" s="937"/>
      <c r="B130" s="937"/>
      <c r="C130" s="936" t="s">
        <v>334</v>
      </c>
      <c r="D130" s="936" t="s">
        <v>335</v>
      </c>
      <c r="E130" s="690" t="s">
        <v>336</v>
      </c>
      <c r="F130" s="690" t="s">
        <v>336</v>
      </c>
      <c r="G130" s="690" t="s">
        <v>336</v>
      </c>
      <c r="H130" s="691">
        <v>170311</v>
      </c>
      <c r="I130" s="692">
        <v>3963097426.9662199</v>
      </c>
      <c r="J130" s="692">
        <v>1.42729320128043</v>
      </c>
      <c r="K130" s="692">
        <v>3992779836.4489002</v>
      </c>
      <c r="L130" s="693"/>
      <c r="M130" s="692">
        <v>26054630.600499999</v>
      </c>
      <c r="N130" s="694"/>
      <c r="O130" s="693"/>
      <c r="P130" s="693"/>
      <c r="Q130" s="693"/>
      <c r="R130" s="693"/>
      <c r="S130" s="498">
        <v>1.31225810535303</v>
      </c>
      <c r="T130" s="692">
        <v>3.2720128897496199</v>
      </c>
      <c r="U130" s="692">
        <v>1.9597547843965799</v>
      </c>
      <c r="V130" s="498">
        <v>64965181.8003041</v>
      </c>
      <c r="W130" s="692">
        <v>38910551.437981002</v>
      </c>
      <c r="X130" s="692">
        <v>-0.23804653665175099</v>
      </c>
      <c r="Y130" s="692">
        <v>-4726367.8511049999</v>
      </c>
      <c r="Z130" s="692">
        <v>0</v>
      </c>
      <c r="AA130" s="692">
        <v>0</v>
      </c>
      <c r="AB130" s="692">
        <v>2.9591459703400002E-4</v>
      </c>
      <c r="AC130" s="692">
        <v>5875.3269749999999</v>
      </c>
      <c r="AD130" s="692">
        <v>0</v>
      </c>
      <c r="AE130" s="692">
        <v>0</v>
      </c>
      <c r="AF130" s="692">
        <v>0</v>
      </c>
      <c r="AG130" s="692">
        <v>0</v>
      </c>
      <c r="AH130" s="692">
        <v>0</v>
      </c>
      <c r="AI130" s="692">
        <v>0</v>
      </c>
      <c r="AJ130" s="692">
        <v>0</v>
      </c>
      <c r="AK130" s="692">
        <v>0</v>
      </c>
      <c r="AL130" s="692">
        <v>0</v>
      </c>
      <c r="AM130" s="692">
        <v>0</v>
      </c>
      <c r="AN130" s="692">
        <v>0</v>
      </c>
      <c r="AO130" s="692">
        <v>0</v>
      </c>
      <c r="AP130" s="498">
        <v>0</v>
      </c>
      <c r="AQ130" s="498">
        <v>0</v>
      </c>
      <c r="AR130" s="692">
        <v>3.03426226785083</v>
      </c>
      <c r="AS130" s="692">
        <v>1.72200416249779</v>
      </c>
      <c r="AT130" s="498">
        <v>60244689.279270001</v>
      </c>
      <c r="AU130" s="695">
        <v>34190058.916947</v>
      </c>
    </row>
    <row r="131" spans="1:47" ht="12" thickBot="1">
      <c r="A131" s="937"/>
      <c r="B131" s="937"/>
      <c r="C131" s="937"/>
      <c r="D131" s="937"/>
      <c r="E131" s="690" t="s">
        <v>337</v>
      </c>
      <c r="F131" s="690" t="s">
        <v>337</v>
      </c>
      <c r="G131" s="690" t="s">
        <v>337</v>
      </c>
      <c r="H131" s="691">
        <v>170312</v>
      </c>
      <c r="I131" s="692">
        <v>5997176126.6624298</v>
      </c>
      <c r="J131" s="692">
        <v>1.68303352333921</v>
      </c>
      <c r="K131" s="692">
        <v>5865593929.0417995</v>
      </c>
      <c r="L131" s="693"/>
      <c r="M131" s="692">
        <v>46855767.2557</v>
      </c>
      <c r="N131" s="694"/>
      <c r="O131" s="693"/>
      <c r="P131" s="693"/>
      <c r="Q131" s="693"/>
      <c r="R131" s="693"/>
      <c r="S131" s="498">
        <v>1.60642615578958</v>
      </c>
      <c r="T131" s="692">
        <v>3.4586795642046999</v>
      </c>
      <c r="U131" s="692">
        <v>1.8522534084151201</v>
      </c>
      <c r="V131" s="498">
        <v>100881750.43097299</v>
      </c>
      <c r="W131" s="692">
        <v>54025983.7935059</v>
      </c>
      <c r="X131" s="692">
        <v>-0.26607169757377702</v>
      </c>
      <c r="Y131" s="692">
        <v>-7760701.1846890002</v>
      </c>
      <c r="Z131" s="692">
        <v>0</v>
      </c>
      <c r="AA131" s="692">
        <v>0</v>
      </c>
      <c r="AB131" s="692">
        <v>3.0513027696600002E-4</v>
      </c>
      <c r="AC131" s="692">
        <v>8899.9503650000006</v>
      </c>
      <c r="AD131" s="692">
        <v>0</v>
      </c>
      <c r="AE131" s="692">
        <v>0</v>
      </c>
      <c r="AF131" s="692">
        <v>0</v>
      </c>
      <c r="AG131" s="692">
        <v>0</v>
      </c>
      <c r="AH131" s="692">
        <v>0</v>
      </c>
      <c r="AI131" s="692">
        <v>0</v>
      </c>
      <c r="AJ131" s="692">
        <v>0</v>
      </c>
      <c r="AK131" s="692">
        <v>0</v>
      </c>
      <c r="AL131" s="692">
        <v>0</v>
      </c>
      <c r="AM131" s="692">
        <v>0</v>
      </c>
      <c r="AN131" s="692">
        <v>0</v>
      </c>
      <c r="AO131" s="692">
        <v>0</v>
      </c>
      <c r="AP131" s="498">
        <v>0</v>
      </c>
      <c r="AQ131" s="498">
        <v>0</v>
      </c>
      <c r="AR131" s="692">
        <v>3.19291300198896</v>
      </c>
      <c r="AS131" s="692">
        <v>1.58648684619938</v>
      </c>
      <c r="AT131" s="498">
        <v>93129949.344852105</v>
      </c>
      <c r="AU131" s="695">
        <v>46274182.707384899</v>
      </c>
    </row>
    <row r="132" spans="1:47" ht="12" thickBot="1">
      <c r="A132" s="937"/>
      <c r="B132" s="937"/>
      <c r="C132" s="937"/>
      <c r="D132" s="937"/>
      <c r="E132" s="690" t="s">
        <v>338</v>
      </c>
      <c r="F132" s="690" t="s">
        <v>338</v>
      </c>
      <c r="G132" s="690" t="s">
        <v>338</v>
      </c>
      <c r="H132" s="691">
        <v>170313</v>
      </c>
      <c r="I132" s="692">
        <v>5171.87</v>
      </c>
      <c r="J132" s="692">
        <v>0.35</v>
      </c>
      <c r="K132" s="692">
        <v>5171.87</v>
      </c>
      <c r="L132" s="693"/>
      <c r="M132" s="692">
        <v>7.85</v>
      </c>
      <c r="N132" s="694"/>
      <c r="O132" s="693"/>
      <c r="P132" s="693"/>
      <c r="Q132" s="693"/>
      <c r="R132" s="693"/>
      <c r="S132" s="498">
        <v>0.305233189083711</v>
      </c>
      <c r="T132" s="692">
        <v>1.8838312362924701</v>
      </c>
      <c r="U132" s="692">
        <v>1.57859804720876</v>
      </c>
      <c r="V132" s="498">
        <v>48.448450999999999</v>
      </c>
      <c r="W132" s="692">
        <v>40.598450999999997</v>
      </c>
      <c r="X132" s="692">
        <v>-3.7837172717322003E-2</v>
      </c>
      <c r="Y132" s="692">
        <v>-0.97309800000000002</v>
      </c>
      <c r="Z132" s="692">
        <v>0</v>
      </c>
      <c r="AA132" s="692">
        <v>0</v>
      </c>
      <c r="AB132" s="692">
        <v>0</v>
      </c>
      <c r="AC132" s="692">
        <v>0</v>
      </c>
      <c r="AD132" s="692">
        <v>0</v>
      </c>
      <c r="AE132" s="692">
        <v>0</v>
      </c>
      <c r="AF132" s="692">
        <v>0</v>
      </c>
      <c r="AG132" s="692">
        <v>0</v>
      </c>
      <c r="AH132" s="692">
        <v>0</v>
      </c>
      <c r="AI132" s="692">
        <v>0</v>
      </c>
      <c r="AJ132" s="692">
        <v>0</v>
      </c>
      <c r="AK132" s="692">
        <v>0</v>
      </c>
      <c r="AL132" s="692">
        <v>0</v>
      </c>
      <c r="AM132" s="692">
        <v>0</v>
      </c>
      <c r="AN132" s="692">
        <v>0</v>
      </c>
      <c r="AO132" s="692">
        <v>0</v>
      </c>
      <c r="AP132" s="498">
        <v>0</v>
      </c>
      <c r="AQ132" s="498">
        <v>0</v>
      </c>
      <c r="AR132" s="692">
        <v>1.8459941024583599</v>
      </c>
      <c r="AS132" s="692">
        <v>1.54076091337465</v>
      </c>
      <c r="AT132" s="498">
        <v>47.475354000000003</v>
      </c>
      <c r="AU132" s="695">
        <v>39.625354000000002</v>
      </c>
    </row>
    <row r="133" spans="1:47" ht="12" thickBot="1">
      <c r="A133" s="937"/>
      <c r="B133" s="937"/>
      <c r="C133" s="937"/>
      <c r="D133" s="937"/>
      <c r="E133" s="690" t="s">
        <v>339</v>
      </c>
      <c r="F133" s="690" t="s">
        <v>339</v>
      </c>
      <c r="G133" s="690" t="s">
        <v>339</v>
      </c>
      <c r="H133" s="691">
        <v>170314</v>
      </c>
      <c r="I133" s="692">
        <v>50575675823.170601</v>
      </c>
      <c r="J133" s="692">
        <v>2.0720269364416302</v>
      </c>
      <c r="K133" s="692">
        <v>50853297820.730202</v>
      </c>
      <c r="L133" s="693"/>
      <c r="M133" s="692">
        <v>552773723.88979995</v>
      </c>
      <c r="N133" s="694"/>
      <c r="O133" s="693"/>
      <c r="P133" s="693"/>
      <c r="Q133" s="693"/>
      <c r="R133" s="693"/>
      <c r="S133" s="498">
        <v>2.1859386895926098</v>
      </c>
      <c r="T133" s="692">
        <v>3.8847387808648599</v>
      </c>
      <c r="U133" s="692">
        <v>1.6988000912722501</v>
      </c>
      <c r="V133" s="498">
        <v>982361262.192559</v>
      </c>
      <c r="W133" s="692">
        <v>429587546.55403298</v>
      </c>
      <c r="X133" s="692">
        <v>-0.32596861104421698</v>
      </c>
      <c r="Y133" s="692">
        <v>-82429979.013739899</v>
      </c>
      <c r="Z133" s="692">
        <v>0</v>
      </c>
      <c r="AA133" s="692">
        <v>0</v>
      </c>
      <c r="AB133" s="692">
        <v>7.76361009054E-4</v>
      </c>
      <c r="AC133" s="692">
        <v>196323.877561</v>
      </c>
      <c r="AD133" s="692">
        <v>0</v>
      </c>
      <c r="AE133" s="692">
        <v>0</v>
      </c>
      <c r="AF133" s="692">
        <v>0</v>
      </c>
      <c r="AG133" s="692">
        <v>0</v>
      </c>
      <c r="AH133" s="692">
        <v>0</v>
      </c>
      <c r="AI133" s="692">
        <v>0</v>
      </c>
      <c r="AJ133" s="692">
        <v>0</v>
      </c>
      <c r="AK133" s="692">
        <v>0</v>
      </c>
      <c r="AL133" s="692">
        <v>0</v>
      </c>
      <c r="AM133" s="692">
        <v>0</v>
      </c>
      <c r="AN133" s="692">
        <v>0</v>
      </c>
      <c r="AO133" s="692">
        <v>0</v>
      </c>
      <c r="AP133" s="498">
        <v>0</v>
      </c>
      <c r="AQ133" s="498">
        <v>0</v>
      </c>
      <c r="AR133" s="692">
        <v>3.5595465516948099</v>
      </c>
      <c r="AS133" s="692">
        <v>1.3736078621021901</v>
      </c>
      <c r="AT133" s="498">
        <v>900127612.33268702</v>
      </c>
      <c r="AU133" s="695">
        <v>347353896.69415998</v>
      </c>
    </row>
    <row r="134" spans="1:47" ht="12" thickBot="1">
      <c r="A134" s="937"/>
      <c r="B134" s="937"/>
      <c r="C134" s="937"/>
      <c r="D134" s="937"/>
      <c r="E134" s="690" t="s">
        <v>340</v>
      </c>
      <c r="F134" s="690" t="s">
        <v>340</v>
      </c>
      <c r="G134" s="690" t="s">
        <v>340</v>
      </c>
      <c r="H134" s="691">
        <v>170315</v>
      </c>
      <c r="I134" s="692">
        <v>16918448313.007401</v>
      </c>
      <c r="J134" s="692">
        <v>3.3550508535441499</v>
      </c>
      <c r="K134" s="692">
        <v>17404519852.9226</v>
      </c>
      <c r="L134" s="693"/>
      <c r="M134" s="692">
        <v>287316665.454</v>
      </c>
      <c r="N134" s="694"/>
      <c r="O134" s="693"/>
      <c r="P134" s="693"/>
      <c r="Q134" s="693"/>
      <c r="R134" s="693"/>
      <c r="S134" s="498">
        <v>3.3197736830829498</v>
      </c>
      <c r="T134" s="692">
        <v>4.9740671842569704</v>
      </c>
      <c r="U134" s="692">
        <v>1.6542935011740201</v>
      </c>
      <c r="V134" s="498">
        <v>430490907.74906802</v>
      </c>
      <c r="W134" s="692">
        <v>143174244.460908</v>
      </c>
      <c r="X134" s="692">
        <v>-0.48140622698090302</v>
      </c>
      <c r="Y134" s="692">
        <v>-41664295.228055</v>
      </c>
      <c r="Z134" s="692">
        <v>0</v>
      </c>
      <c r="AA134" s="692">
        <v>0</v>
      </c>
      <c r="AB134" s="692">
        <v>7.2329135640999997E-5</v>
      </c>
      <c r="AC134" s="692">
        <v>6259.8742849999999</v>
      </c>
      <c r="AD134" s="692">
        <v>0</v>
      </c>
      <c r="AE134" s="692">
        <v>0</v>
      </c>
      <c r="AF134" s="692">
        <v>0</v>
      </c>
      <c r="AG134" s="692">
        <v>0</v>
      </c>
      <c r="AH134" s="692">
        <v>0</v>
      </c>
      <c r="AI134" s="692">
        <v>0</v>
      </c>
      <c r="AJ134" s="692">
        <v>0</v>
      </c>
      <c r="AK134" s="692">
        <v>0</v>
      </c>
      <c r="AL134" s="692">
        <v>0</v>
      </c>
      <c r="AM134" s="692">
        <v>0</v>
      </c>
      <c r="AN134" s="692">
        <v>0</v>
      </c>
      <c r="AO134" s="692">
        <v>0</v>
      </c>
      <c r="AP134" s="498">
        <v>0</v>
      </c>
      <c r="AQ134" s="498">
        <v>0</v>
      </c>
      <c r="AR134" s="692">
        <v>4.4927332817683299</v>
      </c>
      <c r="AS134" s="692">
        <v>1.17295959868538</v>
      </c>
      <c r="AT134" s="498">
        <v>388832871.99342799</v>
      </c>
      <c r="AU134" s="695">
        <v>101516208.705267</v>
      </c>
    </row>
    <row r="135" spans="1:47" ht="12" thickBot="1">
      <c r="A135" s="937"/>
      <c r="B135" s="937"/>
      <c r="C135" s="937"/>
      <c r="D135" s="937"/>
      <c r="E135" s="690" t="s">
        <v>341</v>
      </c>
      <c r="F135" s="690" t="s">
        <v>341</v>
      </c>
      <c r="G135" s="690" t="s">
        <v>341</v>
      </c>
      <c r="H135" s="691">
        <v>170316</v>
      </c>
      <c r="I135" s="692">
        <v>16516180810.219999</v>
      </c>
      <c r="J135" s="692">
        <v>4.3088575730020899</v>
      </c>
      <c r="K135" s="692">
        <v>16696246494.2225</v>
      </c>
      <c r="L135" s="693"/>
      <c r="M135" s="692">
        <v>342114699.57999998</v>
      </c>
      <c r="N135" s="694"/>
      <c r="O135" s="693"/>
      <c r="P135" s="693"/>
      <c r="Q135" s="693"/>
      <c r="R135" s="693"/>
      <c r="S135" s="498">
        <v>4.1206201740687103</v>
      </c>
      <c r="T135" s="692">
        <v>5.3942181344339204</v>
      </c>
      <c r="U135" s="692">
        <v>1.2735979603652201</v>
      </c>
      <c r="V135" s="498">
        <v>447855235.03095901</v>
      </c>
      <c r="W135" s="692">
        <v>105740535.450959</v>
      </c>
      <c r="X135" s="692">
        <v>-0.54173671864032302</v>
      </c>
      <c r="Y135" s="692">
        <v>-44977718.624837004</v>
      </c>
      <c r="Z135" s="692">
        <v>0</v>
      </c>
      <c r="AA135" s="692">
        <v>0</v>
      </c>
      <c r="AB135" s="692">
        <v>2.44038709642E-4</v>
      </c>
      <c r="AC135" s="692">
        <v>20261.326282999999</v>
      </c>
      <c r="AD135" s="692">
        <v>0</v>
      </c>
      <c r="AE135" s="692">
        <v>0</v>
      </c>
      <c r="AF135" s="692">
        <v>0</v>
      </c>
      <c r="AG135" s="692">
        <v>0</v>
      </c>
      <c r="AH135" s="692">
        <v>0</v>
      </c>
      <c r="AI135" s="692">
        <v>0</v>
      </c>
      <c r="AJ135" s="692">
        <v>0</v>
      </c>
      <c r="AK135" s="692">
        <v>0</v>
      </c>
      <c r="AL135" s="692">
        <v>0</v>
      </c>
      <c r="AM135" s="692">
        <v>0</v>
      </c>
      <c r="AN135" s="692">
        <v>0</v>
      </c>
      <c r="AO135" s="692">
        <v>0</v>
      </c>
      <c r="AP135" s="498">
        <v>0</v>
      </c>
      <c r="AQ135" s="498">
        <v>0</v>
      </c>
      <c r="AR135" s="692">
        <v>4.8527254446462003</v>
      </c>
      <c r="AS135" s="692">
        <v>0.73210527057749197</v>
      </c>
      <c r="AT135" s="498">
        <v>402897776.91402298</v>
      </c>
      <c r="AU135" s="695">
        <v>60783077.334022999</v>
      </c>
    </row>
    <row r="136" spans="1:47" ht="12" thickBot="1">
      <c r="A136" s="937"/>
      <c r="B136" s="937"/>
      <c r="C136" s="937"/>
      <c r="D136" s="937"/>
      <c r="E136" s="690" t="s">
        <v>342</v>
      </c>
      <c r="F136" s="690" t="s">
        <v>342</v>
      </c>
      <c r="G136" s="690" t="s">
        <v>342</v>
      </c>
      <c r="H136" s="691">
        <v>170317</v>
      </c>
      <c r="I136" s="692">
        <v>6275813845.9799995</v>
      </c>
      <c r="J136" s="692">
        <v>5.0990580455051404</v>
      </c>
      <c r="K136" s="692">
        <v>6332066081.3868999</v>
      </c>
      <c r="L136" s="693"/>
      <c r="M136" s="692">
        <v>154049544.15000001</v>
      </c>
      <c r="N136" s="694"/>
      <c r="O136" s="693"/>
      <c r="P136" s="693"/>
      <c r="Q136" s="693"/>
      <c r="R136" s="693"/>
      <c r="S136" s="498">
        <v>4.8924306293038597</v>
      </c>
      <c r="T136" s="692">
        <v>5.8299299737735302</v>
      </c>
      <c r="U136" s="692">
        <v>0.93749934446967498</v>
      </c>
      <c r="V136" s="498">
        <v>183568888.94999501</v>
      </c>
      <c r="W136" s="692">
        <v>29519344.799995001</v>
      </c>
      <c r="X136" s="692">
        <v>-0.60406354196213397</v>
      </c>
      <c r="Y136" s="692">
        <v>-19020343.941011999</v>
      </c>
      <c r="Z136" s="692">
        <v>0</v>
      </c>
      <c r="AA136" s="692">
        <v>0</v>
      </c>
      <c r="AB136" s="692">
        <v>2.49069523722E-4</v>
      </c>
      <c r="AC136" s="692">
        <v>7842.5325769999999</v>
      </c>
      <c r="AD136" s="692">
        <v>0</v>
      </c>
      <c r="AE136" s="692">
        <v>0</v>
      </c>
      <c r="AF136" s="692">
        <v>0</v>
      </c>
      <c r="AG136" s="692">
        <v>0</v>
      </c>
      <c r="AH136" s="692">
        <v>0</v>
      </c>
      <c r="AI136" s="692">
        <v>0</v>
      </c>
      <c r="AJ136" s="692">
        <v>0</v>
      </c>
      <c r="AK136" s="692">
        <v>0</v>
      </c>
      <c r="AL136" s="692">
        <v>0</v>
      </c>
      <c r="AM136" s="692">
        <v>0</v>
      </c>
      <c r="AN136" s="692">
        <v>-4.9074869543855003E-2</v>
      </c>
      <c r="AO136" s="692">
        <v>-1545236.275231</v>
      </c>
      <c r="AP136" s="498">
        <v>0</v>
      </c>
      <c r="AQ136" s="498">
        <v>0</v>
      </c>
      <c r="AR136" s="692">
        <v>5.17704063486054</v>
      </c>
      <c r="AS136" s="692">
        <v>0.28461000555667398</v>
      </c>
      <c r="AT136" s="498">
        <v>163011151.36297199</v>
      </c>
      <c r="AU136" s="695">
        <v>8961607.2129720002</v>
      </c>
    </row>
    <row r="137" spans="1:47" ht="12" thickBot="1">
      <c r="A137" s="937"/>
      <c r="B137" s="937"/>
      <c r="C137" s="937"/>
      <c r="D137" s="937"/>
      <c r="E137" s="690" t="s">
        <v>343</v>
      </c>
      <c r="F137" s="690" t="s">
        <v>343</v>
      </c>
      <c r="G137" s="690" t="s">
        <v>343</v>
      </c>
      <c r="H137" s="691">
        <v>170318</v>
      </c>
      <c r="I137" s="692">
        <v>135161.23000000001</v>
      </c>
      <c r="J137" s="692">
        <v>0.35</v>
      </c>
      <c r="K137" s="692">
        <v>139213.9773</v>
      </c>
      <c r="L137" s="693"/>
      <c r="M137" s="692">
        <v>211.19</v>
      </c>
      <c r="N137" s="694"/>
      <c r="O137" s="693"/>
      <c r="P137" s="693"/>
      <c r="Q137" s="693"/>
      <c r="R137" s="693"/>
      <c r="S137" s="498">
        <v>0.30507049479589299</v>
      </c>
      <c r="T137" s="692">
        <v>1.89085114431003</v>
      </c>
      <c r="U137" s="692">
        <v>1.58578064951358</v>
      </c>
      <c r="V137" s="498">
        <v>1308.972385</v>
      </c>
      <c r="W137" s="692">
        <v>1097.782385</v>
      </c>
      <c r="X137" s="692">
        <v>-3.8047066320491998E-2</v>
      </c>
      <c r="Y137" s="692">
        <v>-26.338698999999998</v>
      </c>
      <c r="Z137" s="692">
        <v>0</v>
      </c>
      <c r="AA137" s="692">
        <v>0</v>
      </c>
      <c r="AB137" s="692">
        <v>0</v>
      </c>
      <c r="AC137" s="692">
        <v>0</v>
      </c>
      <c r="AD137" s="692">
        <v>0</v>
      </c>
      <c r="AE137" s="692">
        <v>0</v>
      </c>
      <c r="AF137" s="692">
        <v>0</v>
      </c>
      <c r="AG137" s="692">
        <v>0</v>
      </c>
      <c r="AH137" s="692">
        <v>0</v>
      </c>
      <c r="AI137" s="692">
        <v>0</v>
      </c>
      <c r="AJ137" s="692">
        <v>0</v>
      </c>
      <c r="AK137" s="692">
        <v>0</v>
      </c>
      <c r="AL137" s="692">
        <v>0</v>
      </c>
      <c r="AM137" s="692">
        <v>0</v>
      </c>
      <c r="AN137" s="692">
        <v>0</v>
      </c>
      <c r="AO137" s="692">
        <v>0</v>
      </c>
      <c r="AP137" s="498">
        <v>0</v>
      </c>
      <c r="AQ137" s="498">
        <v>0</v>
      </c>
      <c r="AR137" s="692">
        <v>1.85280282269213</v>
      </c>
      <c r="AS137" s="692">
        <v>1.54773232789568</v>
      </c>
      <c r="AT137" s="498">
        <v>1282.6328169999999</v>
      </c>
      <c r="AU137" s="695">
        <v>1071.4428170000001</v>
      </c>
    </row>
    <row r="138" spans="1:47" ht="12" thickBot="1">
      <c r="A138" s="937"/>
      <c r="B138" s="937"/>
      <c r="C138" s="937"/>
      <c r="D138" s="937"/>
      <c r="E138" s="690" t="s">
        <v>344</v>
      </c>
      <c r="F138" s="690" t="s">
        <v>344</v>
      </c>
      <c r="G138" s="690" t="s">
        <v>344</v>
      </c>
      <c r="H138" s="691">
        <v>170319</v>
      </c>
      <c r="I138" s="692">
        <v>179713.484902</v>
      </c>
      <c r="J138" s="692">
        <v>0.16169058943932699</v>
      </c>
      <c r="K138" s="692">
        <v>154671.6323</v>
      </c>
      <c r="L138" s="693"/>
      <c r="M138" s="692">
        <v>103.0055</v>
      </c>
      <c r="N138" s="694"/>
      <c r="O138" s="693"/>
      <c r="P138" s="693"/>
      <c r="Q138" s="693"/>
      <c r="R138" s="693"/>
      <c r="S138" s="498">
        <v>0.13392499972125699</v>
      </c>
      <c r="T138" s="692">
        <v>0.69189105166994203</v>
      </c>
      <c r="U138" s="692">
        <v>0.55796605194854698</v>
      </c>
      <c r="V138" s="498">
        <v>532.13799400000005</v>
      </c>
      <c r="W138" s="692">
        <v>429.13538899999998</v>
      </c>
      <c r="X138" s="692">
        <v>-3.3462044205870997E-2</v>
      </c>
      <c r="Y138" s="692">
        <v>-25.735880000000002</v>
      </c>
      <c r="Z138" s="692">
        <v>0</v>
      </c>
      <c r="AA138" s="692">
        <v>0</v>
      </c>
      <c r="AB138" s="692">
        <v>0</v>
      </c>
      <c r="AC138" s="692">
        <v>0</v>
      </c>
      <c r="AD138" s="692">
        <v>0</v>
      </c>
      <c r="AE138" s="692">
        <v>0</v>
      </c>
      <c r="AF138" s="692">
        <v>0</v>
      </c>
      <c r="AG138" s="692">
        <v>0</v>
      </c>
      <c r="AH138" s="692">
        <v>0</v>
      </c>
      <c r="AI138" s="692">
        <v>0</v>
      </c>
      <c r="AJ138" s="692">
        <v>0</v>
      </c>
      <c r="AK138" s="692">
        <v>0</v>
      </c>
      <c r="AL138" s="692">
        <v>0</v>
      </c>
      <c r="AM138" s="692">
        <v>0</v>
      </c>
      <c r="AN138" s="692">
        <v>0</v>
      </c>
      <c r="AO138" s="692">
        <v>0</v>
      </c>
      <c r="AP138" s="498">
        <v>0</v>
      </c>
      <c r="AQ138" s="498">
        <v>0</v>
      </c>
      <c r="AR138" s="692">
        <v>0.65842927660750605</v>
      </c>
      <c r="AS138" s="692">
        <v>0.52450427688611201</v>
      </c>
      <c r="AT138" s="498">
        <v>506.40232099999997</v>
      </c>
      <c r="AU138" s="695">
        <v>403.39971600000001</v>
      </c>
    </row>
    <row r="139" spans="1:47" ht="12" thickBot="1">
      <c r="A139" s="937"/>
      <c r="B139" s="937"/>
      <c r="C139" s="937"/>
      <c r="D139" s="937"/>
      <c r="E139" s="690" t="s">
        <v>345</v>
      </c>
      <c r="F139" s="690" t="s">
        <v>345</v>
      </c>
      <c r="G139" s="690" t="s">
        <v>345</v>
      </c>
      <c r="H139" s="691">
        <v>170320</v>
      </c>
      <c r="I139" s="692">
        <v>147011535.69</v>
      </c>
      <c r="J139" s="692">
        <v>2.0813497687570499</v>
      </c>
      <c r="K139" s="692">
        <v>144379172.8328</v>
      </c>
      <c r="L139" s="693"/>
      <c r="M139" s="692">
        <v>1501447.84</v>
      </c>
      <c r="N139" s="694"/>
      <c r="O139" s="693"/>
      <c r="P139" s="693"/>
      <c r="Q139" s="693"/>
      <c r="R139" s="693"/>
      <c r="S139" s="498">
        <v>2.0912954739729801</v>
      </c>
      <c r="T139" s="692">
        <v>3.8372749857897399</v>
      </c>
      <c r="U139" s="692">
        <v>1.74597951181678</v>
      </c>
      <c r="V139" s="498">
        <v>2754975.7127120001</v>
      </c>
      <c r="W139" s="692">
        <v>1253527.872712</v>
      </c>
      <c r="X139" s="692">
        <v>-0.31822895474949597</v>
      </c>
      <c r="Y139" s="692">
        <v>-228472.82112000001</v>
      </c>
      <c r="Z139" s="692">
        <v>0</v>
      </c>
      <c r="AA139" s="692">
        <v>0</v>
      </c>
      <c r="AB139" s="692">
        <v>0</v>
      </c>
      <c r="AC139" s="692">
        <v>0</v>
      </c>
      <c r="AD139" s="692">
        <v>0</v>
      </c>
      <c r="AE139" s="692">
        <v>0</v>
      </c>
      <c r="AF139" s="692">
        <v>0</v>
      </c>
      <c r="AG139" s="692">
        <v>0</v>
      </c>
      <c r="AH139" s="692">
        <v>0</v>
      </c>
      <c r="AI139" s="692">
        <v>0</v>
      </c>
      <c r="AJ139" s="692">
        <v>0</v>
      </c>
      <c r="AK139" s="692">
        <v>0</v>
      </c>
      <c r="AL139" s="692">
        <v>0</v>
      </c>
      <c r="AM139" s="692">
        <v>0</v>
      </c>
      <c r="AN139" s="692">
        <v>0</v>
      </c>
      <c r="AO139" s="692">
        <v>0</v>
      </c>
      <c r="AP139" s="498">
        <v>0</v>
      </c>
      <c r="AQ139" s="498">
        <v>0</v>
      </c>
      <c r="AR139" s="692">
        <v>3.5190460495582201</v>
      </c>
      <c r="AS139" s="692">
        <v>1.42775057558526</v>
      </c>
      <c r="AT139" s="498">
        <v>2526502.9048870001</v>
      </c>
      <c r="AU139" s="695">
        <v>1025055.064887</v>
      </c>
    </row>
    <row r="140" spans="1:47" ht="12" thickBot="1">
      <c r="A140" s="937"/>
      <c r="B140" s="937"/>
      <c r="C140" s="937"/>
      <c r="D140" s="938"/>
      <c r="E140" s="690" t="s">
        <v>331</v>
      </c>
      <c r="F140" s="690" t="s">
        <v>331</v>
      </c>
      <c r="G140" s="690" t="s">
        <v>331</v>
      </c>
      <c r="H140" s="691">
        <v>170321</v>
      </c>
      <c r="I140" s="692">
        <v>5781915.8600000003</v>
      </c>
      <c r="J140" s="692">
        <v>2.09172240967201</v>
      </c>
      <c r="K140" s="692">
        <v>36597698.946999997</v>
      </c>
      <c r="L140" s="693"/>
      <c r="M140" s="692">
        <v>55297.279999999999</v>
      </c>
      <c r="N140" s="694"/>
      <c r="O140" s="693"/>
      <c r="P140" s="693"/>
      <c r="Q140" s="693"/>
      <c r="R140" s="693"/>
      <c r="S140" s="498">
        <v>1.61446075102805</v>
      </c>
      <c r="T140" s="692">
        <v>3.8316254035617701</v>
      </c>
      <c r="U140" s="692">
        <v>2.2171646525354101</v>
      </c>
      <c r="V140" s="498">
        <v>116453.86559099999</v>
      </c>
      <c r="W140" s="692">
        <v>67385.865590999994</v>
      </c>
      <c r="X140" s="692">
        <v>-0.31507994888279101</v>
      </c>
      <c r="Y140" s="692">
        <v>-9576.1652439999998</v>
      </c>
      <c r="Z140" s="692">
        <v>0</v>
      </c>
      <c r="AA140" s="692">
        <v>0</v>
      </c>
      <c r="AB140" s="692">
        <v>4.0724374653200003E-3</v>
      </c>
      <c r="AC140" s="692">
        <v>123.77282099999999</v>
      </c>
      <c r="AD140" s="692">
        <v>0</v>
      </c>
      <c r="AE140" s="692">
        <v>0</v>
      </c>
      <c r="AF140" s="692">
        <v>0</v>
      </c>
      <c r="AG140" s="692">
        <v>0</v>
      </c>
      <c r="AH140" s="692">
        <v>0</v>
      </c>
      <c r="AI140" s="692">
        <v>0</v>
      </c>
      <c r="AJ140" s="692">
        <v>0</v>
      </c>
      <c r="AK140" s="692">
        <v>0</v>
      </c>
      <c r="AL140" s="692">
        <v>0</v>
      </c>
      <c r="AM140" s="692">
        <v>0</v>
      </c>
      <c r="AN140" s="692">
        <v>-4.1747988109000001E-4</v>
      </c>
      <c r="AO140" s="692">
        <v>-12.688387000000001</v>
      </c>
      <c r="AP140" s="498">
        <v>0</v>
      </c>
      <c r="AQ140" s="498">
        <v>0</v>
      </c>
      <c r="AR140" s="692">
        <v>3.52020042960284</v>
      </c>
      <c r="AS140" s="692">
        <v>1.90573967857647</v>
      </c>
      <c r="AT140" s="498">
        <v>106988.78530800001</v>
      </c>
      <c r="AU140" s="695">
        <v>57920.785307999999</v>
      </c>
    </row>
    <row r="141" spans="1:47" ht="12" thickBot="1">
      <c r="A141" s="937"/>
      <c r="B141" s="937"/>
      <c r="C141" s="937"/>
      <c r="D141" s="936" t="s">
        <v>346</v>
      </c>
      <c r="E141" s="690" t="s">
        <v>347</v>
      </c>
      <c r="F141" s="690" t="s">
        <v>347</v>
      </c>
      <c r="G141" s="690" t="s">
        <v>347</v>
      </c>
      <c r="H141" s="691">
        <v>170331</v>
      </c>
      <c r="I141" s="692">
        <v>751581.23</v>
      </c>
      <c r="J141" s="692">
        <v>1.2108477356466201</v>
      </c>
      <c r="K141" s="692">
        <v>757442.26300000004</v>
      </c>
      <c r="L141" s="693"/>
      <c r="M141" s="692">
        <v>4582.04</v>
      </c>
      <c r="N141" s="694"/>
      <c r="O141" s="693"/>
      <c r="P141" s="693"/>
      <c r="Q141" s="693"/>
      <c r="R141" s="693"/>
      <c r="S141" s="498">
        <v>1.21651940199292</v>
      </c>
      <c r="T141" s="692">
        <v>3.64856084055902</v>
      </c>
      <c r="U141" s="692">
        <v>2.43204143856449</v>
      </c>
      <c r="V141" s="498">
        <v>13742.363407000001</v>
      </c>
      <c r="W141" s="692">
        <v>9160.3234069999999</v>
      </c>
      <c r="X141" s="692">
        <v>-0.28822509308366101</v>
      </c>
      <c r="Y141" s="692">
        <v>-1085.604474</v>
      </c>
      <c r="Z141" s="692">
        <v>0</v>
      </c>
      <c r="AA141" s="692">
        <v>0</v>
      </c>
      <c r="AB141" s="692">
        <v>5.5311935629399997E-4</v>
      </c>
      <c r="AC141" s="692">
        <v>2.0833330000000001</v>
      </c>
      <c r="AD141" s="692">
        <v>0</v>
      </c>
      <c r="AE141" s="692">
        <v>0</v>
      </c>
      <c r="AF141" s="692">
        <v>0</v>
      </c>
      <c r="AG141" s="692">
        <v>0</v>
      </c>
      <c r="AH141" s="692">
        <v>0</v>
      </c>
      <c r="AI141" s="692">
        <v>0</v>
      </c>
      <c r="AJ141" s="692">
        <v>0</v>
      </c>
      <c r="AK141" s="692">
        <v>0</v>
      </c>
      <c r="AL141" s="692">
        <v>0</v>
      </c>
      <c r="AM141" s="692">
        <v>0</v>
      </c>
      <c r="AN141" s="692">
        <v>0</v>
      </c>
      <c r="AO141" s="692">
        <v>0</v>
      </c>
      <c r="AP141" s="498">
        <v>0</v>
      </c>
      <c r="AQ141" s="498">
        <v>0</v>
      </c>
      <c r="AR141" s="692">
        <v>3.3608889435603801</v>
      </c>
      <c r="AS141" s="692">
        <v>2.1443695415658599</v>
      </c>
      <c r="AT141" s="498">
        <v>12658.842554999999</v>
      </c>
      <c r="AU141" s="695">
        <v>8076.8025550000002</v>
      </c>
    </row>
    <row r="142" spans="1:47" ht="12" thickBot="1">
      <c r="A142" s="937"/>
      <c r="B142" s="937"/>
      <c r="C142" s="937"/>
      <c r="D142" s="937"/>
      <c r="E142" s="690" t="s">
        <v>348</v>
      </c>
      <c r="F142" s="690" t="s">
        <v>348</v>
      </c>
      <c r="G142" s="690" t="s">
        <v>348</v>
      </c>
      <c r="H142" s="691">
        <v>170332</v>
      </c>
      <c r="I142" s="692">
        <v>390800</v>
      </c>
      <c r="J142" s="692">
        <v>2.48133469805527</v>
      </c>
      <c r="K142" s="692">
        <v>361419.23080000002</v>
      </c>
      <c r="L142" s="693"/>
      <c r="M142" s="692">
        <v>3730.49</v>
      </c>
      <c r="N142" s="694"/>
      <c r="O142" s="693"/>
      <c r="P142" s="693"/>
      <c r="Q142" s="693"/>
      <c r="R142" s="693"/>
      <c r="S142" s="498">
        <v>2.0756987334742201</v>
      </c>
      <c r="T142" s="692">
        <v>4.7518723695715801</v>
      </c>
      <c r="U142" s="692">
        <v>2.67617363609742</v>
      </c>
      <c r="V142" s="498">
        <v>8540.1662919999999</v>
      </c>
      <c r="W142" s="692">
        <v>4809.6762920000001</v>
      </c>
      <c r="X142" s="692">
        <v>-0.44666002616087502</v>
      </c>
      <c r="Y142" s="692">
        <v>-802.74691800000005</v>
      </c>
      <c r="Z142" s="692">
        <v>0</v>
      </c>
      <c r="AA142" s="692">
        <v>0</v>
      </c>
      <c r="AB142" s="692">
        <v>0</v>
      </c>
      <c r="AC142" s="692">
        <v>0</v>
      </c>
      <c r="AD142" s="692">
        <v>0</v>
      </c>
      <c r="AE142" s="692">
        <v>0</v>
      </c>
      <c r="AF142" s="692">
        <v>0</v>
      </c>
      <c r="AG142" s="692">
        <v>0</v>
      </c>
      <c r="AH142" s="692">
        <v>0</v>
      </c>
      <c r="AI142" s="692">
        <v>0</v>
      </c>
      <c r="AJ142" s="692">
        <v>0</v>
      </c>
      <c r="AK142" s="692">
        <v>0</v>
      </c>
      <c r="AL142" s="692">
        <v>0</v>
      </c>
      <c r="AM142" s="692">
        <v>0</v>
      </c>
      <c r="AN142" s="692">
        <v>0</v>
      </c>
      <c r="AO142" s="692">
        <v>0</v>
      </c>
      <c r="AP142" s="498">
        <v>0</v>
      </c>
      <c r="AQ142" s="498">
        <v>0</v>
      </c>
      <c r="AR142" s="692">
        <v>4.3052124480166301</v>
      </c>
      <c r="AS142" s="692">
        <v>2.2295137145424699</v>
      </c>
      <c r="AT142" s="498">
        <v>7737.419562</v>
      </c>
      <c r="AU142" s="695">
        <v>4006.9295619999998</v>
      </c>
    </row>
    <row r="143" spans="1:47" ht="12" thickBot="1">
      <c r="A143" s="937"/>
      <c r="B143" s="937"/>
      <c r="C143" s="937"/>
      <c r="D143" s="938"/>
      <c r="E143" s="690" t="s">
        <v>349</v>
      </c>
      <c r="F143" s="690" t="s">
        <v>349</v>
      </c>
      <c r="G143" s="690" t="s">
        <v>349</v>
      </c>
      <c r="H143" s="691">
        <v>170333</v>
      </c>
      <c r="I143" s="692">
        <v>214650</v>
      </c>
      <c r="J143" s="692">
        <v>3.1346843699044999</v>
      </c>
      <c r="K143" s="692">
        <v>212595.60430000001</v>
      </c>
      <c r="L143" s="693"/>
      <c r="M143" s="692">
        <v>3100</v>
      </c>
      <c r="N143" s="694"/>
      <c r="O143" s="693"/>
      <c r="P143" s="693"/>
      <c r="Q143" s="693"/>
      <c r="R143" s="693"/>
      <c r="S143" s="498">
        <v>2.9323588094902999</v>
      </c>
      <c r="T143" s="692">
        <v>5.4545515325647198</v>
      </c>
      <c r="U143" s="692">
        <v>2.5221927230882102</v>
      </c>
      <c r="V143" s="498">
        <v>5766.3849650000002</v>
      </c>
      <c r="W143" s="692">
        <v>2666.3849650000002</v>
      </c>
      <c r="X143" s="692">
        <v>-0.54756349984908104</v>
      </c>
      <c r="Y143" s="692">
        <v>-578.86737600000004</v>
      </c>
      <c r="Z143" s="692">
        <v>0</v>
      </c>
      <c r="AA143" s="692">
        <v>0</v>
      </c>
      <c r="AB143" s="692">
        <v>0</v>
      </c>
      <c r="AC143" s="692">
        <v>0</v>
      </c>
      <c r="AD143" s="692">
        <v>0</v>
      </c>
      <c r="AE143" s="692">
        <v>0</v>
      </c>
      <c r="AF143" s="692">
        <v>0</v>
      </c>
      <c r="AG143" s="692">
        <v>0</v>
      </c>
      <c r="AH143" s="692">
        <v>0</v>
      </c>
      <c r="AI143" s="692">
        <v>0</v>
      </c>
      <c r="AJ143" s="692">
        <v>0</v>
      </c>
      <c r="AK143" s="692">
        <v>0</v>
      </c>
      <c r="AL143" s="692">
        <v>0</v>
      </c>
      <c r="AM143" s="692">
        <v>0</v>
      </c>
      <c r="AN143" s="692">
        <v>0</v>
      </c>
      <c r="AO143" s="692">
        <v>0</v>
      </c>
      <c r="AP143" s="498">
        <v>0</v>
      </c>
      <c r="AQ143" s="498">
        <v>0</v>
      </c>
      <c r="AR143" s="692">
        <v>4.9069880847413598</v>
      </c>
      <c r="AS143" s="692">
        <v>1.97462927526485</v>
      </c>
      <c r="AT143" s="498">
        <v>5187.5176439999996</v>
      </c>
      <c r="AU143" s="695">
        <v>2087.517644</v>
      </c>
    </row>
    <row r="144" spans="1:47" ht="12" thickBot="1">
      <c r="A144" s="937"/>
      <c r="B144" s="937"/>
      <c r="C144" s="937"/>
      <c r="D144" s="690" t="s">
        <v>350</v>
      </c>
      <c r="E144" s="690" t="s">
        <v>351</v>
      </c>
      <c r="F144" s="690" t="s">
        <v>351</v>
      </c>
      <c r="G144" s="690" t="s">
        <v>351</v>
      </c>
      <c r="H144" s="691">
        <v>170342</v>
      </c>
      <c r="I144" s="692">
        <v>250000</v>
      </c>
      <c r="J144" s="692">
        <v>1.55</v>
      </c>
      <c r="K144" s="692">
        <v>247252.74729999999</v>
      </c>
      <c r="L144" s="693"/>
      <c r="M144" s="692">
        <v>2767.27</v>
      </c>
      <c r="N144" s="694"/>
      <c r="O144" s="693"/>
      <c r="P144" s="693"/>
      <c r="Q144" s="693"/>
      <c r="R144" s="693"/>
      <c r="S144" s="498">
        <v>2.2507129333401399</v>
      </c>
      <c r="T144" s="692">
        <v>4.4680452408933302</v>
      </c>
      <c r="U144" s="692">
        <v>2.21733230756</v>
      </c>
      <c r="V144" s="498">
        <v>5493.4982470000004</v>
      </c>
      <c r="W144" s="692">
        <v>2726.228247</v>
      </c>
      <c r="X144" s="692">
        <v>-0.40796233920000002</v>
      </c>
      <c r="Y144" s="692">
        <v>-501.59303999999997</v>
      </c>
      <c r="Z144" s="692">
        <v>0</v>
      </c>
      <c r="AA144" s="692">
        <v>0</v>
      </c>
      <c r="AB144" s="692">
        <v>0</v>
      </c>
      <c r="AC144" s="692">
        <v>0</v>
      </c>
      <c r="AD144" s="692">
        <v>0</v>
      </c>
      <c r="AE144" s="692">
        <v>0</v>
      </c>
      <c r="AF144" s="692">
        <v>0</v>
      </c>
      <c r="AG144" s="692">
        <v>0</v>
      </c>
      <c r="AH144" s="692">
        <v>0</v>
      </c>
      <c r="AI144" s="692">
        <v>0</v>
      </c>
      <c r="AJ144" s="692">
        <v>0</v>
      </c>
      <c r="AK144" s="692">
        <v>0</v>
      </c>
      <c r="AL144" s="692">
        <v>0</v>
      </c>
      <c r="AM144" s="692">
        <v>0</v>
      </c>
      <c r="AN144" s="692">
        <v>0</v>
      </c>
      <c r="AO144" s="692">
        <v>0</v>
      </c>
      <c r="AP144" s="498">
        <v>0</v>
      </c>
      <c r="AQ144" s="498">
        <v>0</v>
      </c>
      <c r="AR144" s="692">
        <v>4.06008292121333</v>
      </c>
      <c r="AS144" s="692">
        <v>1.80936998788</v>
      </c>
      <c r="AT144" s="498">
        <v>4991.9052309999997</v>
      </c>
      <c r="AU144" s="695">
        <v>2224.6352310000002</v>
      </c>
    </row>
    <row r="145" spans="1:47" ht="12" thickBot="1">
      <c r="A145" s="937"/>
      <c r="B145" s="937"/>
      <c r="C145" s="937"/>
      <c r="D145" s="690" t="s">
        <v>2672</v>
      </c>
      <c r="E145" s="690" t="s">
        <v>2672</v>
      </c>
      <c r="F145" s="690" t="s">
        <v>2672</v>
      </c>
      <c r="G145" s="690" t="s">
        <v>2672</v>
      </c>
      <c r="H145" s="691">
        <v>170402</v>
      </c>
      <c r="I145" s="692">
        <v>312270000</v>
      </c>
      <c r="J145" s="692">
        <v>2.7338985493323098</v>
      </c>
      <c r="K145" s="692">
        <v>177502362.6372</v>
      </c>
      <c r="L145" s="693"/>
      <c r="M145" s="692">
        <v>2035238.02</v>
      </c>
      <c r="N145" s="694"/>
      <c r="O145" s="693"/>
      <c r="P145" s="693"/>
      <c r="Q145" s="693"/>
      <c r="R145" s="693"/>
      <c r="S145" s="498">
        <v>2.3057954569248502</v>
      </c>
      <c r="T145" s="692">
        <v>8.5511245851642007E-2</v>
      </c>
      <c r="U145" s="692">
        <v>-2.22028421107311</v>
      </c>
      <c r="V145" s="498">
        <v>75477.529154999997</v>
      </c>
      <c r="W145" s="692">
        <v>-1959760.550845</v>
      </c>
      <c r="X145" s="692">
        <v>-6.2416254733649998E-3</v>
      </c>
      <c r="Y145" s="692">
        <v>-5509.2457599999998</v>
      </c>
      <c r="Z145" s="692">
        <v>0</v>
      </c>
      <c r="AA145" s="692">
        <v>0</v>
      </c>
      <c r="AB145" s="692">
        <v>5.0982143431599998E-4</v>
      </c>
      <c r="AC145" s="692">
        <v>450.00001800000001</v>
      </c>
      <c r="AD145" s="692">
        <v>0</v>
      </c>
      <c r="AE145" s="692">
        <v>0</v>
      </c>
      <c r="AF145" s="692">
        <v>0</v>
      </c>
      <c r="AG145" s="692">
        <v>0</v>
      </c>
      <c r="AH145" s="692">
        <v>0</v>
      </c>
      <c r="AI145" s="692">
        <v>0</v>
      </c>
      <c r="AJ145" s="692">
        <v>0</v>
      </c>
      <c r="AK145" s="692">
        <v>0</v>
      </c>
      <c r="AL145" s="692">
        <v>0</v>
      </c>
      <c r="AM145" s="692">
        <v>0</v>
      </c>
      <c r="AN145" s="692">
        <v>0</v>
      </c>
      <c r="AO145" s="692">
        <v>0</v>
      </c>
      <c r="AP145" s="498">
        <v>0</v>
      </c>
      <c r="AQ145" s="498">
        <v>0</v>
      </c>
      <c r="AR145" s="692">
        <v>7.9737073215016996E-2</v>
      </c>
      <c r="AS145" s="692">
        <v>-2.2260583837097299</v>
      </c>
      <c r="AT145" s="498">
        <v>70380.886261000007</v>
      </c>
      <c r="AU145" s="695">
        <v>-1964857.193739</v>
      </c>
    </row>
    <row r="146" spans="1:47" ht="12" thickBot="1">
      <c r="A146" s="937"/>
      <c r="B146" s="937"/>
      <c r="C146" s="937"/>
      <c r="D146" s="690" t="s">
        <v>352</v>
      </c>
      <c r="E146" s="690" t="s">
        <v>352</v>
      </c>
      <c r="F146" s="690" t="s">
        <v>352</v>
      </c>
      <c r="G146" s="690" t="s">
        <v>352</v>
      </c>
      <c r="H146" s="691">
        <v>170381</v>
      </c>
      <c r="I146" s="692">
        <v>41984.6</v>
      </c>
      <c r="J146" s="692">
        <v>1.0521216350757201</v>
      </c>
      <c r="K146" s="692">
        <v>49651.876799999998</v>
      </c>
      <c r="L146" s="693"/>
      <c r="M146" s="692">
        <v>240.91</v>
      </c>
      <c r="N146" s="694"/>
      <c r="O146" s="693"/>
      <c r="P146" s="693"/>
      <c r="Q146" s="693"/>
      <c r="R146" s="693"/>
      <c r="S146" s="498">
        <v>0.97572819638887698</v>
      </c>
      <c r="T146" s="692">
        <v>3.2314905362813802</v>
      </c>
      <c r="U146" s="692">
        <v>2.2557623398933599</v>
      </c>
      <c r="V146" s="498">
        <v>797.86398299999996</v>
      </c>
      <c r="W146" s="692">
        <v>556.95398299999999</v>
      </c>
      <c r="X146" s="692">
        <v>-0.231396596664591</v>
      </c>
      <c r="Y146" s="692">
        <v>-57.132461999999997</v>
      </c>
      <c r="Z146" s="692">
        <v>0</v>
      </c>
      <c r="AA146" s="692">
        <v>0</v>
      </c>
      <c r="AB146" s="692">
        <v>0</v>
      </c>
      <c r="AC146" s="692">
        <v>0</v>
      </c>
      <c r="AD146" s="692">
        <v>0</v>
      </c>
      <c r="AE146" s="692">
        <v>0</v>
      </c>
      <c r="AF146" s="692">
        <v>0</v>
      </c>
      <c r="AG146" s="692">
        <v>0</v>
      </c>
      <c r="AH146" s="692">
        <v>0</v>
      </c>
      <c r="AI146" s="692">
        <v>0</v>
      </c>
      <c r="AJ146" s="692">
        <v>0</v>
      </c>
      <c r="AK146" s="692">
        <v>0</v>
      </c>
      <c r="AL146" s="692">
        <v>0</v>
      </c>
      <c r="AM146" s="692">
        <v>0</v>
      </c>
      <c r="AN146" s="692">
        <v>0</v>
      </c>
      <c r="AO146" s="692">
        <v>0</v>
      </c>
      <c r="AP146" s="498">
        <v>0</v>
      </c>
      <c r="AQ146" s="498">
        <v>0</v>
      </c>
      <c r="AR146" s="692">
        <v>3.0000943405843299</v>
      </c>
      <c r="AS146" s="692">
        <v>2.0243661441963199</v>
      </c>
      <c r="AT146" s="498">
        <v>740.73162000000002</v>
      </c>
      <c r="AU146" s="695">
        <v>499.82162</v>
      </c>
    </row>
    <row r="147" spans="1:47" ht="12" thickBot="1">
      <c r="A147" s="937"/>
      <c r="B147" s="937"/>
      <c r="C147" s="937"/>
      <c r="D147" s="690" t="s">
        <v>353</v>
      </c>
      <c r="E147" s="690" t="s">
        <v>353</v>
      </c>
      <c r="F147" s="690" t="s">
        <v>353</v>
      </c>
      <c r="G147" s="690" t="s">
        <v>353</v>
      </c>
      <c r="H147" s="691">
        <v>170401</v>
      </c>
      <c r="I147" s="692">
        <v>795401</v>
      </c>
      <c r="J147" s="692">
        <v>0.35</v>
      </c>
      <c r="K147" s="692">
        <v>808401</v>
      </c>
      <c r="L147" s="693"/>
      <c r="M147" s="692">
        <v>0</v>
      </c>
      <c r="N147" s="694"/>
      <c r="O147" s="693"/>
      <c r="P147" s="693"/>
      <c r="Q147" s="693"/>
      <c r="R147" s="693"/>
      <c r="S147" s="498">
        <v>0</v>
      </c>
      <c r="T147" s="692">
        <v>1.89341489853984</v>
      </c>
      <c r="U147" s="692">
        <v>1.89341489853984</v>
      </c>
      <c r="V147" s="498">
        <v>7611.3717630000001</v>
      </c>
      <c r="W147" s="692">
        <v>7611.3717630000001</v>
      </c>
      <c r="X147" s="692">
        <v>-3.8082237369113002E-2</v>
      </c>
      <c r="Y147" s="692">
        <v>-153.08745400000001</v>
      </c>
      <c r="Z147" s="692">
        <v>0</v>
      </c>
      <c r="AA147" s="692">
        <v>0</v>
      </c>
      <c r="AB147" s="692">
        <v>0</v>
      </c>
      <c r="AC147" s="692">
        <v>0</v>
      </c>
      <c r="AD147" s="692">
        <v>0</v>
      </c>
      <c r="AE147" s="692">
        <v>0</v>
      </c>
      <c r="AF147" s="692">
        <v>0</v>
      </c>
      <c r="AG147" s="692">
        <v>0</v>
      </c>
      <c r="AH147" s="692">
        <v>0</v>
      </c>
      <c r="AI147" s="692">
        <v>0</v>
      </c>
      <c r="AJ147" s="692">
        <v>0</v>
      </c>
      <c r="AK147" s="692">
        <v>0</v>
      </c>
      <c r="AL147" s="692">
        <v>0</v>
      </c>
      <c r="AM147" s="692">
        <v>0</v>
      </c>
      <c r="AN147" s="692">
        <v>0</v>
      </c>
      <c r="AO147" s="692">
        <v>0</v>
      </c>
      <c r="AP147" s="498">
        <v>0</v>
      </c>
      <c r="AQ147" s="498">
        <v>0</v>
      </c>
      <c r="AR147" s="692">
        <v>1.8553325007196699</v>
      </c>
      <c r="AS147" s="692">
        <v>1.8553325007196699</v>
      </c>
      <c r="AT147" s="498">
        <v>7458.2836639999996</v>
      </c>
      <c r="AU147" s="695">
        <v>7458.2836639999996</v>
      </c>
    </row>
    <row r="148" spans="1:47" ht="12" thickBot="1">
      <c r="A148" s="937"/>
      <c r="B148" s="937"/>
      <c r="C148" s="937"/>
      <c r="D148" s="936" t="s">
        <v>354</v>
      </c>
      <c r="E148" s="690" t="s">
        <v>355</v>
      </c>
      <c r="F148" s="690" t="s">
        <v>355</v>
      </c>
      <c r="G148" s="690" t="s">
        <v>355</v>
      </c>
      <c r="H148" s="691">
        <v>170411</v>
      </c>
      <c r="I148" s="692">
        <v>19047819.890000001</v>
      </c>
      <c r="J148" s="692">
        <v>0.88</v>
      </c>
      <c r="K148" s="692">
        <v>11705433.3178</v>
      </c>
      <c r="L148" s="693"/>
      <c r="M148" s="692">
        <v>49104.99</v>
      </c>
      <c r="N148" s="694"/>
      <c r="O148" s="693"/>
      <c r="P148" s="693"/>
      <c r="Q148" s="693"/>
      <c r="R148" s="693"/>
      <c r="S148" s="498">
        <v>0.843621868537477</v>
      </c>
      <c r="T148" s="692">
        <v>3.0862942712460302</v>
      </c>
      <c r="U148" s="692">
        <v>2.2426724027082701</v>
      </c>
      <c r="V148" s="498">
        <v>179644.99852200001</v>
      </c>
      <c r="W148" s="692">
        <v>130540.008522</v>
      </c>
      <c r="X148" s="692">
        <v>-0.21014733576395001</v>
      </c>
      <c r="Y148" s="692">
        <v>-12232.118684999999</v>
      </c>
      <c r="Z148" s="692">
        <v>0</v>
      </c>
      <c r="AA148" s="692">
        <v>0</v>
      </c>
      <c r="AB148" s="692">
        <v>0.14994684930553101</v>
      </c>
      <c r="AC148" s="692">
        <v>8728.0081399999999</v>
      </c>
      <c r="AD148" s="692">
        <v>0</v>
      </c>
      <c r="AE148" s="692">
        <v>0</v>
      </c>
      <c r="AF148" s="692">
        <v>0</v>
      </c>
      <c r="AG148" s="692">
        <v>0</v>
      </c>
      <c r="AH148" s="692">
        <v>0</v>
      </c>
      <c r="AI148" s="692">
        <v>0</v>
      </c>
      <c r="AJ148" s="692">
        <v>0</v>
      </c>
      <c r="AK148" s="692">
        <v>0</v>
      </c>
      <c r="AL148" s="692">
        <v>0</v>
      </c>
      <c r="AM148" s="692">
        <v>0</v>
      </c>
      <c r="AN148" s="692">
        <v>0</v>
      </c>
      <c r="AO148" s="692">
        <v>0</v>
      </c>
      <c r="AP148" s="498">
        <v>0</v>
      </c>
      <c r="AQ148" s="498">
        <v>0</v>
      </c>
      <c r="AR148" s="692">
        <v>3.02609378298372</v>
      </c>
      <c r="AS148" s="692">
        <v>2.1824719144459501</v>
      </c>
      <c r="AT148" s="498">
        <v>176140.88787199999</v>
      </c>
      <c r="AU148" s="695">
        <v>127035.897872</v>
      </c>
    </row>
    <row r="149" spans="1:47" ht="12" thickBot="1">
      <c r="A149" s="937"/>
      <c r="B149" s="937"/>
      <c r="C149" s="937"/>
      <c r="D149" s="937"/>
      <c r="E149" s="690" t="s">
        <v>356</v>
      </c>
      <c r="F149" s="690" t="s">
        <v>356</v>
      </c>
      <c r="G149" s="690" t="s">
        <v>356</v>
      </c>
      <c r="H149" s="691">
        <v>170412</v>
      </c>
      <c r="I149" s="692">
        <v>16816108</v>
      </c>
      <c r="J149" s="692">
        <v>1.1000000000000001</v>
      </c>
      <c r="K149" s="692">
        <v>25329972.1393</v>
      </c>
      <c r="L149" s="693"/>
      <c r="M149" s="692">
        <v>106173.13</v>
      </c>
      <c r="N149" s="694"/>
      <c r="O149" s="693"/>
      <c r="P149" s="693"/>
      <c r="Q149" s="693"/>
      <c r="R149" s="693"/>
      <c r="S149" s="498">
        <v>0.84292630292729198</v>
      </c>
      <c r="T149" s="692">
        <v>3.0889474117716902</v>
      </c>
      <c r="U149" s="692">
        <v>2.2460211088441202</v>
      </c>
      <c r="V149" s="498">
        <v>389076.97383999999</v>
      </c>
      <c r="W149" s="692">
        <v>282903.84383999999</v>
      </c>
      <c r="X149" s="692">
        <v>-0.21085563090645101</v>
      </c>
      <c r="Y149" s="692">
        <v>-26558.908214999999</v>
      </c>
      <c r="Z149" s="692">
        <v>0</v>
      </c>
      <c r="AA149" s="692">
        <v>0</v>
      </c>
      <c r="AB149" s="692">
        <v>1.5481375848600001E-3</v>
      </c>
      <c r="AC149" s="692">
        <v>194.99998099999999</v>
      </c>
      <c r="AD149" s="692">
        <v>0</v>
      </c>
      <c r="AE149" s="692">
        <v>0</v>
      </c>
      <c r="AF149" s="692">
        <v>0</v>
      </c>
      <c r="AG149" s="692">
        <v>0</v>
      </c>
      <c r="AH149" s="692">
        <v>0</v>
      </c>
      <c r="AI149" s="692">
        <v>0</v>
      </c>
      <c r="AJ149" s="692">
        <v>0</v>
      </c>
      <c r="AK149" s="692">
        <v>0</v>
      </c>
      <c r="AL149" s="692">
        <v>0</v>
      </c>
      <c r="AM149" s="692">
        <v>0</v>
      </c>
      <c r="AN149" s="692">
        <v>0</v>
      </c>
      <c r="AO149" s="692">
        <v>0</v>
      </c>
      <c r="AP149" s="498">
        <v>0</v>
      </c>
      <c r="AQ149" s="498">
        <v>0</v>
      </c>
      <c r="AR149" s="692">
        <v>2.8796399207604</v>
      </c>
      <c r="AS149" s="692">
        <v>2.0367136178328198</v>
      </c>
      <c r="AT149" s="498">
        <v>362713.06589700002</v>
      </c>
      <c r="AU149" s="695">
        <v>256539.93589699999</v>
      </c>
    </row>
    <row r="150" spans="1:47" ht="12" thickBot="1">
      <c r="A150" s="937"/>
      <c r="B150" s="937"/>
      <c r="C150" s="937"/>
      <c r="D150" s="937"/>
      <c r="E150" s="690" t="s">
        <v>331</v>
      </c>
      <c r="F150" s="690" t="s">
        <v>331</v>
      </c>
      <c r="G150" s="690" t="s">
        <v>331</v>
      </c>
      <c r="H150" s="691">
        <v>170413</v>
      </c>
      <c r="I150" s="692">
        <v>340000</v>
      </c>
      <c r="J150" s="692">
        <v>1.1000000000000001</v>
      </c>
      <c r="K150" s="692">
        <v>36597698.946999997</v>
      </c>
      <c r="L150" s="693"/>
      <c r="M150" s="692">
        <v>55297.279999999999</v>
      </c>
      <c r="N150" s="694"/>
      <c r="O150" s="693"/>
      <c r="P150" s="693"/>
      <c r="Q150" s="693"/>
      <c r="R150" s="693"/>
      <c r="S150" s="498">
        <v>0.77722880667315597</v>
      </c>
      <c r="T150" s="692">
        <v>3.0887396403659699</v>
      </c>
      <c r="U150" s="692">
        <v>2.3115108336902699</v>
      </c>
      <c r="V150" s="498">
        <v>5407.2400150000003</v>
      </c>
      <c r="W150" s="692">
        <v>4046.600015</v>
      </c>
      <c r="X150" s="692">
        <v>-0.20754670751617799</v>
      </c>
      <c r="Y150" s="692">
        <v>-363.33747499999998</v>
      </c>
      <c r="Z150" s="692">
        <v>0</v>
      </c>
      <c r="AA150" s="692">
        <v>0</v>
      </c>
      <c r="AB150" s="692">
        <v>0</v>
      </c>
      <c r="AC150" s="692">
        <v>0</v>
      </c>
      <c r="AD150" s="692">
        <v>0</v>
      </c>
      <c r="AE150" s="692">
        <v>0</v>
      </c>
      <c r="AF150" s="692">
        <v>0</v>
      </c>
      <c r="AG150" s="692">
        <v>0</v>
      </c>
      <c r="AH150" s="692">
        <v>0</v>
      </c>
      <c r="AI150" s="692">
        <v>0</v>
      </c>
      <c r="AJ150" s="692">
        <v>0</v>
      </c>
      <c r="AK150" s="692">
        <v>0</v>
      </c>
      <c r="AL150" s="692">
        <v>0</v>
      </c>
      <c r="AM150" s="692">
        <v>0</v>
      </c>
      <c r="AN150" s="692">
        <v>0</v>
      </c>
      <c r="AO150" s="692">
        <v>0</v>
      </c>
      <c r="AP150" s="498">
        <v>0</v>
      </c>
      <c r="AQ150" s="498">
        <v>0</v>
      </c>
      <c r="AR150" s="692">
        <v>2.8811929145706601</v>
      </c>
      <c r="AS150" s="692">
        <v>2.10396410789496</v>
      </c>
      <c r="AT150" s="498">
        <v>5043.9025080000001</v>
      </c>
      <c r="AU150" s="695">
        <v>3683.2625079999998</v>
      </c>
    </row>
    <row r="151" spans="1:47" ht="12" thickBot="1">
      <c r="A151" s="937"/>
      <c r="B151" s="937"/>
      <c r="C151" s="937"/>
      <c r="D151" s="937"/>
      <c r="E151" s="690" t="s">
        <v>357</v>
      </c>
      <c r="F151" s="690" t="s">
        <v>357</v>
      </c>
      <c r="G151" s="690" t="s">
        <v>357</v>
      </c>
      <c r="H151" s="691">
        <v>170414</v>
      </c>
      <c r="I151" s="692">
        <v>2167015663.3699999</v>
      </c>
      <c r="J151" s="692">
        <v>2.0061045185061701</v>
      </c>
      <c r="K151" s="692">
        <v>2095818600.3872001</v>
      </c>
      <c r="L151" s="693"/>
      <c r="M151" s="692">
        <v>16120150.02</v>
      </c>
      <c r="N151" s="694"/>
      <c r="O151" s="693"/>
      <c r="P151" s="693"/>
      <c r="Q151" s="693"/>
      <c r="R151" s="693"/>
      <c r="S151" s="498">
        <v>1.5467676706239299</v>
      </c>
      <c r="T151" s="692">
        <v>3.6778986072248099</v>
      </c>
      <c r="U151" s="692">
        <v>2.1311309366008899</v>
      </c>
      <c r="V151" s="498">
        <v>38330434.772339001</v>
      </c>
      <c r="W151" s="692">
        <v>22210284.752339002</v>
      </c>
      <c r="X151" s="692">
        <v>-0.29684822942120997</v>
      </c>
      <c r="Y151" s="692">
        <v>-3093701.8417969998</v>
      </c>
      <c r="Z151" s="692">
        <v>0</v>
      </c>
      <c r="AA151" s="692">
        <v>0</v>
      </c>
      <c r="AB151" s="692">
        <v>1.505242882967E-3</v>
      </c>
      <c r="AC151" s="692">
        <v>15687.385734</v>
      </c>
      <c r="AD151" s="692">
        <v>0</v>
      </c>
      <c r="AE151" s="692">
        <v>0</v>
      </c>
      <c r="AF151" s="692">
        <v>0</v>
      </c>
      <c r="AG151" s="692">
        <v>0</v>
      </c>
      <c r="AH151" s="692">
        <v>0</v>
      </c>
      <c r="AI151" s="692">
        <v>0</v>
      </c>
      <c r="AJ151" s="692">
        <v>0</v>
      </c>
      <c r="AK151" s="692">
        <v>0</v>
      </c>
      <c r="AL151" s="692">
        <v>0</v>
      </c>
      <c r="AM151" s="692">
        <v>0</v>
      </c>
      <c r="AN151" s="692">
        <v>0</v>
      </c>
      <c r="AO151" s="692">
        <v>0</v>
      </c>
      <c r="AP151" s="498">
        <v>0</v>
      </c>
      <c r="AQ151" s="498">
        <v>0</v>
      </c>
      <c r="AR151" s="692">
        <v>3.3825556044790499</v>
      </c>
      <c r="AS151" s="692">
        <v>1.83578793385512</v>
      </c>
      <c r="AT151" s="498">
        <v>35252420.147363998</v>
      </c>
      <c r="AU151" s="695">
        <v>19132270.127363998</v>
      </c>
    </row>
    <row r="152" spans="1:47" ht="12" thickBot="1">
      <c r="A152" s="937"/>
      <c r="B152" s="937"/>
      <c r="C152" s="937"/>
      <c r="D152" s="938"/>
      <c r="E152" s="690" t="s">
        <v>358</v>
      </c>
      <c r="F152" s="690" t="s">
        <v>358</v>
      </c>
      <c r="G152" s="690" t="s">
        <v>358</v>
      </c>
      <c r="H152" s="691">
        <v>170415</v>
      </c>
      <c r="I152" s="692">
        <v>24100003.579999998</v>
      </c>
      <c r="J152" s="692">
        <v>4.3671735081999499</v>
      </c>
      <c r="K152" s="692">
        <v>24143496.480099998</v>
      </c>
      <c r="L152" s="693"/>
      <c r="M152" s="692">
        <v>527130.71</v>
      </c>
      <c r="N152" s="694"/>
      <c r="O152" s="693"/>
      <c r="P152" s="693"/>
      <c r="Q152" s="693"/>
      <c r="R152" s="693"/>
      <c r="S152" s="498">
        <v>4.3906402125534001</v>
      </c>
      <c r="T152" s="692">
        <v>5.3176814685893596</v>
      </c>
      <c r="U152" s="692">
        <v>0.92704125603622201</v>
      </c>
      <c r="V152" s="498">
        <v>638429.26598200004</v>
      </c>
      <c r="W152" s="692">
        <v>111298.55598200001</v>
      </c>
      <c r="X152" s="692">
        <v>-0.53053610586202404</v>
      </c>
      <c r="Y152" s="692">
        <v>-63695.010436999997</v>
      </c>
      <c r="Z152" s="692">
        <v>0</v>
      </c>
      <c r="AA152" s="692">
        <v>0</v>
      </c>
      <c r="AB152" s="692">
        <v>0</v>
      </c>
      <c r="AC152" s="692">
        <v>0</v>
      </c>
      <c r="AD152" s="692">
        <v>0</v>
      </c>
      <c r="AE152" s="692">
        <v>0</v>
      </c>
      <c r="AF152" s="692">
        <v>0</v>
      </c>
      <c r="AG152" s="692">
        <v>0</v>
      </c>
      <c r="AH152" s="692">
        <v>0</v>
      </c>
      <c r="AI152" s="692">
        <v>0</v>
      </c>
      <c r="AJ152" s="692">
        <v>0</v>
      </c>
      <c r="AK152" s="692">
        <v>0</v>
      </c>
      <c r="AL152" s="692">
        <v>0</v>
      </c>
      <c r="AM152" s="692">
        <v>0</v>
      </c>
      <c r="AN152" s="692">
        <v>-3.4345950357291002E-2</v>
      </c>
      <c r="AO152" s="692">
        <v>-4123.5000639999998</v>
      </c>
      <c r="AP152" s="498">
        <v>0</v>
      </c>
      <c r="AQ152" s="498">
        <v>0</v>
      </c>
      <c r="AR152" s="692">
        <v>4.7527994097129902</v>
      </c>
      <c r="AS152" s="692">
        <v>0.36215919715985301</v>
      </c>
      <c r="AT152" s="498">
        <v>570610.75516199996</v>
      </c>
      <c r="AU152" s="695">
        <v>43480.045162000002</v>
      </c>
    </row>
    <row r="153" spans="1:47" ht="12" thickBot="1">
      <c r="A153" s="937"/>
      <c r="B153" s="937"/>
      <c r="C153" s="937"/>
      <c r="D153" s="936" t="s">
        <v>359</v>
      </c>
      <c r="E153" s="690" t="s">
        <v>360</v>
      </c>
      <c r="F153" s="690" t="s">
        <v>360</v>
      </c>
      <c r="G153" s="690" t="s">
        <v>360</v>
      </c>
      <c r="H153" s="691">
        <v>170421</v>
      </c>
      <c r="I153" s="692">
        <v>523329.46</v>
      </c>
      <c r="J153" s="692">
        <v>0.88</v>
      </c>
      <c r="K153" s="692">
        <v>14302692.387</v>
      </c>
      <c r="L153" s="693"/>
      <c r="M153" s="692">
        <v>63627.16</v>
      </c>
      <c r="N153" s="694"/>
      <c r="O153" s="693"/>
      <c r="P153" s="693"/>
      <c r="Q153" s="693"/>
      <c r="R153" s="693"/>
      <c r="S153" s="498">
        <v>0.89461142072127098</v>
      </c>
      <c r="T153" s="692">
        <v>3.0452236110930602</v>
      </c>
      <c r="U153" s="692">
        <v>2.1506121903715898</v>
      </c>
      <c r="V153" s="498">
        <v>216584.458292</v>
      </c>
      <c r="W153" s="692">
        <v>152957.29829199999</v>
      </c>
      <c r="X153" s="692">
        <v>-0.208892845887929</v>
      </c>
      <c r="Y153" s="692">
        <v>-14857.018612</v>
      </c>
      <c r="Z153" s="692">
        <v>0</v>
      </c>
      <c r="AA153" s="692">
        <v>0</v>
      </c>
      <c r="AB153" s="692">
        <v>2.3433974185999999E-4</v>
      </c>
      <c r="AC153" s="692">
        <v>16.666869999999999</v>
      </c>
      <c r="AD153" s="692">
        <v>0</v>
      </c>
      <c r="AE153" s="692">
        <v>0</v>
      </c>
      <c r="AF153" s="692">
        <v>0</v>
      </c>
      <c r="AG153" s="692">
        <v>0</v>
      </c>
      <c r="AH153" s="692">
        <v>0</v>
      </c>
      <c r="AI153" s="692">
        <v>0</v>
      </c>
      <c r="AJ153" s="692">
        <v>0</v>
      </c>
      <c r="AK153" s="692">
        <v>0</v>
      </c>
      <c r="AL153" s="692">
        <v>0</v>
      </c>
      <c r="AM153" s="692">
        <v>0</v>
      </c>
      <c r="AN153" s="692">
        <v>0</v>
      </c>
      <c r="AO153" s="692">
        <v>0</v>
      </c>
      <c r="AP153" s="498">
        <v>0</v>
      </c>
      <c r="AQ153" s="498">
        <v>0</v>
      </c>
      <c r="AR153" s="692">
        <v>2.8365650989714002</v>
      </c>
      <c r="AS153" s="692">
        <v>1.94195367824993</v>
      </c>
      <c r="AT153" s="498">
        <v>201744.10612499999</v>
      </c>
      <c r="AU153" s="695">
        <v>138116.94612499999</v>
      </c>
    </row>
    <row r="154" spans="1:47" ht="12" thickBot="1">
      <c r="A154" s="937"/>
      <c r="B154" s="937"/>
      <c r="C154" s="937"/>
      <c r="D154" s="937"/>
      <c r="E154" s="690" t="s">
        <v>361</v>
      </c>
      <c r="F154" s="690" t="s">
        <v>361</v>
      </c>
      <c r="G154" s="690" t="s">
        <v>361</v>
      </c>
      <c r="H154" s="691">
        <v>170422</v>
      </c>
      <c r="I154" s="692">
        <v>1642381743.3099999</v>
      </c>
      <c r="J154" s="692">
        <v>1.4850000000000001</v>
      </c>
      <c r="K154" s="692">
        <v>1678420489.7282</v>
      </c>
      <c r="L154" s="693"/>
      <c r="M154" s="692">
        <v>11968627.15</v>
      </c>
      <c r="N154" s="694"/>
      <c r="O154" s="693"/>
      <c r="P154" s="693"/>
      <c r="Q154" s="693"/>
      <c r="R154" s="693"/>
      <c r="S154" s="498">
        <v>1.4340135754168899</v>
      </c>
      <c r="T154" s="692">
        <v>3.0923353669570002</v>
      </c>
      <c r="U154" s="692">
        <v>1.6583217915400701</v>
      </c>
      <c r="V154" s="498">
        <v>25809385.395188</v>
      </c>
      <c r="W154" s="692">
        <v>13840758.245188</v>
      </c>
      <c r="X154" s="692">
        <v>-0.21172244122075401</v>
      </c>
      <c r="Y154" s="692">
        <v>-1767087.1473600001</v>
      </c>
      <c r="Z154" s="692">
        <v>0</v>
      </c>
      <c r="AA154" s="692">
        <v>0</v>
      </c>
      <c r="AB154" s="692">
        <v>2.246908798E-6</v>
      </c>
      <c r="AC154" s="692">
        <v>18.753249</v>
      </c>
      <c r="AD154" s="692">
        <v>0</v>
      </c>
      <c r="AE154" s="692">
        <v>0</v>
      </c>
      <c r="AF154" s="692">
        <v>0</v>
      </c>
      <c r="AG154" s="692">
        <v>0</v>
      </c>
      <c r="AH154" s="692">
        <v>0</v>
      </c>
      <c r="AI154" s="692">
        <v>0</v>
      </c>
      <c r="AJ154" s="692">
        <v>0</v>
      </c>
      <c r="AK154" s="692">
        <v>0</v>
      </c>
      <c r="AL154" s="692">
        <v>0</v>
      </c>
      <c r="AM154" s="692">
        <v>0</v>
      </c>
      <c r="AN154" s="692">
        <v>0</v>
      </c>
      <c r="AO154" s="692">
        <v>0</v>
      </c>
      <c r="AP154" s="498">
        <v>0</v>
      </c>
      <c r="AQ154" s="498">
        <v>0</v>
      </c>
      <c r="AR154" s="692">
        <v>2.8806151748411102</v>
      </c>
      <c r="AS154" s="692">
        <v>1.4466015994242001</v>
      </c>
      <c r="AT154" s="498">
        <v>24042317.019405998</v>
      </c>
      <c r="AU154" s="695">
        <v>12073689.869406</v>
      </c>
    </row>
    <row r="155" spans="1:47" ht="12" thickBot="1">
      <c r="A155" s="937"/>
      <c r="B155" s="937"/>
      <c r="C155" s="937"/>
      <c r="D155" s="937"/>
      <c r="E155" s="936" t="s">
        <v>362</v>
      </c>
      <c r="F155" s="690" t="s">
        <v>363</v>
      </c>
      <c r="G155" s="690" t="s">
        <v>363</v>
      </c>
      <c r="H155" s="691">
        <v>170431</v>
      </c>
      <c r="I155" s="692">
        <v>10754347.85</v>
      </c>
      <c r="J155" s="692">
        <v>1.45</v>
      </c>
      <c r="K155" s="692">
        <v>11374021.0525</v>
      </c>
      <c r="L155" s="693"/>
      <c r="M155" s="692">
        <v>67273.570000000007</v>
      </c>
      <c r="N155" s="694"/>
      <c r="O155" s="693"/>
      <c r="P155" s="693"/>
      <c r="Q155" s="693"/>
      <c r="R155" s="693"/>
      <c r="S155" s="498">
        <v>1.1894334411648799</v>
      </c>
      <c r="T155" s="692">
        <v>3.2571779572112298</v>
      </c>
      <c r="U155" s="692">
        <v>2.0677445160461798</v>
      </c>
      <c r="V155" s="498">
        <v>184223.83441000001</v>
      </c>
      <c r="W155" s="692">
        <v>116950.26441</v>
      </c>
      <c r="X155" s="692">
        <v>-0.23617365845605301</v>
      </c>
      <c r="Y155" s="692">
        <v>-13357.826166999999</v>
      </c>
      <c r="Z155" s="692">
        <v>0</v>
      </c>
      <c r="AA155" s="692">
        <v>0</v>
      </c>
      <c r="AB155" s="692">
        <v>0</v>
      </c>
      <c r="AC155" s="692">
        <v>0</v>
      </c>
      <c r="AD155" s="692">
        <v>0</v>
      </c>
      <c r="AE155" s="692">
        <v>0</v>
      </c>
      <c r="AF155" s="692">
        <v>0</v>
      </c>
      <c r="AG155" s="692">
        <v>0</v>
      </c>
      <c r="AH155" s="692">
        <v>0</v>
      </c>
      <c r="AI155" s="692">
        <v>0</v>
      </c>
      <c r="AJ155" s="692">
        <v>0</v>
      </c>
      <c r="AK155" s="692">
        <v>0</v>
      </c>
      <c r="AL155" s="692">
        <v>0</v>
      </c>
      <c r="AM155" s="692">
        <v>0</v>
      </c>
      <c r="AN155" s="692">
        <v>0</v>
      </c>
      <c r="AO155" s="692">
        <v>0</v>
      </c>
      <c r="AP155" s="498">
        <v>0</v>
      </c>
      <c r="AQ155" s="498">
        <v>0</v>
      </c>
      <c r="AR155" s="692">
        <v>3.02100430034643</v>
      </c>
      <c r="AS155" s="692">
        <v>1.83157085918138</v>
      </c>
      <c r="AT155" s="498">
        <v>170866.00833300001</v>
      </c>
      <c r="AU155" s="695">
        <v>103592.438333</v>
      </c>
    </row>
    <row r="156" spans="1:47" ht="12" thickBot="1">
      <c r="A156" s="937"/>
      <c r="B156" s="937"/>
      <c r="C156" s="937"/>
      <c r="D156" s="937"/>
      <c r="E156" s="937"/>
      <c r="F156" s="690" t="s">
        <v>364</v>
      </c>
      <c r="G156" s="690" t="s">
        <v>364</v>
      </c>
      <c r="H156" s="691">
        <v>170432</v>
      </c>
      <c r="I156" s="692">
        <v>2267534.11</v>
      </c>
      <c r="J156" s="692">
        <v>1.7</v>
      </c>
      <c r="K156" s="692">
        <v>2501558.8898</v>
      </c>
      <c r="L156" s="693"/>
      <c r="M156" s="692">
        <v>19958.14</v>
      </c>
      <c r="N156" s="694"/>
      <c r="O156" s="693"/>
      <c r="P156" s="693"/>
      <c r="Q156" s="693"/>
      <c r="R156" s="693"/>
      <c r="S156" s="498">
        <v>1.6044235609225701</v>
      </c>
      <c r="T156" s="692">
        <v>3.4752706286546702</v>
      </c>
      <c r="U156" s="692">
        <v>1.8708470677308</v>
      </c>
      <c r="V156" s="498">
        <v>43230.440784999999</v>
      </c>
      <c r="W156" s="692">
        <v>23272.300784999999</v>
      </c>
      <c r="X156" s="692">
        <v>-0.26742670053072998</v>
      </c>
      <c r="Y156" s="692">
        <v>-3326.6399590000001</v>
      </c>
      <c r="Z156" s="692">
        <v>0</v>
      </c>
      <c r="AA156" s="692">
        <v>0</v>
      </c>
      <c r="AB156" s="692">
        <v>0</v>
      </c>
      <c r="AC156" s="692">
        <v>0</v>
      </c>
      <c r="AD156" s="692">
        <v>0</v>
      </c>
      <c r="AE156" s="692">
        <v>0</v>
      </c>
      <c r="AF156" s="692">
        <v>0</v>
      </c>
      <c r="AG156" s="692">
        <v>0</v>
      </c>
      <c r="AH156" s="692">
        <v>0</v>
      </c>
      <c r="AI156" s="692">
        <v>0</v>
      </c>
      <c r="AJ156" s="692">
        <v>0</v>
      </c>
      <c r="AK156" s="692">
        <v>0</v>
      </c>
      <c r="AL156" s="692">
        <v>0</v>
      </c>
      <c r="AM156" s="692">
        <v>0</v>
      </c>
      <c r="AN156" s="692">
        <v>0</v>
      </c>
      <c r="AO156" s="692">
        <v>0</v>
      </c>
      <c r="AP156" s="498">
        <v>0</v>
      </c>
      <c r="AQ156" s="498">
        <v>0</v>
      </c>
      <c r="AR156" s="692">
        <v>3.2078439614855498</v>
      </c>
      <c r="AS156" s="692">
        <v>1.6034204005616901</v>
      </c>
      <c r="AT156" s="498">
        <v>39903.801241000001</v>
      </c>
      <c r="AU156" s="695">
        <v>19945.661241000002</v>
      </c>
    </row>
    <row r="157" spans="1:47" ht="12" thickBot="1">
      <c r="A157" s="937"/>
      <c r="B157" s="937"/>
      <c r="C157" s="937"/>
      <c r="D157" s="937"/>
      <c r="E157" s="937"/>
      <c r="F157" s="690" t="s">
        <v>365</v>
      </c>
      <c r="G157" s="690" t="s">
        <v>365</v>
      </c>
      <c r="H157" s="691">
        <v>170434</v>
      </c>
      <c r="I157" s="692">
        <v>3987754.66</v>
      </c>
      <c r="J157" s="692">
        <v>2.0767008694311202</v>
      </c>
      <c r="K157" s="692">
        <v>4496176.7095999997</v>
      </c>
      <c r="L157" s="693"/>
      <c r="M157" s="692">
        <v>44579.23</v>
      </c>
      <c r="N157" s="694"/>
      <c r="O157" s="693"/>
      <c r="P157" s="693"/>
      <c r="Q157" s="693"/>
      <c r="R157" s="693"/>
      <c r="S157" s="498">
        <v>1.9938794100070301</v>
      </c>
      <c r="T157" s="692">
        <v>3.8554561828479099</v>
      </c>
      <c r="U157" s="692">
        <v>1.8615767728410799</v>
      </c>
      <c r="V157" s="498">
        <v>86200.432717999996</v>
      </c>
      <c r="W157" s="692">
        <v>41621.202718</v>
      </c>
      <c r="X157" s="692">
        <v>-0.321387192093262</v>
      </c>
      <c r="Y157" s="692">
        <v>-7185.5867930000004</v>
      </c>
      <c r="Z157" s="692">
        <v>0</v>
      </c>
      <c r="AA157" s="692">
        <v>0</v>
      </c>
      <c r="AB157" s="692">
        <v>0</v>
      </c>
      <c r="AC157" s="692">
        <v>0</v>
      </c>
      <c r="AD157" s="692">
        <v>0</v>
      </c>
      <c r="AE157" s="692">
        <v>0</v>
      </c>
      <c r="AF157" s="692">
        <v>0</v>
      </c>
      <c r="AG157" s="692">
        <v>0</v>
      </c>
      <c r="AH157" s="692">
        <v>0</v>
      </c>
      <c r="AI157" s="692">
        <v>0</v>
      </c>
      <c r="AJ157" s="692">
        <v>0</v>
      </c>
      <c r="AK157" s="692">
        <v>0</v>
      </c>
      <c r="AL157" s="692">
        <v>0</v>
      </c>
      <c r="AM157" s="692">
        <v>0</v>
      </c>
      <c r="AN157" s="692">
        <v>0</v>
      </c>
      <c r="AO157" s="692">
        <v>0</v>
      </c>
      <c r="AP157" s="498">
        <v>0</v>
      </c>
      <c r="AQ157" s="498">
        <v>0</v>
      </c>
      <c r="AR157" s="692">
        <v>3.5340689896364799</v>
      </c>
      <c r="AS157" s="692">
        <v>1.5401895796296601</v>
      </c>
      <c r="AT157" s="498">
        <v>79014.8459</v>
      </c>
      <c r="AU157" s="695">
        <v>34435.615899999997</v>
      </c>
    </row>
    <row r="158" spans="1:47" ht="12" thickBot="1">
      <c r="A158" s="937"/>
      <c r="B158" s="937"/>
      <c r="C158" s="937"/>
      <c r="D158" s="937"/>
      <c r="E158" s="937"/>
      <c r="F158" s="690" t="s">
        <v>366</v>
      </c>
      <c r="G158" s="690" t="s">
        <v>366</v>
      </c>
      <c r="H158" s="691">
        <v>170435</v>
      </c>
      <c r="I158" s="692">
        <v>500000</v>
      </c>
      <c r="J158" s="692">
        <v>3.4750000000000001</v>
      </c>
      <c r="K158" s="692">
        <v>508406.59340000001</v>
      </c>
      <c r="L158" s="693"/>
      <c r="M158" s="692">
        <v>8636.4500000000007</v>
      </c>
      <c r="N158" s="694"/>
      <c r="O158" s="693"/>
      <c r="P158" s="693"/>
      <c r="Q158" s="693"/>
      <c r="R158" s="693"/>
      <c r="S158" s="498">
        <v>3.4161252566707798</v>
      </c>
      <c r="T158" s="692">
        <v>4.9837143122230598</v>
      </c>
      <c r="U158" s="692">
        <v>1.56758905554955</v>
      </c>
      <c r="V158" s="498">
        <v>12599.537850000001</v>
      </c>
      <c r="W158" s="692">
        <v>3963.0878499999999</v>
      </c>
      <c r="X158" s="692">
        <v>-0.48172508986707002</v>
      </c>
      <c r="Y158" s="692">
        <v>-1217.869469</v>
      </c>
      <c r="Z158" s="692">
        <v>0</v>
      </c>
      <c r="AA158" s="692">
        <v>0</v>
      </c>
      <c r="AB158" s="692">
        <v>0</v>
      </c>
      <c r="AC158" s="692">
        <v>0</v>
      </c>
      <c r="AD158" s="692">
        <v>0</v>
      </c>
      <c r="AE158" s="692">
        <v>0</v>
      </c>
      <c r="AF158" s="692">
        <v>0</v>
      </c>
      <c r="AG158" s="692">
        <v>0</v>
      </c>
      <c r="AH158" s="692">
        <v>0</v>
      </c>
      <c r="AI158" s="692">
        <v>0</v>
      </c>
      <c r="AJ158" s="692">
        <v>0</v>
      </c>
      <c r="AK158" s="692">
        <v>0</v>
      </c>
      <c r="AL158" s="692">
        <v>0</v>
      </c>
      <c r="AM158" s="692">
        <v>0</v>
      </c>
      <c r="AN158" s="692">
        <v>0</v>
      </c>
      <c r="AO158" s="692">
        <v>0</v>
      </c>
      <c r="AP158" s="498">
        <v>0</v>
      </c>
      <c r="AQ158" s="498">
        <v>0</v>
      </c>
      <c r="AR158" s="692">
        <v>4.50198923936453</v>
      </c>
      <c r="AS158" s="692">
        <v>1.0858639826910199</v>
      </c>
      <c r="AT158" s="498">
        <v>11381.668424</v>
      </c>
      <c r="AU158" s="695">
        <v>2745.2184240000001</v>
      </c>
    </row>
    <row r="159" spans="1:47" ht="12" thickBot="1">
      <c r="A159" s="937"/>
      <c r="B159" s="937"/>
      <c r="C159" s="937"/>
      <c r="D159" s="938"/>
      <c r="E159" s="938"/>
      <c r="F159" s="690" t="s">
        <v>367</v>
      </c>
      <c r="G159" s="690" t="s">
        <v>367</v>
      </c>
      <c r="H159" s="691">
        <v>170436</v>
      </c>
      <c r="I159" s="692">
        <v>6538702.6500000004</v>
      </c>
      <c r="J159" s="692">
        <v>4.0631767411842796</v>
      </c>
      <c r="K159" s="692">
        <v>6694859.2434</v>
      </c>
      <c r="L159" s="693"/>
      <c r="M159" s="692">
        <v>125045.63</v>
      </c>
      <c r="N159" s="694"/>
      <c r="O159" s="693"/>
      <c r="P159" s="693"/>
      <c r="Q159" s="693"/>
      <c r="R159" s="693"/>
      <c r="S159" s="498">
        <v>3.7560967103199299</v>
      </c>
      <c r="T159" s="692">
        <v>5.3781607405849901</v>
      </c>
      <c r="U159" s="692">
        <v>1.6220640302642699</v>
      </c>
      <c r="V159" s="498">
        <v>179046.37444499999</v>
      </c>
      <c r="W159" s="692">
        <v>54000.744444999997</v>
      </c>
      <c r="X159" s="692">
        <v>-0.53943555105410501</v>
      </c>
      <c r="Y159" s="692">
        <v>-17958.552062999999</v>
      </c>
      <c r="Z159" s="692">
        <v>0</v>
      </c>
      <c r="AA159" s="692">
        <v>0</v>
      </c>
      <c r="AB159" s="692">
        <v>0</v>
      </c>
      <c r="AC159" s="692">
        <v>0</v>
      </c>
      <c r="AD159" s="692">
        <v>0</v>
      </c>
      <c r="AE159" s="692">
        <v>0</v>
      </c>
      <c r="AF159" s="692">
        <v>0</v>
      </c>
      <c r="AG159" s="692">
        <v>0</v>
      </c>
      <c r="AH159" s="692">
        <v>0</v>
      </c>
      <c r="AI159" s="692">
        <v>0</v>
      </c>
      <c r="AJ159" s="692">
        <v>0</v>
      </c>
      <c r="AK159" s="692">
        <v>0</v>
      </c>
      <c r="AL159" s="692">
        <v>0</v>
      </c>
      <c r="AM159" s="692">
        <v>0</v>
      </c>
      <c r="AN159" s="692">
        <v>0</v>
      </c>
      <c r="AO159" s="692">
        <v>0</v>
      </c>
      <c r="AP159" s="498">
        <v>0</v>
      </c>
      <c r="AQ159" s="498">
        <v>0</v>
      </c>
      <c r="AR159" s="692">
        <v>4.8387251903419104</v>
      </c>
      <c r="AS159" s="692">
        <v>1.0826284800211801</v>
      </c>
      <c r="AT159" s="498">
        <v>161087.82240899999</v>
      </c>
      <c r="AU159" s="695">
        <v>36042.192409000003</v>
      </c>
    </row>
    <row r="160" spans="1:47" ht="12" thickBot="1">
      <c r="A160" s="937"/>
      <c r="B160" s="937"/>
      <c r="C160" s="938"/>
      <c r="D160" s="690" t="s">
        <v>368</v>
      </c>
      <c r="E160" s="690" t="s">
        <v>368</v>
      </c>
      <c r="F160" s="690" t="s">
        <v>368</v>
      </c>
      <c r="G160" s="690" t="s">
        <v>368</v>
      </c>
      <c r="H160" s="691">
        <v>170438</v>
      </c>
      <c r="I160" s="692">
        <v>899255.03</v>
      </c>
      <c r="J160" s="692">
        <v>0</v>
      </c>
      <c r="K160" s="692">
        <v>885974.59039999999</v>
      </c>
      <c r="L160" s="693"/>
      <c r="M160" s="692">
        <v>0</v>
      </c>
      <c r="N160" s="694"/>
      <c r="O160" s="693"/>
      <c r="P160" s="693"/>
      <c r="Q160" s="693"/>
      <c r="R160" s="693"/>
      <c r="S160" s="498">
        <v>0</v>
      </c>
      <c r="T160" s="692">
        <v>1.8689463613785</v>
      </c>
      <c r="U160" s="692">
        <v>1.8689463613785</v>
      </c>
      <c r="V160" s="498">
        <v>8233.9534330000006</v>
      </c>
      <c r="W160" s="692">
        <v>8233.9534330000006</v>
      </c>
      <c r="X160" s="692">
        <v>0</v>
      </c>
      <c r="Y160" s="692">
        <v>0</v>
      </c>
      <c r="Z160" s="692">
        <v>0</v>
      </c>
      <c r="AA160" s="692">
        <v>0</v>
      </c>
      <c r="AB160" s="692">
        <v>0</v>
      </c>
      <c r="AC160" s="692">
        <v>0</v>
      </c>
      <c r="AD160" s="692">
        <v>0</v>
      </c>
      <c r="AE160" s="692">
        <v>0</v>
      </c>
      <c r="AF160" s="692">
        <v>0</v>
      </c>
      <c r="AG160" s="692">
        <v>0</v>
      </c>
      <c r="AH160" s="692">
        <v>0</v>
      </c>
      <c r="AI160" s="692">
        <v>0</v>
      </c>
      <c r="AJ160" s="692">
        <v>0</v>
      </c>
      <c r="AK160" s="692">
        <v>0</v>
      </c>
      <c r="AL160" s="692">
        <v>0</v>
      </c>
      <c r="AM160" s="692">
        <v>0</v>
      </c>
      <c r="AN160" s="692">
        <v>0</v>
      </c>
      <c r="AO160" s="692">
        <v>0</v>
      </c>
      <c r="AP160" s="498">
        <v>0</v>
      </c>
      <c r="AQ160" s="498">
        <v>0</v>
      </c>
      <c r="AR160" s="692">
        <v>1.8689463613785</v>
      </c>
      <c r="AS160" s="692">
        <v>1.8689463613785</v>
      </c>
      <c r="AT160" s="498">
        <v>8233.9534330000006</v>
      </c>
      <c r="AU160" s="695">
        <v>8233.9534330000006</v>
      </c>
    </row>
    <row r="161" spans="1:47" ht="12" thickBot="1">
      <c r="A161" s="937"/>
      <c r="B161" s="937"/>
      <c r="C161" s="936" t="s">
        <v>369</v>
      </c>
      <c r="D161" s="936" t="s">
        <v>369</v>
      </c>
      <c r="E161" s="936" t="s">
        <v>369</v>
      </c>
      <c r="F161" s="690" t="s">
        <v>370</v>
      </c>
      <c r="G161" s="690" t="s">
        <v>370</v>
      </c>
      <c r="H161" s="691">
        <v>170441</v>
      </c>
      <c r="I161" s="692">
        <v>34633118.920000002</v>
      </c>
      <c r="J161" s="692">
        <v>0.35</v>
      </c>
      <c r="K161" s="692">
        <v>26906912.870200001</v>
      </c>
      <c r="L161" s="693"/>
      <c r="M161" s="692">
        <v>46569.41</v>
      </c>
      <c r="N161" s="694"/>
      <c r="O161" s="693"/>
      <c r="P161" s="693"/>
      <c r="Q161" s="693"/>
      <c r="R161" s="693"/>
      <c r="S161" s="498">
        <v>0.34805394513488103</v>
      </c>
      <c r="T161" s="692">
        <v>3.1430656309412899</v>
      </c>
      <c r="U161" s="692">
        <v>2.7950116858063798</v>
      </c>
      <c r="V161" s="498">
        <v>420540.30437000003</v>
      </c>
      <c r="W161" s="692">
        <v>373970.89436999999</v>
      </c>
      <c r="X161" s="692">
        <v>-0.225488780221969</v>
      </c>
      <c r="Y161" s="692">
        <v>-30170.264131</v>
      </c>
      <c r="Z161" s="692">
        <v>0</v>
      </c>
      <c r="AA161" s="692">
        <v>0</v>
      </c>
      <c r="AB161" s="692">
        <v>7.9124147931399994E-3</v>
      </c>
      <c r="AC161" s="692">
        <v>1058.6763739999999</v>
      </c>
      <c r="AD161" s="692">
        <v>0</v>
      </c>
      <c r="AE161" s="692">
        <v>0</v>
      </c>
      <c r="AF161" s="692">
        <v>0</v>
      </c>
      <c r="AG161" s="692">
        <v>0</v>
      </c>
      <c r="AH161" s="692">
        <v>0</v>
      </c>
      <c r="AI161" s="692">
        <v>0</v>
      </c>
      <c r="AJ161" s="692">
        <v>0</v>
      </c>
      <c r="AK161" s="692">
        <v>0</v>
      </c>
      <c r="AL161" s="692">
        <v>0</v>
      </c>
      <c r="AM161" s="692">
        <v>0</v>
      </c>
      <c r="AN161" s="692">
        <v>0</v>
      </c>
      <c r="AO161" s="692">
        <v>0</v>
      </c>
      <c r="AP161" s="498">
        <v>0</v>
      </c>
      <c r="AQ161" s="498">
        <v>0</v>
      </c>
      <c r="AR161" s="692">
        <v>2.9254892655348899</v>
      </c>
      <c r="AS161" s="692">
        <v>2.5774353203999798</v>
      </c>
      <c r="AT161" s="498">
        <v>391428.71661599999</v>
      </c>
      <c r="AU161" s="695">
        <v>344859.30661600002</v>
      </c>
    </row>
    <row r="162" spans="1:47" ht="12" thickBot="1">
      <c r="A162" s="937"/>
      <c r="B162" s="937"/>
      <c r="C162" s="937"/>
      <c r="D162" s="937"/>
      <c r="E162" s="937"/>
      <c r="F162" s="690" t="s">
        <v>371</v>
      </c>
      <c r="G162" s="690" t="s">
        <v>371</v>
      </c>
      <c r="H162" s="691">
        <v>170442</v>
      </c>
      <c r="I162" s="692">
        <v>762.05</v>
      </c>
      <c r="J162" s="692">
        <v>0.35</v>
      </c>
      <c r="K162" s="692">
        <v>765.26229999999998</v>
      </c>
      <c r="L162" s="693"/>
      <c r="M162" s="692">
        <v>1.35</v>
      </c>
      <c r="N162" s="694"/>
      <c r="O162" s="693"/>
      <c r="P162" s="693"/>
      <c r="Q162" s="693"/>
      <c r="R162" s="693"/>
      <c r="S162" s="498">
        <v>0.35475877179033399</v>
      </c>
      <c r="T162" s="692">
        <v>3.24471701651678</v>
      </c>
      <c r="U162" s="692">
        <v>2.8899582445838101</v>
      </c>
      <c r="V162" s="498">
        <v>12.347455</v>
      </c>
      <c r="W162" s="692">
        <v>10.997455</v>
      </c>
      <c r="X162" s="692">
        <v>-0.23300109407289299</v>
      </c>
      <c r="Y162" s="692">
        <v>-0.88666299999999998</v>
      </c>
      <c r="Z162" s="692">
        <v>0</v>
      </c>
      <c r="AA162" s="692">
        <v>0</v>
      </c>
      <c r="AB162" s="692">
        <v>0</v>
      </c>
      <c r="AC162" s="692">
        <v>0</v>
      </c>
      <c r="AD162" s="692">
        <v>0</v>
      </c>
      <c r="AE162" s="692">
        <v>0</v>
      </c>
      <c r="AF162" s="692">
        <v>0</v>
      </c>
      <c r="AG162" s="692">
        <v>0</v>
      </c>
      <c r="AH162" s="692">
        <v>0</v>
      </c>
      <c r="AI162" s="692">
        <v>0</v>
      </c>
      <c r="AJ162" s="692">
        <v>0</v>
      </c>
      <c r="AK162" s="692">
        <v>0</v>
      </c>
      <c r="AL162" s="692">
        <v>0</v>
      </c>
      <c r="AM162" s="692">
        <v>0</v>
      </c>
      <c r="AN162" s="692">
        <v>0</v>
      </c>
      <c r="AO162" s="692">
        <v>0</v>
      </c>
      <c r="AP162" s="498">
        <v>0</v>
      </c>
      <c r="AQ162" s="498">
        <v>0</v>
      </c>
      <c r="AR162" s="692">
        <v>3.0117185502866399</v>
      </c>
      <c r="AS162" s="692">
        <v>2.65695977835367</v>
      </c>
      <c r="AT162" s="498">
        <v>11.460801999999999</v>
      </c>
      <c r="AU162" s="695">
        <v>10.110802</v>
      </c>
    </row>
    <row r="163" spans="1:47" ht="12" thickBot="1">
      <c r="A163" s="937"/>
      <c r="B163" s="937"/>
      <c r="C163" s="938"/>
      <c r="D163" s="938"/>
      <c r="E163" s="938"/>
      <c r="F163" s="690" t="s">
        <v>372</v>
      </c>
      <c r="G163" s="690" t="s">
        <v>372</v>
      </c>
      <c r="H163" s="691">
        <v>170443</v>
      </c>
      <c r="I163" s="692">
        <v>4522376.99</v>
      </c>
      <c r="J163" s="692">
        <v>0.35</v>
      </c>
      <c r="K163" s="692">
        <v>10321047.7722</v>
      </c>
      <c r="L163" s="693"/>
      <c r="M163" s="692">
        <v>18069.169999999998</v>
      </c>
      <c r="N163" s="694"/>
      <c r="O163" s="693"/>
      <c r="P163" s="693"/>
      <c r="Q163" s="693"/>
      <c r="R163" s="693"/>
      <c r="S163" s="498">
        <v>0.352066021887253</v>
      </c>
      <c r="T163" s="692">
        <v>3.2026729225900898</v>
      </c>
      <c r="U163" s="692">
        <v>2.8506069007028598</v>
      </c>
      <c r="V163" s="498">
        <v>164371.56071600001</v>
      </c>
      <c r="W163" s="692">
        <v>146302.39071599999</v>
      </c>
      <c r="X163" s="692">
        <v>-0.229772938348176</v>
      </c>
      <c r="Y163" s="692">
        <v>-11792.692354000001</v>
      </c>
      <c r="Z163" s="692">
        <v>0</v>
      </c>
      <c r="AA163" s="692">
        <v>0</v>
      </c>
      <c r="AB163" s="692">
        <v>0</v>
      </c>
      <c r="AC163" s="692">
        <v>0</v>
      </c>
      <c r="AD163" s="692">
        <v>0</v>
      </c>
      <c r="AE163" s="692">
        <v>0</v>
      </c>
      <c r="AF163" s="692">
        <v>0</v>
      </c>
      <c r="AG163" s="692">
        <v>0</v>
      </c>
      <c r="AH163" s="692">
        <v>0</v>
      </c>
      <c r="AI163" s="692">
        <v>0</v>
      </c>
      <c r="AJ163" s="692">
        <v>0</v>
      </c>
      <c r="AK163" s="692">
        <v>0</v>
      </c>
      <c r="AL163" s="692">
        <v>0</v>
      </c>
      <c r="AM163" s="692">
        <v>0</v>
      </c>
      <c r="AN163" s="692">
        <v>0</v>
      </c>
      <c r="AO163" s="692">
        <v>0</v>
      </c>
      <c r="AP163" s="498">
        <v>0</v>
      </c>
      <c r="AQ163" s="498">
        <v>0</v>
      </c>
      <c r="AR163" s="692">
        <v>2.9728999758246699</v>
      </c>
      <c r="AS163" s="692">
        <v>2.6208339539374399</v>
      </c>
      <c r="AT163" s="498">
        <v>152578.86793000001</v>
      </c>
      <c r="AU163" s="695">
        <v>134509.69792999999</v>
      </c>
    </row>
    <row r="164" spans="1:47" ht="12" thickBot="1">
      <c r="A164" s="938"/>
      <c r="B164" s="938"/>
      <c r="C164" s="690" t="s">
        <v>373</v>
      </c>
      <c r="D164" s="690" t="s">
        <v>373</v>
      </c>
      <c r="E164" s="690" t="s">
        <v>373</v>
      </c>
      <c r="F164" s="690" t="s">
        <v>373</v>
      </c>
      <c r="G164" s="690" t="s">
        <v>373</v>
      </c>
      <c r="H164" s="691">
        <v>170451</v>
      </c>
      <c r="I164" s="692">
        <v>202015473.63999999</v>
      </c>
      <c r="J164" s="692">
        <v>1.90636733337463</v>
      </c>
      <c r="K164" s="692">
        <v>280111673.79110003</v>
      </c>
      <c r="L164" s="693"/>
      <c r="M164" s="692">
        <v>2764383.61</v>
      </c>
      <c r="N164" s="694"/>
      <c r="O164" s="693"/>
      <c r="P164" s="693"/>
      <c r="Q164" s="693"/>
      <c r="R164" s="693"/>
      <c r="S164" s="498">
        <v>1.9846174158409</v>
      </c>
      <c r="T164" s="692">
        <v>3.8113373921214602</v>
      </c>
      <c r="U164" s="692">
        <v>1.8267199762805599</v>
      </c>
      <c r="V164" s="498">
        <v>5308831.0799169997</v>
      </c>
      <c r="W164" s="692">
        <v>2544447.4699169998</v>
      </c>
      <c r="X164" s="692">
        <v>-0.31385823320170197</v>
      </c>
      <c r="Y164" s="692">
        <v>-437174.716296</v>
      </c>
      <c r="Z164" s="692">
        <v>0</v>
      </c>
      <c r="AA164" s="692">
        <v>0</v>
      </c>
      <c r="AB164" s="692">
        <v>0</v>
      </c>
      <c r="AC164" s="692">
        <v>0</v>
      </c>
      <c r="AD164" s="692">
        <v>0</v>
      </c>
      <c r="AE164" s="692">
        <v>0</v>
      </c>
      <c r="AF164" s="692">
        <v>0</v>
      </c>
      <c r="AG164" s="692">
        <v>0</v>
      </c>
      <c r="AH164" s="692">
        <v>0</v>
      </c>
      <c r="AI164" s="692">
        <v>0</v>
      </c>
      <c r="AJ164" s="692">
        <v>0</v>
      </c>
      <c r="AK164" s="692">
        <v>0</v>
      </c>
      <c r="AL164" s="692">
        <v>0</v>
      </c>
      <c r="AM164" s="692">
        <v>0</v>
      </c>
      <c r="AN164" s="692">
        <v>0</v>
      </c>
      <c r="AO164" s="692">
        <v>0</v>
      </c>
      <c r="AP164" s="498">
        <v>0</v>
      </c>
      <c r="AQ164" s="498">
        <v>0</v>
      </c>
      <c r="AR164" s="692">
        <v>3.4974791596003501</v>
      </c>
      <c r="AS164" s="692">
        <v>1.51286174375945</v>
      </c>
      <c r="AT164" s="498">
        <v>4871656.364569</v>
      </c>
      <c r="AU164" s="695">
        <v>2107272.7545690001</v>
      </c>
    </row>
    <row r="165" spans="1:47" ht="12" thickBot="1">
      <c r="A165" s="936" t="s">
        <v>374</v>
      </c>
      <c r="B165" s="936" t="s">
        <v>375</v>
      </c>
      <c r="C165" s="936" t="s">
        <v>376</v>
      </c>
      <c r="D165" s="936" t="s">
        <v>377</v>
      </c>
      <c r="E165" s="690" t="s">
        <v>378</v>
      </c>
      <c r="F165" s="690" t="s">
        <v>378</v>
      </c>
      <c r="G165" s="690" t="s">
        <v>378</v>
      </c>
      <c r="H165" s="691">
        <v>270001</v>
      </c>
      <c r="I165" s="692">
        <v>3955858461.3699999</v>
      </c>
      <c r="J165" s="692">
        <v>5.2560853716688296</v>
      </c>
      <c r="K165" s="692">
        <v>4164308451.7909002</v>
      </c>
      <c r="L165" s="698">
        <f>SUM(K165:K172)</f>
        <v>47943414016.221008</v>
      </c>
      <c r="M165" s="692">
        <v>110540661.1813</v>
      </c>
      <c r="N165" s="694">
        <v>75378181.551300004</v>
      </c>
      <c r="O165" s="698">
        <f>SUM(M165:M172)</f>
        <v>1464341566.8081</v>
      </c>
      <c r="P165" s="698">
        <f>SUM(N165:N172)</f>
        <v>977143841.98259997</v>
      </c>
      <c r="Q165" s="698">
        <f>P165+(O165-P165)/1.06</f>
        <v>1436764337.1009963</v>
      </c>
      <c r="R165" s="702">
        <f>Q165/L165/$H$1*366</f>
        <v>6.0265155341533524E-2</v>
      </c>
      <c r="S165" s="498">
        <v>5.3381265454733597</v>
      </c>
      <c r="T165" s="692">
        <v>3.7975578118162399</v>
      </c>
      <c r="U165" s="692">
        <v>1.5405687336571201</v>
      </c>
      <c r="V165" s="498">
        <v>78638928.435185</v>
      </c>
      <c r="W165" s="692">
        <v>31901732.744814999</v>
      </c>
      <c r="X165" s="692">
        <v>0</v>
      </c>
      <c r="Y165" s="692">
        <v>0</v>
      </c>
      <c r="Z165" s="692">
        <v>0.36546472621621801</v>
      </c>
      <c r="AA165" s="692">
        <v>7567957.0594229996</v>
      </c>
      <c r="AB165" s="692">
        <v>0</v>
      </c>
      <c r="AC165" s="692">
        <v>0</v>
      </c>
      <c r="AD165" s="692">
        <v>0</v>
      </c>
      <c r="AE165" s="692">
        <v>0</v>
      </c>
      <c r="AF165" s="692">
        <v>0</v>
      </c>
      <c r="AG165" s="692">
        <v>0</v>
      </c>
      <c r="AH165" s="692">
        <v>0</v>
      </c>
      <c r="AI165" s="692">
        <v>0</v>
      </c>
      <c r="AJ165" s="692">
        <v>0</v>
      </c>
      <c r="AK165" s="692">
        <v>0</v>
      </c>
      <c r="AL165" s="692">
        <v>0</v>
      </c>
      <c r="AM165" s="692">
        <v>0</v>
      </c>
      <c r="AN165" s="692">
        <v>0</v>
      </c>
      <c r="AO165" s="692">
        <v>0</v>
      </c>
      <c r="AP165" s="498">
        <v>-1.6901873706099999E-4</v>
      </c>
      <c r="AQ165" s="498">
        <v>-3500.0000070000001</v>
      </c>
      <c r="AR165" s="692">
        <v>4.1628535192819198</v>
      </c>
      <c r="AS165" s="692">
        <v>1.1752730261914399</v>
      </c>
      <c r="AT165" s="498">
        <v>86203385.494322002</v>
      </c>
      <c r="AU165" s="695">
        <v>24337275.685678001</v>
      </c>
    </row>
    <row r="166" spans="1:47" ht="12" thickBot="1">
      <c r="A166" s="937"/>
      <c r="B166" s="937"/>
      <c r="C166" s="937"/>
      <c r="D166" s="937"/>
      <c r="E166" s="690" t="s">
        <v>379</v>
      </c>
      <c r="F166" s="690" t="s">
        <v>379</v>
      </c>
      <c r="G166" s="690" t="s">
        <v>379</v>
      </c>
      <c r="H166" s="691">
        <v>270002</v>
      </c>
      <c r="I166" s="692">
        <v>4861875.16</v>
      </c>
      <c r="J166" s="692">
        <v>6.1750800000000403</v>
      </c>
      <c r="K166" s="692">
        <v>8766737.7333000004</v>
      </c>
      <c r="L166" s="698"/>
      <c r="M166" s="692">
        <v>288282.55</v>
      </c>
      <c r="N166" s="694">
        <v>237040.76</v>
      </c>
      <c r="O166" s="698"/>
      <c r="P166" s="698"/>
      <c r="Q166" s="698"/>
      <c r="R166" s="693"/>
      <c r="S166" s="498">
        <v>6.6128708049289804</v>
      </c>
      <c r="T166" s="692">
        <v>4.1966637155518702</v>
      </c>
      <c r="U166" s="692">
        <v>2.4162070893773402</v>
      </c>
      <c r="V166" s="498">
        <v>182950.03079600001</v>
      </c>
      <c r="W166" s="692">
        <v>105332.519204</v>
      </c>
      <c r="X166" s="692">
        <v>0</v>
      </c>
      <c r="Y166" s="692">
        <v>0</v>
      </c>
      <c r="Z166" s="692">
        <v>0.16831233665928899</v>
      </c>
      <c r="AA166" s="692">
        <v>7337.4349869999996</v>
      </c>
      <c r="AB166" s="692">
        <v>0</v>
      </c>
      <c r="AC166" s="692">
        <v>0</v>
      </c>
      <c r="AD166" s="692">
        <v>0</v>
      </c>
      <c r="AE166" s="692">
        <v>0</v>
      </c>
      <c r="AF166" s="692">
        <v>0</v>
      </c>
      <c r="AG166" s="692">
        <v>0</v>
      </c>
      <c r="AH166" s="692">
        <v>0</v>
      </c>
      <c r="AI166" s="692">
        <v>0</v>
      </c>
      <c r="AJ166" s="692">
        <v>0</v>
      </c>
      <c r="AK166" s="692">
        <v>0</v>
      </c>
      <c r="AL166" s="692">
        <v>0</v>
      </c>
      <c r="AM166" s="692">
        <v>0</v>
      </c>
      <c r="AN166" s="692">
        <v>0</v>
      </c>
      <c r="AO166" s="692">
        <v>0</v>
      </c>
      <c r="AP166" s="498">
        <v>0</v>
      </c>
      <c r="AQ166" s="498">
        <v>0</v>
      </c>
      <c r="AR166" s="692">
        <v>4.3649760519817704</v>
      </c>
      <c r="AS166" s="692">
        <v>2.24789475294744</v>
      </c>
      <c r="AT166" s="498">
        <v>190287.465773</v>
      </c>
      <c r="AU166" s="695">
        <v>97995.084226999999</v>
      </c>
    </row>
    <row r="167" spans="1:47" ht="12" thickBot="1">
      <c r="A167" s="937"/>
      <c r="B167" s="937"/>
      <c r="C167" s="937"/>
      <c r="D167" s="937"/>
      <c r="E167" s="690" t="s">
        <v>380</v>
      </c>
      <c r="F167" s="690" t="s">
        <v>380</v>
      </c>
      <c r="G167" s="690" t="s">
        <v>380</v>
      </c>
      <c r="H167" s="691">
        <v>270003</v>
      </c>
      <c r="I167" s="692">
        <v>600131393.63</v>
      </c>
      <c r="J167" s="692">
        <v>7.2627748556413101</v>
      </c>
      <c r="K167" s="692">
        <v>760285879.46159995</v>
      </c>
      <c r="L167" s="698"/>
      <c r="M167" s="692">
        <v>26998786.940000001</v>
      </c>
      <c r="N167" s="694">
        <v>19550305.48</v>
      </c>
      <c r="O167" s="698"/>
      <c r="P167" s="698"/>
      <c r="Q167" s="698"/>
      <c r="R167" s="693"/>
      <c r="S167" s="498">
        <v>7.1412958353006699</v>
      </c>
      <c r="T167" s="692">
        <v>4.3024818765218598</v>
      </c>
      <c r="U167" s="692">
        <v>2.8388139587787902</v>
      </c>
      <c r="V167" s="498">
        <v>16266206.326758999</v>
      </c>
      <c r="W167" s="692">
        <v>10732580.613241</v>
      </c>
      <c r="X167" s="692">
        <v>0</v>
      </c>
      <c r="Y167" s="692">
        <v>0</v>
      </c>
      <c r="Z167" s="692">
        <v>0.104772824543013</v>
      </c>
      <c r="AA167" s="692">
        <v>396110.06632099999</v>
      </c>
      <c r="AB167" s="692">
        <v>0</v>
      </c>
      <c r="AC167" s="692">
        <v>0</v>
      </c>
      <c r="AD167" s="692">
        <v>0</v>
      </c>
      <c r="AE167" s="692">
        <v>0</v>
      </c>
      <c r="AF167" s="692">
        <v>0</v>
      </c>
      <c r="AG167" s="692">
        <v>0</v>
      </c>
      <c r="AH167" s="692">
        <v>0</v>
      </c>
      <c r="AI167" s="692">
        <v>0</v>
      </c>
      <c r="AJ167" s="692">
        <v>0</v>
      </c>
      <c r="AK167" s="692">
        <v>0</v>
      </c>
      <c r="AL167" s="692">
        <v>0</v>
      </c>
      <c r="AM167" s="692">
        <v>0</v>
      </c>
      <c r="AN167" s="692">
        <v>0</v>
      </c>
      <c r="AO167" s="692">
        <v>0</v>
      </c>
      <c r="AP167" s="498">
        <v>0</v>
      </c>
      <c r="AQ167" s="498">
        <v>0</v>
      </c>
      <c r="AR167" s="692">
        <v>4.4072547010146197</v>
      </c>
      <c r="AS167" s="692">
        <v>2.7340411342860298</v>
      </c>
      <c r="AT167" s="498">
        <v>16662316.392890001</v>
      </c>
      <c r="AU167" s="695">
        <v>10336470.547110001</v>
      </c>
    </row>
    <row r="168" spans="1:47" ht="12" thickBot="1">
      <c r="A168" s="937"/>
      <c r="B168" s="937"/>
      <c r="C168" s="937"/>
      <c r="D168" s="937"/>
      <c r="E168" s="690" t="s">
        <v>381</v>
      </c>
      <c r="F168" s="690" t="s">
        <v>381</v>
      </c>
      <c r="G168" s="690" t="s">
        <v>381</v>
      </c>
      <c r="H168" s="691">
        <v>270004</v>
      </c>
      <c r="I168" s="692">
        <v>12571186011.440001</v>
      </c>
      <c r="J168" s="692">
        <v>5.8436812857553004</v>
      </c>
      <c r="K168" s="692">
        <v>11262959411.784599</v>
      </c>
      <c r="L168" s="698"/>
      <c r="M168" s="692">
        <v>342867706.6426</v>
      </c>
      <c r="N168" s="694">
        <v>225603279.61199999</v>
      </c>
      <c r="O168" s="698"/>
      <c r="P168" s="698"/>
      <c r="Q168" s="698"/>
      <c r="R168" s="693"/>
      <c r="S168" s="498">
        <v>6.1218651782996396</v>
      </c>
      <c r="T168" s="692">
        <v>3.87519622178857</v>
      </c>
      <c r="U168" s="692">
        <v>2.24666895651107</v>
      </c>
      <c r="V168" s="498">
        <v>217038370.275525</v>
      </c>
      <c r="W168" s="692">
        <v>125829336.364475</v>
      </c>
      <c r="X168" s="692">
        <v>0</v>
      </c>
      <c r="Y168" s="692">
        <v>0</v>
      </c>
      <c r="Z168" s="692">
        <v>0.35626819713358299</v>
      </c>
      <c r="AA168" s="692">
        <v>19953536.404715002</v>
      </c>
      <c r="AB168" s="692">
        <v>0</v>
      </c>
      <c r="AC168" s="692">
        <v>0</v>
      </c>
      <c r="AD168" s="692">
        <v>0</v>
      </c>
      <c r="AE168" s="692">
        <v>0</v>
      </c>
      <c r="AF168" s="692">
        <v>0</v>
      </c>
      <c r="AG168" s="692">
        <v>0</v>
      </c>
      <c r="AH168" s="692">
        <v>0</v>
      </c>
      <c r="AI168" s="692">
        <v>0</v>
      </c>
      <c r="AJ168" s="692">
        <v>0</v>
      </c>
      <c r="AK168" s="692">
        <v>0</v>
      </c>
      <c r="AL168" s="692">
        <v>0</v>
      </c>
      <c r="AM168" s="692">
        <v>0</v>
      </c>
      <c r="AN168" s="692">
        <v>0</v>
      </c>
      <c r="AO168" s="692">
        <v>0</v>
      </c>
      <c r="AP168" s="498">
        <v>-4.5094993161600002E-4</v>
      </c>
      <c r="AQ168" s="498">
        <v>-25256.382549999998</v>
      </c>
      <c r="AR168" s="692">
        <v>4.2310134689960703</v>
      </c>
      <c r="AS168" s="692">
        <v>1.8908517093035699</v>
      </c>
      <c r="AT168" s="498">
        <v>236966650.29800001</v>
      </c>
      <c r="AU168" s="695">
        <v>105901056.34199999</v>
      </c>
    </row>
    <row r="169" spans="1:47" ht="12" thickBot="1">
      <c r="A169" s="937"/>
      <c r="B169" s="937"/>
      <c r="C169" s="937"/>
      <c r="D169" s="937"/>
      <c r="E169" s="690" t="s">
        <v>382</v>
      </c>
      <c r="F169" s="690" t="s">
        <v>382</v>
      </c>
      <c r="G169" s="690" t="s">
        <v>382</v>
      </c>
      <c r="H169" s="691">
        <v>270005</v>
      </c>
      <c r="I169" s="692">
        <v>14531105715.959999</v>
      </c>
      <c r="J169" s="692">
        <v>6.0931376304463196</v>
      </c>
      <c r="K169" s="692">
        <v>13386585829.485701</v>
      </c>
      <c r="L169" s="698"/>
      <c r="M169" s="692">
        <v>402223676.671</v>
      </c>
      <c r="N169" s="694">
        <v>267129959.5368</v>
      </c>
      <c r="O169" s="698"/>
      <c r="P169" s="698"/>
      <c r="Q169" s="698"/>
      <c r="R169" s="693"/>
      <c r="S169" s="498">
        <v>6.0423725961642401</v>
      </c>
      <c r="T169" s="692">
        <v>3.8541763206953901</v>
      </c>
      <c r="U169" s="692">
        <v>2.18819627546885</v>
      </c>
      <c r="V169" s="498">
        <v>256561631.301936</v>
      </c>
      <c r="W169" s="692">
        <v>145662045.358064</v>
      </c>
      <c r="X169" s="692">
        <v>0</v>
      </c>
      <c r="Y169" s="692">
        <v>0</v>
      </c>
      <c r="Z169" s="692">
        <v>0.32232360777765101</v>
      </c>
      <c r="AA169" s="692">
        <v>21456172.146177001</v>
      </c>
      <c r="AB169" s="692">
        <v>0</v>
      </c>
      <c r="AC169" s="692">
        <v>0</v>
      </c>
      <c r="AD169" s="692">
        <v>0</v>
      </c>
      <c r="AE169" s="692">
        <v>0</v>
      </c>
      <c r="AF169" s="692">
        <v>0</v>
      </c>
      <c r="AG169" s="692">
        <v>0</v>
      </c>
      <c r="AH169" s="692">
        <v>0</v>
      </c>
      <c r="AI169" s="692">
        <v>0</v>
      </c>
      <c r="AJ169" s="692">
        <v>0</v>
      </c>
      <c r="AK169" s="692">
        <v>0</v>
      </c>
      <c r="AL169" s="692">
        <v>0</v>
      </c>
      <c r="AM169" s="692">
        <v>0</v>
      </c>
      <c r="AN169" s="692">
        <v>0</v>
      </c>
      <c r="AO169" s="692">
        <v>0</v>
      </c>
      <c r="AP169" s="498">
        <v>-9.7606074455199997E-4</v>
      </c>
      <c r="AQ169" s="498">
        <v>-64973.606819000001</v>
      </c>
      <c r="AR169" s="692">
        <v>4.1755238677209103</v>
      </c>
      <c r="AS169" s="692">
        <v>1.8668487284433299</v>
      </c>
      <c r="AT169" s="498">
        <v>277952829.84078902</v>
      </c>
      <c r="AU169" s="695">
        <v>124270846.81921101</v>
      </c>
    </row>
    <row r="170" spans="1:47" ht="12" thickBot="1">
      <c r="A170" s="937"/>
      <c r="B170" s="937"/>
      <c r="C170" s="937"/>
      <c r="D170" s="938"/>
      <c r="E170" s="690" t="s">
        <v>383</v>
      </c>
      <c r="F170" s="690" t="s">
        <v>383</v>
      </c>
      <c r="G170" s="690" t="s">
        <v>383</v>
      </c>
      <c r="H170" s="691">
        <v>270007</v>
      </c>
      <c r="I170" s="692">
        <v>8749740662.9699993</v>
      </c>
      <c r="J170" s="692">
        <v>7.6945797366188797</v>
      </c>
      <c r="K170" s="692">
        <v>9233806958.0606003</v>
      </c>
      <c r="L170" s="698"/>
      <c r="M170" s="692">
        <v>340967139.25999999</v>
      </c>
      <c r="N170" s="694">
        <v>221579160.84</v>
      </c>
      <c r="O170" s="698"/>
      <c r="P170" s="698"/>
      <c r="Q170" s="698"/>
      <c r="R170" s="693"/>
      <c r="S170" s="498">
        <v>7.4257689517936702</v>
      </c>
      <c r="T170" s="692">
        <v>4.0323268033328699</v>
      </c>
      <c r="U170" s="692">
        <v>3.3934421484608102</v>
      </c>
      <c r="V170" s="498">
        <v>185151321.515562</v>
      </c>
      <c r="W170" s="692">
        <v>155815817.74443799</v>
      </c>
      <c r="X170" s="692">
        <v>0</v>
      </c>
      <c r="Y170" s="692">
        <v>0</v>
      </c>
      <c r="Z170" s="692">
        <v>0.175952937739142</v>
      </c>
      <c r="AA170" s="692">
        <v>8079186.1711259997</v>
      </c>
      <c r="AB170" s="692">
        <v>0</v>
      </c>
      <c r="AC170" s="692">
        <v>0</v>
      </c>
      <c r="AD170" s="692">
        <v>0</v>
      </c>
      <c r="AE170" s="692">
        <v>0</v>
      </c>
      <c r="AF170" s="692">
        <v>0</v>
      </c>
      <c r="AG170" s="692">
        <v>0</v>
      </c>
      <c r="AH170" s="692">
        <v>0</v>
      </c>
      <c r="AI170" s="692">
        <v>0</v>
      </c>
      <c r="AJ170" s="692">
        <v>-2.4176999511357999E-2</v>
      </c>
      <c r="AK170" s="692">
        <v>-1110129.1210099999</v>
      </c>
      <c r="AL170" s="692">
        <v>0</v>
      </c>
      <c r="AM170" s="692">
        <v>0</v>
      </c>
      <c r="AN170" s="692">
        <v>0</v>
      </c>
      <c r="AO170" s="692">
        <v>0</v>
      </c>
      <c r="AP170" s="498">
        <v>-3.9191389390469998E-3</v>
      </c>
      <c r="AQ170" s="498">
        <v>-179954.10321599999</v>
      </c>
      <c r="AR170" s="692">
        <v>4.18018360261346</v>
      </c>
      <c r="AS170" s="692">
        <v>3.2455853491802098</v>
      </c>
      <c r="AT170" s="498">
        <v>191940424.46208799</v>
      </c>
      <c r="AU170" s="695">
        <v>149026714.797912</v>
      </c>
    </row>
    <row r="171" spans="1:47" ht="12" thickBot="1">
      <c r="A171" s="937"/>
      <c r="B171" s="937"/>
      <c r="C171" s="937"/>
      <c r="D171" s="690" t="s">
        <v>384</v>
      </c>
      <c r="E171" s="690" t="s">
        <v>384</v>
      </c>
      <c r="F171" s="690" t="s">
        <v>384</v>
      </c>
      <c r="G171" s="690" t="s">
        <v>384</v>
      </c>
      <c r="H171" s="691">
        <v>270021</v>
      </c>
      <c r="I171" s="692">
        <v>7700514932.5100002</v>
      </c>
      <c r="J171" s="692">
        <v>4.5997476584157697</v>
      </c>
      <c r="K171" s="692">
        <v>7883243605.0472002</v>
      </c>
      <c r="L171" s="698"/>
      <c r="M171" s="692">
        <v>197049770.9632</v>
      </c>
      <c r="N171" s="694">
        <v>135731158.1525</v>
      </c>
      <c r="O171" s="698"/>
      <c r="P171" s="698"/>
      <c r="Q171" s="698"/>
      <c r="R171" s="693"/>
      <c r="S171" s="498">
        <v>5.0266735860446099</v>
      </c>
      <c r="T171" s="692">
        <v>3.9933832838665602</v>
      </c>
      <c r="U171" s="692">
        <v>1.0332903021780599</v>
      </c>
      <c r="V171" s="498">
        <v>156543934.66606399</v>
      </c>
      <c r="W171" s="692">
        <v>40505836.293935999</v>
      </c>
      <c r="X171" s="692">
        <v>0</v>
      </c>
      <c r="Y171" s="692">
        <v>0</v>
      </c>
      <c r="Z171" s="692">
        <v>0.38157301968861901</v>
      </c>
      <c r="AA171" s="692">
        <v>14957978.640766</v>
      </c>
      <c r="AB171" s="692">
        <v>0</v>
      </c>
      <c r="AC171" s="692">
        <v>0</v>
      </c>
      <c r="AD171" s="692">
        <v>0</v>
      </c>
      <c r="AE171" s="692">
        <v>0</v>
      </c>
      <c r="AF171" s="692">
        <v>0</v>
      </c>
      <c r="AG171" s="692">
        <v>0</v>
      </c>
      <c r="AH171" s="692">
        <v>0</v>
      </c>
      <c r="AI171" s="692">
        <v>0</v>
      </c>
      <c r="AJ171" s="692">
        <v>0</v>
      </c>
      <c r="AK171" s="692">
        <v>0</v>
      </c>
      <c r="AL171" s="692">
        <v>0</v>
      </c>
      <c r="AM171" s="692">
        <v>0</v>
      </c>
      <c r="AN171" s="692">
        <v>0</v>
      </c>
      <c r="AO171" s="692">
        <v>0</v>
      </c>
      <c r="AP171" s="498">
        <v>-4.9107690064569996E-3</v>
      </c>
      <c r="AQ171" s="498">
        <v>-192506.21537200001</v>
      </c>
      <c r="AR171" s="692">
        <v>4.3700455345285203</v>
      </c>
      <c r="AS171" s="692">
        <v>0.65662805151609904</v>
      </c>
      <c r="AT171" s="498">
        <v>171309407.090666</v>
      </c>
      <c r="AU171" s="695">
        <v>25740363.869334001</v>
      </c>
    </row>
    <row r="172" spans="1:47" ht="12" thickBot="1">
      <c r="A172" s="937"/>
      <c r="B172" s="937"/>
      <c r="C172" s="938"/>
      <c r="D172" s="690" t="s">
        <v>385</v>
      </c>
      <c r="E172" s="690" t="s">
        <v>385</v>
      </c>
      <c r="F172" s="690" t="s">
        <v>385</v>
      </c>
      <c r="G172" s="690" t="s">
        <v>385</v>
      </c>
      <c r="H172" s="691">
        <v>270022</v>
      </c>
      <c r="I172" s="692">
        <v>924500000</v>
      </c>
      <c r="J172" s="692">
        <v>6.34911133369389</v>
      </c>
      <c r="K172" s="692">
        <v>1243457142.8571</v>
      </c>
      <c r="L172" s="698"/>
      <c r="M172" s="692">
        <v>43405542.600000001</v>
      </c>
      <c r="N172" s="694">
        <v>31934756.050000001</v>
      </c>
      <c r="O172" s="698"/>
      <c r="P172" s="698"/>
      <c r="Q172" s="698"/>
      <c r="R172" s="693"/>
      <c r="S172" s="498">
        <v>7.0197891166598598</v>
      </c>
      <c r="T172" s="692">
        <v>4.23891869091032</v>
      </c>
      <c r="U172" s="692">
        <v>2.78087042574955</v>
      </c>
      <c r="V172" s="498">
        <v>26210554.584835</v>
      </c>
      <c r="W172" s="692">
        <v>17194988.015165001</v>
      </c>
      <c r="X172" s="692">
        <v>0</v>
      </c>
      <c r="Y172" s="692">
        <v>0</v>
      </c>
      <c r="Z172" s="692">
        <v>0.167217774439782</v>
      </c>
      <c r="AA172" s="692">
        <v>1033959.583586</v>
      </c>
      <c r="AB172" s="692">
        <v>0</v>
      </c>
      <c r="AC172" s="692">
        <v>0</v>
      </c>
      <c r="AD172" s="692">
        <v>0</v>
      </c>
      <c r="AE172" s="692">
        <v>0</v>
      </c>
      <c r="AF172" s="692">
        <v>0</v>
      </c>
      <c r="AG172" s="692">
        <v>0</v>
      </c>
      <c r="AH172" s="692">
        <v>0</v>
      </c>
      <c r="AI172" s="692">
        <v>0</v>
      </c>
      <c r="AJ172" s="692">
        <v>0</v>
      </c>
      <c r="AK172" s="692">
        <v>0</v>
      </c>
      <c r="AL172" s="692">
        <v>0</v>
      </c>
      <c r="AM172" s="692">
        <v>0</v>
      </c>
      <c r="AN172" s="692">
        <v>0</v>
      </c>
      <c r="AO172" s="692">
        <v>0</v>
      </c>
      <c r="AP172" s="498">
        <v>0</v>
      </c>
      <c r="AQ172" s="498">
        <v>0</v>
      </c>
      <c r="AR172" s="692">
        <v>4.4061364652888004</v>
      </c>
      <c r="AS172" s="692">
        <v>2.6136526513710598</v>
      </c>
      <c r="AT172" s="498">
        <v>27244514.168042</v>
      </c>
      <c r="AU172" s="695">
        <v>16161028.431957999</v>
      </c>
    </row>
    <row r="173" spans="1:47" ht="12" thickBot="1">
      <c r="A173" s="937"/>
      <c r="B173" s="937"/>
      <c r="C173" s="936" t="s">
        <v>386</v>
      </c>
      <c r="D173" s="936" t="s">
        <v>387</v>
      </c>
      <c r="E173" s="690" t="s">
        <v>387</v>
      </c>
      <c r="F173" s="690" t="s">
        <v>387</v>
      </c>
      <c r="G173" s="690" t="s">
        <v>387</v>
      </c>
      <c r="H173" s="691">
        <v>270031</v>
      </c>
      <c r="I173" s="692">
        <v>21233175460.448002</v>
      </c>
      <c r="J173" s="692">
        <v>5.2049084608168403</v>
      </c>
      <c r="K173" s="692">
        <v>24848922694.901901</v>
      </c>
      <c r="L173" s="698">
        <f>SUM(K173:K175)</f>
        <v>77138306120.487701</v>
      </c>
      <c r="M173" s="692">
        <v>639557021.98829997</v>
      </c>
      <c r="N173" s="694">
        <v>421505425.8082</v>
      </c>
      <c r="O173" s="698">
        <f>SUM(M173:M175)</f>
        <v>2091313076.4299998</v>
      </c>
      <c r="P173" s="698">
        <f>SUM(N173:N175)</f>
        <v>1397553524.3144002</v>
      </c>
      <c r="Q173" s="698">
        <f>P173+(O173-P173)/1.06</f>
        <v>2052043667.8196828</v>
      </c>
      <c r="R173" s="702">
        <f>Q173/L173/$H$1*366</f>
        <v>5.3496602059284061E-2</v>
      </c>
      <c r="S173" s="498">
        <v>5.1758467143172497</v>
      </c>
      <c r="T173" s="692">
        <v>4.03756650753167</v>
      </c>
      <c r="U173" s="692">
        <v>1.1382802067855899</v>
      </c>
      <c r="V173" s="498">
        <v>498904649.802881</v>
      </c>
      <c r="W173" s="692">
        <v>140652367.43086901</v>
      </c>
      <c r="X173" s="692">
        <v>0</v>
      </c>
      <c r="Y173" s="692">
        <v>0</v>
      </c>
      <c r="Z173" s="692">
        <v>1.62069920384E-3</v>
      </c>
      <c r="AA173" s="692">
        <v>200262.798698</v>
      </c>
      <c r="AB173" s="692">
        <v>0</v>
      </c>
      <c r="AC173" s="692">
        <v>0</v>
      </c>
      <c r="AD173" s="692">
        <v>0</v>
      </c>
      <c r="AE173" s="692">
        <v>0</v>
      </c>
      <c r="AF173" s="692">
        <v>0</v>
      </c>
      <c r="AG173" s="692">
        <v>0</v>
      </c>
      <c r="AH173" s="692">
        <v>0</v>
      </c>
      <c r="AI173" s="692">
        <v>0</v>
      </c>
      <c r="AJ173" s="692">
        <v>-5.1504957691423998E-2</v>
      </c>
      <c r="AK173" s="692">
        <v>-6364245.1046240004</v>
      </c>
      <c r="AL173" s="692">
        <v>0</v>
      </c>
      <c r="AM173" s="692">
        <v>0</v>
      </c>
      <c r="AN173" s="692">
        <v>0</v>
      </c>
      <c r="AO173" s="692">
        <v>0</v>
      </c>
      <c r="AP173" s="498">
        <v>-1.3233174369616E-2</v>
      </c>
      <c r="AQ173" s="498">
        <v>-1635166.1854580001</v>
      </c>
      <c r="AR173" s="692">
        <v>3.97444907468088</v>
      </c>
      <c r="AS173" s="692">
        <v>1.2013976396363799</v>
      </c>
      <c r="AT173" s="498">
        <v>491105501.31229001</v>
      </c>
      <c r="AU173" s="695">
        <v>148451515.92146099</v>
      </c>
    </row>
    <row r="174" spans="1:47" ht="12" thickBot="1">
      <c r="A174" s="937"/>
      <c r="B174" s="937"/>
      <c r="C174" s="937"/>
      <c r="D174" s="938"/>
      <c r="E174" s="690" t="s">
        <v>388</v>
      </c>
      <c r="F174" s="690" t="s">
        <v>388</v>
      </c>
      <c r="G174" s="690" t="s">
        <v>388</v>
      </c>
      <c r="H174" s="691">
        <v>270034</v>
      </c>
      <c r="I174" s="692">
        <v>0</v>
      </c>
      <c r="J174" s="692">
        <v>0</v>
      </c>
      <c r="K174" s="692">
        <v>109890.1099</v>
      </c>
      <c r="L174" s="698"/>
      <c r="M174" s="692">
        <v>2659.72</v>
      </c>
      <c r="N174" s="694">
        <v>2659.72</v>
      </c>
      <c r="O174" s="698"/>
      <c r="P174" s="698"/>
      <c r="Q174" s="698"/>
      <c r="R174" s="693"/>
      <c r="S174" s="498">
        <v>4.8672876000048699</v>
      </c>
      <c r="T174" s="692">
        <v>2.6573118790199999</v>
      </c>
      <c r="U174" s="692">
        <v>2.2099757209800002</v>
      </c>
      <c r="V174" s="498">
        <v>1452.0829940000001</v>
      </c>
      <c r="W174" s="692">
        <v>1207.6370059999999</v>
      </c>
      <c r="X174" s="692">
        <v>0</v>
      </c>
      <c r="Y174" s="692">
        <v>0</v>
      </c>
      <c r="Z174" s="692">
        <v>4.574999817E-2</v>
      </c>
      <c r="AA174" s="692">
        <v>24.999998999999999</v>
      </c>
      <c r="AB174" s="692">
        <v>0</v>
      </c>
      <c r="AC174" s="692">
        <v>0</v>
      </c>
      <c r="AD174" s="692">
        <v>0</v>
      </c>
      <c r="AE174" s="692">
        <v>0</v>
      </c>
      <c r="AF174" s="692">
        <v>0</v>
      </c>
      <c r="AG174" s="692">
        <v>0</v>
      </c>
      <c r="AH174" s="692">
        <v>0</v>
      </c>
      <c r="AI174" s="692">
        <v>0</v>
      </c>
      <c r="AJ174" s="692">
        <v>0</v>
      </c>
      <c r="AK174" s="692">
        <v>0</v>
      </c>
      <c r="AL174" s="692">
        <v>0</v>
      </c>
      <c r="AM174" s="692">
        <v>0</v>
      </c>
      <c r="AN174" s="692">
        <v>0</v>
      </c>
      <c r="AO174" s="692">
        <v>0</v>
      </c>
      <c r="AP174" s="498">
        <v>0</v>
      </c>
      <c r="AQ174" s="498">
        <v>0</v>
      </c>
      <c r="AR174" s="692">
        <v>2.7030618771900001</v>
      </c>
      <c r="AS174" s="692">
        <v>2.1642257228099999</v>
      </c>
      <c r="AT174" s="498">
        <v>1477.082993</v>
      </c>
      <c r="AU174" s="695">
        <v>1182.637007</v>
      </c>
    </row>
    <row r="175" spans="1:47" ht="12" thickBot="1">
      <c r="A175" s="937"/>
      <c r="B175" s="937"/>
      <c r="C175" s="938"/>
      <c r="D175" s="690" t="s">
        <v>389</v>
      </c>
      <c r="E175" s="690" t="s">
        <v>389</v>
      </c>
      <c r="F175" s="690" t="s">
        <v>389</v>
      </c>
      <c r="G175" s="690" t="s">
        <v>389</v>
      </c>
      <c r="H175" s="691">
        <v>270032</v>
      </c>
      <c r="I175" s="692">
        <v>53882280755.199997</v>
      </c>
      <c r="J175" s="692">
        <v>5.5490215868797899</v>
      </c>
      <c r="K175" s="692">
        <v>52289273535.475899</v>
      </c>
      <c r="L175" s="698"/>
      <c r="M175" s="692">
        <v>1451753394.7217</v>
      </c>
      <c r="N175" s="694">
        <v>976045438.78620005</v>
      </c>
      <c r="O175" s="698"/>
      <c r="P175" s="698"/>
      <c r="Q175" s="698"/>
      <c r="R175" s="693"/>
      <c r="S175" s="498">
        <v>5.5832868689012596</v>
      </c>
      <c r="T175" s="692">
        <v>3.9389145146040301</v>
      </c>
      <c r="U175" s="692">
        <v>1.6443723542972599</v>
      </c>
      <c r="V175" s="498">
        <v>1024187478.66642</v>
      </c>
      <c r="W175" s="692">
        <v>427565911.69783002</v>
      </c>
      <c r="X175" s="692">
        <v>0</v>
      </c>
      <c r="Y175" s="692">
        <v>0</v>
      </c>
      <c r="Z175" s="692">
        <v>0.13249081473485599</v>
      </c>
      <c r="AA175" s="692">
        <v>34449956.450347997</v>
      </c>
      <c r="AB175" s="692">
        <v>0</v>
      </c>
      <c r="AC175" s="692">
        <v>0</v>
      </c>
      <c r="AD175" s="692">
        <v>0</v>
      </c>
      <c r="AE175" s="692">
        <v>0</v>
      </c>
      <c r="AF175" s="692">
        <v>0</v>
      </c>
      <c r="AG175" s="692">
        <v>0</v>
      </c>
      <c r="AH175" s="692">
        <v>0</v>
      </c>
      <c r="AI175" s="692">
        <v>0</v>
      </c>
      <c r="AJ175" s="692">
        <v>-3.9461594626197999E-2</v>
      </c>
      <c r="AK175" s="692">
        <v>-10260712.933605</v>
      </c>
      <c r="AL175" s="692">
        <v>0</v>
      </c>
      <c r="AM175" s="692">
        <v>0</v>
      </c>
      <c r="AN175" s="692">
        <v>0</v>
      </c>
      <c r="AO175" s="692">
        <v>0</v>
      </c>
      <c r="AP175" s="498">
        <v>-1.5979782195357999E-2</v>
      </c>
      <c r="AQ175" s="498">
        <v>-4155026.1564759999</v>
      </c>
      <c r="AR175" s="692">
        <v>4.0159639525343103</v>
      </c>
      <c r="AS175" s="692">
        <v>1.56732291636698</v>
      </c>
      <c r="AT175" s="498">
        <v>1044221696.03111</v>
      </c>
      <c r="AU175" s="695">
        <v>407531694.333148</v>
      </c>
    </row>
    <row r="176" spans="1:47" ht="12" thickBot="1">
      <c r="A176" s="937"/>
      <c r="B176" s="937"/>
      <c r="C176" s="936" t="s">
        <v>390</v>
      </c>
      <c r="D176" s="690" t="s">
        <v>391</v>
      </c>
      <c r="E176" s="690" t="s">
        <v>391</v>
      </c>
      <c r="F176" s="690" t="s">
        <v>391</v>
      </c>
      <c r="G176" s="690" t="s">
        <v>391</v>
      </c>
      <c r="H176" s="691">
        <v>270041</v>
      </c>
      <c r="I176" s="692">
        <v>188389647</v>
      </c>
      <c r="J176" s="692">
        <v>5.9055960360614801</v>
      </c>
      <c r="K176" s="692">
        <v>193953604.29960001</v>
      </c>
      <c r="L176" s="698">
        <f>SUM(K176:K177,K194:K196,K198)</f>
        <v>615338715.3635</v>
      </c>
      <c r="M176" s="692">
        <v>5679619.1200000001</v>
      </c>
      <c r="N176" s="694">
        <v>3817411.65</v>
      </c>
      <c r="O176" s="698">
        <f>SUM(M176:M177,M194:M196,M198)</f>
        <v>7925461.2500000009</v>
      </c>
      <c r="P176" s="698">
        <f>SUM(N176:N177,N194:N196,N198)</f>
        <v>5180154.4800000004</v>
      </c>
      <c r="Q176" s="698">
        <f>P176+(O176-P176)/1.06</f>
        <v>7770066.5271698125</v>
      </c>
      <c r="R176" s="702">
        <f>Q176/L176/$H$1*366</f>
        <v>2.5393361429503995E-2</v>
      </c>
      <c r="S176" s="498">
        <v>5.88885763591301</v>
      </c>
      <c r="T176" s="692">
        <v>3.5058966705419801</v>
      </c>
      <c r="U176" s="692">
        <v>2.38296096537099</v>
      </c>
      <c r="V176" s="498">
        <v>3381327.7538450002</v>
      </c>
      <c r="W176" s="692">
        <v>2298291.3661549999</v>
      </c>
      <c r="X176" s="692">
        <v>0</v>
      </c>
      <c r="Y176" s="692">
        <v>0</v>
      </c>
      <c r="Z176" s="692">
        <v>0.39119243623695599</v>
      </c>
      <c r="AA176" s="692">
        <v>377292.87712800002</v>
      </c>
      <c r="AB176" s="692">
        <v>0</v>
      </c>
      <c r="AC176" s="692">
        <v>0</v>
      </c>
      <c r="AD176" s="692">
        <v>0</v>
      </c>
      <c r="AE176" s="692">
        <v>0</v>
      </c>
      <c r="AF176" s="692">
        <v>0</v>
      </c>
      <c r="AG176" s="692">
        <v>0</v>
      </c>
      <c r="AH176" s="692">
        <v>0</v>
      </c>
      <c r="AI176" s="692">
        <v>0</v>
      </c>
      <c r="AJ176" s="692">
        <v>0</v>
      </c>
      <c r="AK176" s="692">
        <v>0</v>
      </c>
      <c r="AL176" s="692">
        <v>0</v>
      </c>
      <c r="AM176" s="692">
        <v>0</v>
      </c>
      <c r="AN176" s="692">
        <v>0</v>
      </c>
      <c r="AO176" s="692">
        <v>0</v>
      </c>
      <c r="AP176" s="498">
        <v>0</v>
      </c>
      <c r="AQ176" s="498">
        <v>0</v>
      </c>
      <c r="AR176" s="692">
        <v>3.8970891066140698</v>
      </c>
      <c r="AS176" s="692">
        <v>1.99176852929889</v>
      </c>
      <c r="AT176" s="498">
        <v>3758620.630814</v>
      </c>
      <c r="AU176" s="695">
        <v>1920998.4891860001</v>
      </c>
    </row>
    <row r="177" spans="1:47" ht="12" thickBot="1">
      <c r="A177" s="937"/>
      <c r="B177" s="937"/>
      <c r="C177" s="938"/>
      <c r="D177" s="690" t="s">
        <v>392</v>
      </c>
      <c r="E177" s="690" t="s">
        <v>392</v>
      </c>
      <c r="F177" s="690" t="s">
        <v>392</v>
      </c>
      <c r="G177" s="690" t="s">
        <v>392</v>
      </c>
      <c r="H177" s="691">
        <v>270043</v>
      </c>
      <c r="I177" s="692">
        <v>9683542.3300000001</v>
      </c>
      <c r="J177" s="692">
        <v>6.3658314064647703</v>
      </c>
      <c r="K177" s="692">
        <v>16128381.085200001</v>
      </c>
      <c r="L177" s="698"/>
      <c r="M177" s="692">
        <v>500435.15</v>
      </c>
      <c r="N177" s="694">
        <v>367178.61</v>
      </c>
      <c r="O177" s="698"/>
      <c r="P177" s="698"/>
      <c r="Q177" s="698"/>
      <c r="R177" s="693"/>
      <c r="S177" s="498">
        <v>6.2397433570370699</v>
      </c>
      <c r="T177" s="692">
        <v>3.8507782923690401</v>
      </c>
      <c r="U177" s="692">
        <v>2.3889650646681102</v>
      </c>
      <c r="V177" s="498">
        <v>308837.19122600002</v>
      </c>
      <c r="W177" s="692">
        <v>191597.958774</v>
      </c>
      <c r="X177" s="692">
        <v>0</v>
      </c>
      <c r="Y177" s="692">
        <v>0</v>
      </c>
      <c r="Z177" s="692">
        <v>0.14171156321980399</v>
      </c>
      <c r="AA177" s="692">
        <v>11365.44299</v>
      </c>
      <c r="AB177" s="692">
        <v>0</v>
      </c>
      <c r="AC177" s="692">
        <v>0</v>
      </c>
      <c r="AD177" s="692">
        <v>0</v>
      </c>
      <c r="AE177" s="692">
        <v>0</v>
      </c>
      <c r="AF177" s="692">
        <v>0</v>
      </c>
      <c r="AG177" s="692">
        <v>0</v>
      </c>
      <c r="AH177" s="692">
        <v>0</v>
      </c>
      <c r="AI177" s="692">
        <v>0</v>
      </c>
      <c r="AJ177" s="692">
        <v>0</v>
      </c>
      <c r="AK177" s="692">
        <v>0</v>
      </c>
      <c r="AL177" s="692">
        <v>0</v>
      </c>
      <c r="AM177" s="692">
        <v>0</v>
      </c>
      <c r="AN177" s="692">
        <v>0</v>
      </c>
      <c r="AO177" s="692">
        <v>0</v>
      </c>
      <c r="AP177" s="498">
        <v>0</v>
      </c>
      <c r="AQ177" s="498">
        <v>0</v>
      </c>
      <c r="AR177" s="692">
        <v>3.9924898554267498</v>
      </c>
      <c r="AS177" s="692">
        <v>2.2472535016104001</v>
      </c>
      <c r="AT177" s="498">
        <v>320202.63420299999</v>
      </c>
      <c r="AU177" s="695">
        <v>180232.515797</v>
      </c>
    </row>
    <row r="178" spans="1:47" s="431" customFormat="1" ht="12" thickBot="1">
      <c r="A178" s="937"/>
      <c r="B178" s="937"/>
      <c r="C178" s="939" t="s">
        <v>393</v>
      </c>
      <c r="D178" s="703" t="s">
        <v>394</v>
      </c>
      <c r="E178" s="703" t="s">
        <v>394</v>
      </c>
      <c r="F178" s="703" t="s">
        <v>394</v>
      </c>
      <c r="G178" s="703" t="s">
        <v>394</v>
      </c>
      <c r="H178" s="704">
        <v>270051</v>
      </c>
      <c r="I178" s="705">
        <v>4339965429.0500002</v>
      </c>
      <c r="J178" s="705">
        <v>14.7149788508529</v>
      </c>
      <c r="K178" s="705">
        <v>4284835648.4400001</v>
      </c>
      <c r="L178" s="706">
        <f>K178+K179</f>
        <v>9766459955.4950008</v>
      </c>
      <c r="M178" s="705">
        <v>272124137.83999997</v>
      </c>
      <c r="N178" s="694">
        <v>182871863.47</v>
      </c>
      <c r="O178" s="706">
        <f>M178+M179</f>
        <v>478559022.88</v>
      </c>
      <c r="P178" s="706">
        <f>N178+N179</f>
        <v>327599765.69</v>
      </c>
      <c r="Q178" s="706">
        <f>P178+(O178-P178)/1.06</f>
        <v>470014159.2654717</v>
      </c>
      <c r="R178" s="707">
        <f>Q178/L178/$H$1*366</f>
        <v>9.677952027646404E-2</v>
      </c>
      <c r="S178" s="708">
        <v>12.7715202103567</v>
      </c>
      <c r="T178" s="705">
        <v>5.0817867010668998</v>
      </c>
      <c r="U178" s="705">
        <v>7.68973350928984</v>
      </c>
      <c r="V178" s="708">
        <v>108278169.07757001</v>
      </c>
      <c r="W178" s="705">
        <v>163845968.76243001</v>
      </c>
      <c r="X178" s="705">
        <v>0</v>
      </c>
      <c r="Y178" s="705">
        <v>0</v>
      </c>
      <c r="Z178" s="705">
        <v>0</v>
      </c>
      <c r="AA178" s="705">
        <v>0</v>
      </c>
      <c r="AB178" s="705">
        <v>0</v>
      </c>
      <c r="AC178" s="705">
        <v>0</v>
      </c>
      <c r="AD178" s="705">
        <v>0</v>
      </c>
      <c r="AE178" s="705">
        <v>0</v>
      </c>
      <c r="AF178" s="705">
        <v>0</v>
      </c>
      <c r="AG178" s="705">
        <v>0</v>
      </c>
      <c r="AH178" s="705">
        <v>0</v>
      </c>
      <c r="AI178" s="705">
        <v>0</v>
      </c>
      <c r="AJ178" s="705">
        <v>-0.59681351324491805</v>
      </c>
      <c r="AK178" s="705">
        <v>-12716368.926178001</v>
      </c>
      <c r="AL178" s="705">
        <v>0</v>
      </c>
      <c r="AM178" s="705">
        <v>0</v>
      </c>
      <c r="AN178" s="705">
        <v>0</v>
      </c>
      <c r="AO178" s="705">
        <v>0</v>
      </c>
      <c r="AP178" s="708">
        <v>-4.3783199795934001E-2</v>
      </c>
      <c r="AQ178" s="708">
        <v>-932893.28913899895</v>
      </c>
      <c r="AR178" s="705">
        <v>4.4411899884828001</v>
      </c>
      <c r="AS178" s="705">
        <v>8.3303302218739397</v>
      </c>
      <c r="AT178" s="708">
        <v>94628906.871985093</v>
      </c>
      <c r="AU178" s="709">
        <v>177495230.96801499</v>
      </c>
    </row>
    <row r="179" spans="1:47" s="431" customFormat="1" ht="12" thickBot="1">
      <c r="A179" s="937"/>
      <c r="B179" s="937"/>
      <c r="C179" s="940"/>
      <c r="D179" s="703" t="s">
        <v>395</v>
      </c>
      <c r="E179" s="703" t="s">
        <v>395</v>
      </c>
      <c r="F179" s="703" t="s">
        <v>395</v>
      </c>
      <c r="G179" s="703" t="s">
        <v>395</v>
      </c>
      <c r="H179" s="704">
        <v>270052</v>
      </c>
      <c r="I179" s="705">
        <v>4946899320.8900003</v>
      </c>
      <c r="J179" s="705">
        <v>8.4644855668848393</v>
      </c>
      <c r="K179" s="705">
        <v>5481624307.0550003</v>
      </c>
      <c r="L179" s="706"/>
      <c r="M179" s="705">
        <v>206434885.03999999</v>
      </c>
      <c r="N179" s="694">
        <v>144727902.22</v>
      </c>
      <c r="O179" s="706"/>
      <c r="P179" s="706"/>
      <c r="Q179" s="706"/>
      <c r="R179" s="702"/>
      <c r="S179" s="708">
        <v>7.5732713890284904</v>
      </c>
      <c r="T179" s="705">
        <v>4.3569001671837801</v>
      </c>
      <c r="U179" s="705">
        <v>3.2163712218447098</v>
      </c>
      <c r="V179" s="708">
        <v>118761911.324918</v>
      </c>
      <c r="W179" s="705">
        <v>87672973.715082005</v>
      </c>
      <c r="X179" s="705">
        <v>0</v>
      </c>
      <c r="Y179" s="705">
        <v>0</v>
      </c>
      <c r="Z179" s="705">
        <v>1.827403973204E-2</v>
      </c>
      <c r="AA179" s="705">
        <v>498120.17786200001</v>
      </c>
      <c r="AB179" s="705">
        <v>0</v>
      </c>
      <c r="AC179" s="705">
        <v>0</v>
      </c>
      <c r="AD179" s="705">
        <v>0</v>
      </c>
      <c r="AE179" s="705">
        <v>0</v>
      </c>
      <c r="AF179" s="705">
        <v>0</v>
      </c>
      <c r="AG179" s="705">
        <v>0</v>
      </c>
      <c r="AH179" s="705">
        <v>0</v>
      </c>
      <c r="AI179" s="705">
        <v>0</v>
      </c>
      <c r="AJ179" s="705">
        <v>-0.26489812981084698</v>
      </c>
      <c r="AK179" s="705">
        <v>-7220686.0372169996</v>
      </c>
      <c r="AL179" s="705">
        <v>0</v>
      </c>
      <c r="AM179" s="705">
        <v>0</v>
      </c>
      <c r="AN179" s="705">
        <v>0</v>
      </c>
      <c r="AO179" s="705">
        <v>0</v>
      </c>
      <c r="AP179" s="708">
        <v>-2.7691133999435999E-2</v>
      </c>
      <c r="AQ179" s="708">
        <v>-754814.63295799994</v>
      </c>
      <c r="AR179" s="705">
        <v>4.0825849431954202</v>
      </c>
      <c r="AS179" s="705">
        <v>3.49068644583308</v>
      </c>
      <c r="AT179" s="708">
        <v>111284530.83505499</v>
      </c>
      <c r="AU179" s="709">
        <v>95150354.204944998</v>
      </c>
    </row>
    <row r="180" spans="1:47" ht="12" thickBot="1">
      <c r="A180" s="937"/>
      <c r="B180" s="937"/>
      <c r="C180" s="936" t="s">
        <v>396</v>
      </c>
      <c r="D180" s="690" t="s">
        <v>397</v>
      </c>
      <c r="E180" s="690" t="s">
        <v>397</v>
      </c>
      <c r="F180" s="690" t="s">
        <v>397</v>
      </c>
      <c r="G180" s="690" t="s">
        <v>397</v>
      </c>
      <c r="H180" s="691">
        <v>270061</v>
      </c>
      <c r="I180" s="692">
        <v>0</v>
      </c>
      <c r="J180" s="692">
        <v>0</v>
      </c>
      <c r="K180" s="692">
        <v>3571428.5713999998</v>
      </c>
      <c r="L180" s="698">
        <f>SUM(K180:K184,K189:K193)</f>
        <v>1367119489.2151999</v>
      </c>
      <c r="M180" s="692">
        <v>86395.839999999997</v>
      </c>
      <c r="N180" s="694">
        <v>82674.17</v>
      </c>
      <c r="O180" s="698">
        <f>SUM(M180:M184,M189:M193)</f>
        <v>16461684.560700001</v>
      </c>
      <c r="P180" s="698">
        <f>SUM(N180:N184,N189:N193)</f>
        <v>11385713.3408</v>
      </c>
      <c r="Q180" s="698">
        <f>P180+(O180-P180)/1.06</f>
        <v>16174365.435045283</v>
      </c>
      <c r="R180" s="702">
        <f>Q180/L180/$H$1*366</f>
        <v>2.3791973859043219E-2</v>
      </c>
      <c r="S180" s="498">
        <v>4.8647503753840304</v>
      </c>
      <c r="T180" s="692">
        <v>3.6104730825950799</v>
      </c>
      <c r="U180" s="692">
        <v>1.25427729278954</v>
      </c>
      <c r="V180" s="498">
        <v>64120.423598000001</v>
      </c>
      <c r="W180" s="692">
        <v>22275.416401999999</v>
      </c>
      <c r="X180" s="692">
        <v>0</v>
      </c>
      <c r="Y180" s="692">
        <v>0</v>
      </c>
      <c r="Z180" s="692">
        <v>0</v>
      </c>
      <c r="AA180" s="692">
        <v>0</v>
      </c>
      <c r="AB180" s="692">
        <v>0</v>
      </c>
      <c r="AC180" s="692">
        <v>0</v>
      </c>
      <c r="AD180" s="692">
        <v>0</v>
      </c>
      <c r="AE180" s="692">
        <v>0</v>
      </c>
      <c r="AF180" s="692">
        <v>0</v>
      </c>
      <c r="AG180" s="692">
        <v>0</v>
      </c>
      <c r="AH180" s="692">
        <v>0</v>
      </c>
      <c r="AI180" s="692">
        <v>0</v>
      </c>
      <c r="AJ180" s="692">
        <v>0</v>
      </c>
      <c r="AK180" s="692">
        <v>0</v>
      </c>
      <c r="AL180" s="692">
        <v>0</v>
      </c>
      <c r="AM180" s="692">
        <v>0</v>
      </c>
      <c r="AN180" s="692">
        <v>0</v>
      </c>
      <c r="AO180" s="692">
        <v>0</v>
      </c>
      <c r="AP180" s="498">
        <v>0</v>
      </c>
      <c r="AQ180" s="498">
        <v>0</v>
      </c>
      <c r="AR180" s="692">
        <v>3.6104730825950799</v>
      </c>
      <c r="AS180" s="692">
        <v>1.25427729278954</v>
      </c>
      <c r="AT180" s="498">
        <v>64120.423598000001</v>
      </c>
      <c r="AU180" s="695">
        <v>22275.416401999999</v>
      </c>
    </row>
    <row r="181" spans="1:47" ht="12" thickBot="1">
      <c r="A181" s="937"/>
      <c r="B181" s="937"/>
      <c r="C181" s="937"/>
      <c r="D181" s="690" t="s">
        <v>398</v>
      </c>
      <c r="E181" s="690" t="s">
        <v>398</v>
      </c>
      <c r="F181" s="690" t="s">
        <v>398</v>
      </c>
      <c r="G181" s="690" t="s">
        <v>398</v>
      </c>
      <c r="H181" s="691">
        <v>270062</v>
      </c>
      <c r="I181" s="692">
        <v>700222701.61000001</v>
      </c>
      <c r="J181" s="692">
        <v>6.56075691855089</v>
      </c>
      <c r="K181" s="692">
        <v>735304209.55330002</v>
      </c>
      <c r="L181" s="698"/>
      <c r="M181" s="692">
        <v>2251644.96</v>
      </c>
      <c r="N181" s="694">
        <v>1911755.02</v>
      </c>
      <c r="O181" s="698"/>
      <c r="P181" s="698"/>
      <c r="Q181" s="698"/>
      <c r="R181" s="693"/>
      <c r="S181" s="498">
        <v>0.61580407297807704</v>
      </c>
      <c r="T181" s="692">
        <v>3.6857198496260399</v>
      </c>
      <c r="U181" s="692">
        <v>-3.0699157766479601</v>
      </c>
      <c r="V181" s="498">
        <v>13476579.463413</v>
      </c>
      <c r="W181" s="692">
        <v>-11224934.503412999</v>
      </c>
      <c r="X181" s="692">
        <v>0</v>
      </c>
      <c r="Y181" s="692">
        <v>0</v>
      </c>
      <c r="Z181" s="692">
        <v>0</v>
      </c>
      <c r="AA181" s="692">
        <v>0</v>
      </c>
      <c r="AB181" s="692">
        <v>0</v>
      </c>
      <c r="AC181" s="692">
        <v>0</v>
      </c>
      <c r="AD181" s="692">
        <v>0</v>
      </c>
      <c r="AE181" s="692">
        <v>0</v>
      </c>
      <c r="AF181" s="692">
        <v>0</v>
      </c>
      <c r="AG181" s="692">
        <v>0</v>
      </c>
      <c r="AH181" s="692">
        <v>0</v>
      </c>
      <c r="AI181" s="692">
        <v>0</v>
      </c>
      <c r="AJ181" s="692">
        <v>-1.1683865556122499</v>
      </c>
      <c r="AK181" s="692">
        <v>-4272124.5518129999</v>
      </c>
      <c r="AL181" s="692">
        <v>0</v>
      </c>
      <c r="AM181" s="692">
        <v>0</v>
      </c>
      <c r="AN181" s="692">
        <v>0</v>
      </c>
      <c r="AO181" s="692">
        <v>0</v>
      </c>
      <c r="AP181" s="498">
        <v>0</v>
      </c>
      <c r="AQ181" s="498">
        <v>0</v>
      </c>
      <c r="AR181" s="692">
        <v>2.5173332939153301</v>
      </c>
      <c r="AS181" s="692">
        <v>-1.9015292209372501</v>
      </c>
      <c r="AT181" s="498">
        <v>9204454.9112400003</v>
      </c>
      <c r="AU181" s="695">
        <v>-6952809.9512400003</v>
      </c>
    </row>
    <row r="182" spans="1:47" ht="12" thickBot="1">
      <c r="A182" s="937"/>
      <c r="B182" s="937"/>
      <c r="C182" s="937"/>
      <c r="D182" s="690" t="s">
        <v>399</v>
      </c>
      <c r="E182" s="690" t="s">
        <v>399</v>
      </c>
      <c r="F182" s="690" t="s">
        <v>399</v>
      </c>
      <c r="G182" s="690" t="s">
        <v>399</v>
      </c>
      <c r="H182" s="691">
        <v>270063</v>
      </c>
      <c r="I182" s="692">
        <v>118266000</v>
      </c>
      <c r="J182" s="692">
        <v>5.2505139262340803</v>
      </c>
      <c r="K182" s="692">
        <v>114494524.7253</v>
      </c>
      <c r="L182" s="698"/>
      <c r="M182" s="692">
        <v>3043445.78</v>
      </c>
      <c r="N182" s="694">
        <v>2008005.51</v>
      </c>
      <c r="O182" s="698"/>
      <c r="P182" s="698"/>
      <c r="Q182" s="698"/>
      <c r="R182" s="693"/>
      <c r="S182" s="498">
        <v>5.3455272501513802</v>
      </c>
      <c r="T182" s="692">
        <v>3.4986263084821099</v>
      </c>
      <c r="U182" s="692">
        <v>1.8469009416692801</v>
      </c>
      <c r="V182" s="498">
        <v>1991923.149217</v>
      </c>
      <c r="W182" s="692">
        <v>1051522.630783</v>
      </c>
      <c r="X182" s="692">
        <v>0</v>
      </c>
      <c r="Y182" s="692">
        <v>0</v>
      </c>
      <c r="Z182" s="692">
        <v>0</v>
      </c>
      <c r="AA182" s="692">
        <v>0</v>
      </c>
      <c r="AB182" s="692">
        <v>0</v>
      </c>
      <c r="AC182" s="692">
        <v>0</v>
      </c>
      <c r="AD182" s="692">
        <v>0</v>
      </c>
      <c r="AE182" s="692">
        <v>0</v>
      </c>
      <c r="AF182" s="692">
        <v>0</v>
      </c>
      <c r="AG182" s="692">
        <v>0</v>
      </c>
      <c r="AH182" s="692">
        <v>0</v>
      </c>
      <c r="AI182" s="692">
        <v>0</v>
      </c>
      <c r="AJ182" s="692">
        <v>0</v>
      </c>
      <c r="AK182" s="692">
        <v>0</v>
      </c>
      <c r="AL182" s="692">
        <v>0</v>
      </c>
      <c r="AM182" s="692">
        <v>0</v>
      </c>
      <c r="AN182" s="692">
        <v>0</v>
      </c>
      <c r="AO182" s="692">
        <v>0</v>
      </c>
      <c r="AP182" s="498">
        <v>-0.133877188935351</v>
      </c>
      <c r="AQ182" s="498">
        <v>-76222.222175000003</v>
      </c>
      <c r="AR182" s="692">
        <v>3.3647491193553098</v>
      </c>
      <c r="AS182" s="692">
        <v>1.9807781307960799</v>
      </c>
      <c r="AT182" s="498">
        <v>1915700.9269330001</v>
      </c>
      <c r="AU182" s="695">
        <v>1127744.8530669999</v>
      </c>
    </row>
    <row r="183" spans="1:47" ht="12" thickBot="1">
      <c r="A183" s="937"/>
      <c r="B183" s="937"/>
      <c r="C183" s="937"/>
      <c r="D183" s="690" t="s">
        <v>400</v>
      </c>
      <c r="E183" s="690" t="s">
        <v>400</v>
      </c>
      <c r="F183" s="690" t="s">
        <v>400</v>
      </c>
      <c r="G183" s="690" t="s">
        <v>400</v>
      </c>
      <c r="H183" s="691">
        <v>270064</v>
      </c>
      <c r="I183" s="692">
        <v>36000000</v>
      </c>
      <c r="J183" s="692">
        <v>4.9170783333333299</v>
      </c>
      <c r="K183" s="692">
        <v>36054340.659299999</v>
      </c>
      <c r="L183" s="698"/>
      <c r="M183" s="692">
        <v>754845.75</v>
      </c>
      <c r="N183" s="694">
        <v>596748.53</v>
      </c>
      <c r="O183" s="698"/>
      <c r="P183" s="698"/>
      <c r="Q183" s="698"/>
      <c r="R183" s="693"/>
      <c r="S183" s="498">
        <v>4.2102739378440903</v>
      </c>
      <c r="T183" s="692">
        <v>3.8339632623667299</v>
      </c>
      <c r="U183" s="692">
        <v>0.37631067547740099</v>
      </c>
      <c r="V183" s="498">
        <v>687378.283926</v>
      </c>
      <c r="W183" s="692">
        <v>67467.466073999996</v>
      </c>
      <c r="X183" s="692">
        <v>0</v>
      </c>
      <c r="Y183" s="692">
        <v>0</v>
      </c>
      <c r="Z183" s="692">
        <v>0</v>
      </c>
      <c r="AA183" s="692">
        <v>0</v>
      </c>
      <c r="AB183" s="692">
        <v>0</v>
      </c>
      <c r="AC183" s="692">
        <v>0</v>
      </c>
      <c r="AD183" s="692">
        <v>0</v>
      </c>
      <c r="AE183" s="692">
        <v>0</v>
      </c>
      <c r="AF183" s="692">
        <v>0</v>
      </c>
      <c r="AG183" s="692">
        <v>0</v>
      </c>
      <c r="AH183" s="692">
        <v>0</v>
      </c>
      <c r="AI183" s="692">
        <v>0</v>
      </c>
      <c r="AJ183" s="692">
        <v>0</v>
      </c>
      <c r="AK183" s="692">
        <v>0</v>
      </c>
      <c r="AL183" s="692">
        <v>0</v>
      </c>
      <c r="AM183" s="692">
        <v>0</v>
      </c>
      <c r="AN183" s="692">
        <v>0</v>
      </c>
      <c r="AO183" s="692">
        <v>0</v>
      </c>
      <c r="AP183" s="498">
        <v>0</v>
      </c>
      <c r="AQ183" s="498">
        <v>0</v>
      </c>
      <c r="AR183" s="692">
        <v>3.8339632623667299</v>
      </c>
      <c r="AS183" s="692">
        <v>0.37631067547740099</v>
      </c>
      <c r="AT183" s="498">
        <v>687378.283926</v>
      </c>
      <c r="AU183" s="695">
        <v>67467.466073999996</v>
      </c>
    </row>
    <row r="184" spans="1:47" ht="12" thickBot="1">
      <c r="A184" s="937"/>
      <c r="B184" s="937"/>
      <c r="C184" s="938"/>
      <c r="D184" s="690" t="s">
        <v>401</v>
      </c>
      <c r="E184" s="690" t="s">
        <v>401</v>
      </c>
      <c r="F184" s="690" t="s">
        <v>401</v>
      </c>
      <c r="G184" s="690" t="s">
        <v>401</v>
      </c>
      <c r="H184" s="691">
        <v>270066</v>
      </c>
      <c r="I184" s="692">
        <v>417006254.098248</v>
      </c>
      <c r="J184" s="692">
        <v>4.4052481812230502</v>
      </c>
      <c r="K184" s="692">
        <v>445354325.47180003</v>
      </c>
      <c r="L184" s="698"/>
      <c r="M184" s="692">
        <v>9716501.0791999996</v>
      </c>
      <c r="N184" s="694">
        <v>6356798.9223999996</v>
      </c>
      <c r="O184" s="698"/>
      <c r="P184" s="698"/>
      <c r="Q184" s="698"/>
      <c r="R184" s="693"/>
      <c r="S184" s="498">
        <v>4.38746763602692</v>
      </c>
      <c r="T184" s="692">
        <v>3.52876365311548</v>
      </c>
      <c r="U184" s="692">
        <v>0.85870398291141903</v>
      </c>
      <c r="V184" s="498">
        <v>7814812.2535499996</v>
      </c>
      <c r="W184" s="692">
        <v>1901688.825746</v>
      </c>
      <c r="X184" s="692">
        <v>0</v>
      </c>
      <c r="Y184" s="692">
        <v>0</v>
      </c>
      <c r="Z184" s="692">
        <v>7.7904016832934006E-2</v>
      </c>
      <c r="AA184" s="692">
        <v>172526.50650300001</v>
      </c>
      <c r="AB184" s="692">
        <v>0</v>
      </c>
      <c r="AC184" s="692">
        <v>0</v>
      </c>
      <c r="AD184" s="692">
        <v>0</v>
      </c>
      <c r="AE184" s="692">
        <v>0</v>
      </c>
      <c r="AF184" s="692">
        <v>0</v>
      </c>
      <c r="AG184" s="692">
        <v>0</v>
      </c>
      <c r="AH184" s="692">
        <v>0</v>
      </c>
      <c r="AI184" s="692">
        <v>0</v>
      </c>
      <c r="AJ184" s="692">
        <v>0</v>
      </c>
      <c r="AK184" s="692">
        <v>0</v>
      </c>
      <c r="AL184" s="692">
        <v>0</v>
      </c>
      <c r="AM184" s="692">
        <v>0</v>
      </c>
      <c r="AN184" s="692">
        <v>0</v>
      </c>
      <c r="AO184" s="692">
        <v>0</v>
      </c>
      <c r="AP184" s="498">
        <v>-4.8604136201591E-2</v>
      </c>
      <c r="AQ184" s="498">
        <v>-107638.888999</v>
      </c>
      <c r="AR184" s="692">
        <v>3.5580635338506799</v>
      </c>
      <c r="AS184" s="692">
        <v>0.82940410217621896</v>
      </c>
      <c r="AT184" s="498">
        <v>7879699.8712839996</v>
      </c>
      <c r="AU184" s="695">
        <v>1836801.208012</v>
      </c>
    </row>
    <row r="185" spans="1:47" ht="12" thickBot="1">
      <c r="A185" s="937"/>
      <c r="B185" s="937"/>
      <c r="C185" s="936" t="s">
        <v>402</v>
      </c>
      <c r="D185" s="936" t="s">
        <v>403</v>
      </c>
      <c r="E185" s="690" t="s">
        <v>404</v>
      </c>
      <c r="F185" s="690" t="s">
        <v>404</v>
      </c>
      <c r="G185" s="690" t="s">
        <v>404</v>
      </c>
      <c r="H185" s="691">
        <v>270071</v>
      </c>
      <c r="I185" s="692">
        <v>0</v>
      </c>
      <c r="J185" s="692">
        <v>0</v>
      </c>
      <c r="K185" s="692">
        <v>0</v>
      </c>
      <c r="L185" s="710"/>
      <c r="M185" s="692">
        <v>0</v>
      </c>
      <c r="N185" s="694">
        <v>0</v>
      </c>
      <c r="O185" s="710"/>
      <c r="P185" s="710"/>
      <c r="Q185" s="710"/>
      <c r="R185" s="693"/>
      <c r="S185" s="498">
        <v>0</v>
      </c>
      <c r="T185" s="692">
        <v>0</v>
      </c>
      <c r="U185" s="692">
        <v>0</v>
      </c>
      <c r="V185" s="498">
        <v>0</v>
      </c>
      <c r="W185" s="692">
        <v>0</v>
      </c>
      <c r="X185" s="692">
        <v>0</v>
      </c>
      <c r="Y185" s="692">
        <v>0</v>
      </c>
      <c r="Z185" s="692">
        <v>0</v>
      </c>
      <c r="AA185" s="692">
        <v>0</v>
      </c>
      <c r="AB185" s="692">
        <v>0</v>
      </c>
      <c r="AC185" s="692">
        <v>0</v>
      </c>
      <c r="AD185" s="692">
        <v>0</v>
      </c>
      <c r="AE185" s="692">
        <v>0</v>
      </c>
      <c r="AF185" s="692">
        <v>0</v>
      </c>
      <c r="AG185" s="692">
        <v>0</v>
      </c>
      <c r="AH185" s="692">
        <v>0</v>
      </c>
      <c r="AI185" s="692">
        <v>0</v>
      </c>
      <c r="AJ185" s="692">
        <v>0</v>
      </c>
      <c r="AK185" s="692">
        <v>0</v>
      </c>
      <c r="AL185" s="692">
        <v>0</v>
      </c>
      <c r="AM185" s="692">
        <v>0</v>
      </c>
      <c r="AN185" s="692">
        <v>0</v>
      </c>
      <c r="AO185" s="692">
        <v>0</v>
      </c>
      <c r="AP185" s="498">
        <v>0</v>
      </c>
      <c r="AQ185" s="498">
        <v>0</v>
      </c>
      <c r="AR185" s="692">
        <v>0</v>
      </c>
      <c r="AS185" s="692">
        <v>0</v>
      </c>
      <c r="AT185" s="498">
        <v>0</v>
      </c>
      <c r="AU185" s="695">
        <v>0</v>
      </c>
    </row>
    <row r="186" spans="1:47" ht="12" thickBot="1">
      <c r="A186" s="937"/>
      <c r="B186" s="937"/>
      <c r="C186" s="937"/>
      <c r="D186" s="938"/>
      <c r="E186" s="690" t="s">
        <v>405</v>
      </c>
      <c r="F186" s="690" t="s">
        <v>405</v>
      </c>
      <c r="G186" s="690" t="s">
        <v>405</v>
      </c>
      <c r="H186" s="691">
        <v>270072</v>
      </c>
      <c r="I186" s="692">
        <v>0</v>
      </c>
      <c r="J186" s="692">
        <v>0</v>
      </c>
      <c r="K186" s="692">
        <v>0</v>
      </c>
      <c r="L186" s="710"/>
      <c r="M186" s="692">
        <v>0</v>
      </c>
      <c r="N186" s="694">
        <v>0</v>
      </c>
      <c r="O186" s="710"/>
      <c r="P186" s="710"/>
      <c r="Q186" s="710"/>
      <c r="R186" s="693"/>
      <c r="S186" s="498">
        <v>0</v>
      </c>
      <c r="T186" s="692">
        <v>0</v>
      </c>
      <c r="U186" s="692">
        <v>0</v>
      </c>
      <c r="V186" s="498">
        <v>0</v>
      </c>
      <c r="W186" s="692">
        <v>0</v>
      </c>
      <c r="X186" s="692">
        <v>0</v>
      </c>
      <c r="Y186" s="692">
        <v>0</v>
      </c>
      <c r="Z186" s="692">
        <v>0</v>
      </c>
      <c r="AA186" s="692">
        <v>0</v>
      </c>
      <c r="AB186" s="692">
        <v>0</v>
      </c>
      <c r="AC186" s="692">
        <v>0</v>
      </c>
      <c r="AD186" s="692">
        <v>0</v>
      </c>
      <c r="AE186" s="692">
        <v>0</v>
      </c>
      <c r="AF186" s="692">
        <v>0</v>
      </c>
      <c r="AG186" s="692">
        <v>0</v>
      </c>
      <c r="AH186" s="692">
        <v>0</v>
      </c>
      <c r="AI186" s="692">
        <v>0</v>
      </c>
      <c r="AJ186" s="692">
        <v>0</v>
      </c>
      <c r="AK186" s="692">
        <v>0</v>
      </c>
      <c r="AL186" s="692">
        <v>0</v>
      </c>
      <c r="AM186" s="692">
        <v>0</v>
      </c>
      <c r="AN186" s="692">
        <v>0</v>
      </c>
      <c r="AO186" s="692">
        <v>0</v>
      </c>
      <c r="AP186" s="498">
        <v>0</v>
      </c>
      <c r="AQ186" s="498">
        <v>0</v>
      </c>
      <c r="AR186" s="692">
        <v>0</v>
      </c>
      <c r="AS186" s="692">
        <v>0</v>
      </c>
      <c r="AT186" s="498">
        <v>0</v>
      </c>
      <c r="AU186" s="695">
        <v>0</v>
      </c>
    </row>
    <row r="187" spans="1:47" ht="12" thickBot="1">
      <c r="A187" s="937"/>
      <c r="B187" s="937"/>
      <c r="C187" s="937"/>
      <c r="D187" s="690" t="s">
        <v>406</v>
      </c>
      <c r="E187" s="690" t="s">
        <v>406</v>
      </c>
      <c r="F187" s="690" t="s">
        <v>406</v>
      </c>
      <c r="G187" s="690" t="s">
        <v>406</v>
      </c>
      <c r="H187" s="691">
        <v>270081</v>
      </c>
      <c r="I187" s="692">
        <v>0</v>
      </c>
      <c r="J187" s="692">
        <v>0</v>
      </c>
      <c r="K187" s="692">
        <v>0</v>
      </c>
      <c r="L187" s="710"/>
      <c r="M187" s="692">
        <v>0</v>
      </c>
      <c r="N187" s="694">
        <v>0</v>
      </c>
      <c r="O187" s="710"/>
      <c r="P187" s="710"/>
      <c r="Q187" s="710"/>
      <c r="R187" s="693"/>
      <c r="S187" s="498">
        <v>0</v>
      </c>
      <c r="T187" s="692">
        <v>0</v>
      </c>
      <c r="U187" s="692">
        <v>0</v>
      </c>
      <c r="V187" s="498">
        <v>0</v>
      </c>
      <c r="W187" s="692">
        <v>0</v>
      </c>
      <c r="X187" s="692">
        <v>0</v>
      </c>
      <c r="Y187" s="692">
        <v>0</v>
      </c>
      <c r="Z187" s="692">
        <v>0</v>
      </c>
      <c r="AA187" s="692">
        <v>0</v>
      </c>
      <c r="AB187" s="692">
        <v>0</v>
      </c>
      <c r="AC187" s="692">
        <v>0</v>
      </c>
      <c r="AD187" s="692">
        <v>0</v>
      </c>
      <c r="AE187" s="692">
        <v>0</v>
      </c>
      <c r="AF187" s="692">
        <v>0</v>
      </c>
      <c r="AG187" s="692">
        <v>0</v>
      </c>
      <c r="AH187" s="692">
        <v>0</v>
      </c>
      <c r="AI187" s="692">
        <v>0</v>
      </c>
      <c r="AJ187" s="692">
        <v>0</v>
      </c>
      <c r="AK187" s="692">
        <v>0</v>
      </c>
      <c r="AL187" s="692">
        <v>0</v>
      </c>
      <c r="AM187" s="692">
        <v>0</v>
      </c>
      <c r="AN187" s="692">
        <v>0</v>
      </c>
      <c r="AO187" s="692">
        <v>0</v>
      </c>
      <c r="AP187" s="498">
        <v>0</v>
      </c>
      <c r="AQ187" s="498">
        <v>0</v>
      </c>
      <c r="AR187" s="692">
        <v>0</v>
      </c>
      <c r="AS187" s="692">
        <v>0</v>
      </c>
      <c r="AT187" s="498">
        <v>0</v>
      </c>
      <c r="AU187" s="695">
        <v>0</v>
      </c>
    </row>
    <row r="188" spans="1:47" ht="12" thickBot="1">
      <c r="A188" s="937"/>
      <c r="B188" s="937"/>
      <c r="C188" s="938"/>
      <c r="D188" s="690" t="s">
        <v>407</v>
      </c>
      <c r="E188" s="690" t="s">
        <v>407</v>
      </c>
      <c r="F188" s="690" t="s">
        <v>407</v>
      </c>
      <c r="G188" s="690" t="s">
        <v>407</v>
      </c>
      <c r="H188" s="691">
        <v>270091</v>
      </c>
      <c r="I188" s="692">
        <v>0</v>
      </c>
      <c r="J188" s="692">
        <v>0</v>
      </c>
      <c r="K188" s="692">
        <v>0</v>
      </c>
      <c r="L188" s="710"/>
      <c r="M188" s="692">
        <v>0</v>
      </c>
      <c r="N188" s="694">
        <v>0</v>
      </c>
      <c r="O188" s="710"/>
      <c r="P188" s="710"/>
      <c r="Q188" s="710"/>
      <c r="R188" s="693"/>
      <c r="S188" s="498">
        <v>0</v>
      </c>
      <c r="T188" s="692">
        <v>0</v>
      </c>
      <c r="U188" s="692">
        <v>0</v>
      </c>
      <c r="V188" s="498">
        <v>0</v>
      </c>
      <c r="W188" s="692">
        <v>0</v>
      </c>
      <c r="X188" s="692">
        <v>0</v>
      </c>
      <c r="Y188" s="692">
        <v>0</v>
      </c>
      <c r="Z188" s="692">
        <v>0</v>
      </c>
      <c r="AA188" s="692">
        <v>0</v>
      </c>
      <c r="AB188" s="692">
        <v>0</v>
      </c>
      <c r="AC188" s="692">
        <v>0</v>
      </c>
      <c r="AD188" s="692">
        <v>0</v>
      </c>
      <c r="AE188" s="692">
        <v>0</v>
      </c>
      <c r="AF188" s="692">
        <v>0</v>
      </c>
      <c r="AG188" s="692">
        <v>0</v>
      </c>
      <c r="AH188" s="692">
        <v>0</v>
      </c>
      <c r="AI188" s="692">
        <v>0</v>
      </c>
      <c r="AJ188" s="692">
        <v>0</v>
      </c>
      <c r="AK188" s="692">
        <v>0</v>
      </c>
      <c r="AL188" s="692">
        <v>0</v>
      </c>
      <c r="AM188" s="692">
        <v>0</v>
      </c>
      <c r="AN188" s="692">
        <v>0</v>
      </c>
      <c r="AO188" s="692">
        <v>0</v>
      </c>
      <c r="AP188" s="498">
        <v>0</v>
      </c>
      <c r="AQ188" s="498">
        <v>0</v>
      </c>
      <c r="AR188" s="692">
        <v>0</v>
      </c>
      <c r="AS188" s="692">
        <v>0</v>
      </c>
      <c r="AT188" s="498">
        <v>0</v>
      </c>
      <c r="AU188" s="695">
        <v>0</v>
      </c>
    </row>
    <row r="189" spans="1:47" ht="12" thickBot="1">
      <c r="A189" s="937"/>
      <c r="B189" s="937"/>
      <c r="C189" s="936" t="s">
        <v>408</v>
      </c>
      <c r="D189" s="690" t="s">
        <v>409</v>
      </c>
      <c r="E189" s="690" t="s">
        <v>409</v>
      </c>
      <c r="F189" s="690" t="s">
        <v>409</v>
      </c>
      <c r="G189" s="690" t="s">
        <v>409</v>
      </c>
      <c r="H189" s="691">
        <v>270101</v>
      </c>
      <c r="I189" s="692">
        <v>0</v>
      </c>
      <c r="J189" s="692">
        <v>0</v>
      </c>
      <c r="K189" s="692">
        <v>1357912.0878999999</v>
      </c>
      <c r="L189" s="698"/>
      <c r="M189" s="692">
        <v>35835.300000000003</v>
      </c>
      <c r="N189" s="694">
        <v>25612.799999999999</v>
      </c>
      <c r="O189" s="698"/>
      <c r="P189" s="698"/>
      <c r="Q189" s="698"/>
      <c r="R189" s="693"/>
      <c r="S189" s="498">
        <v>5.3070000000003397</v>
      </c>
      <c r="T189" s="692">
        <v>3.3202789061835398</v>
      </c>
      <c r="U189" s="692">
        <v>1.9867210938164599</v>
      </c>
      <c r="V189" s="498">
        <v>22420.047236999999</v>
      </c>
      <c r="W189" s="692">
        <v>13415.252763</v>
      </c>
      <c r="X189" s="692">
        <v>0</v>
      </c>
      <c r="Y189" s="692">
        <v>0</v>
      </c>
      <c r="Z189" s="692">
        <v>0</v>
      </c>
      <c r="AA189" s="692">
        <v>0</v>
      </c>
      <c r="AB189" s="692">
        <v>0</v>
      </c>
      <c r="AC189" s="692">
        <v>0</v>
      </c>
      <c r="AD189" s="692">
        <v>0</v>
      </c>
      <c r="AE189" s="692">
        <v>0</v>
      </c>
      <c r="AF189" s="692">
        <v>0</v>
      </c>
      <c r="AG189" s="692">
        <v>0</v>
      </c>
      <c r="AH189" s="692">
        <v>0</v>
      </c>
      <c r="AI189" s="692">
        <v>0</v>
      </c>
      <c r="AJ189" s="692">
        <v>0</v>
      </c>
      <c r="AK189" s="692">
        <v>0</v>
      </c>
      <c r="AL189" s="692">
        <v>0</v>
      </c>
      <c r="AM189" s="692">
        <v>0</v>
      </c>
      <c r="AN189" s="692">
        <v>0</v>
      </c>
      <c r="AO189" s="692">
        <v>0</v>
      </c>
      <c r="AP189" s="498">
        <v>0</v>
      </c>
      <c r="AQ189" s="498">
        <v>0</v>
      </c>
      <c r="AR189" s="692">
        <v>3.3202789061835398</v>
      </c>
      <c r="AS189" s="692">
        <v>1.9867210938164599</v>
      </c>
      <c r="AT189" s="498">
        <v>22420.047236999999</v>
      </c>
      <c r="AU189" s="695">
        <v>13415.252763</v>
      </c>
    </row>
    <row r="190" spans="1:47" ht="12" thickBot="1">
      <c r="A190" s="937"/>
      <c r="B190" s="937"/>
      <c r="C190" s="937"/>
      <c r="D190" s="690" t="s">
        <v>410</v>
      </c>
      <c r="E190" s="690" t="s">
        <v>410</v>
      </c>
      <c r="F190" s="690" t="s">
        <v>410</v>
      </c>
      <c r="G190" s="690" t="s">
        <v>410</v>
      </c>
      <c r="H190" s="691">
        <v>270103</v>
      </c>
      <c r="I190" s="692">
        <v>0</v>
      </c>
      <c r="J190" s="692">
        <v>0</v>
      </c>
      <c r="K190" s="692">
        <v>9392256.7912000008</v>
      </c>
      <c r="L190" s="698"/>
      <c r="M190" s="692">
        <v>217377.43350000001</v>
      </c>
      <c r="N190" s="694">
        <v>211729.26550000001</v>
      </c>
      <c r="O190" s="698"/>
      <c r="P190" s="698"/>
      <c r="Q190" s="698"/>
      <c r="R190" s="693"/>
      <c r="S190" s="498">
        <v>4.65429810691277</v>
      </c>
      <c r="T190" s="692">
        <v>1.9501174496775799</v>
      </c>
      <c r="U190" s="692">
        <v>2.7041806572352902</v>
      </c>
      <c r="V190" s="498">
        <v>91079.582037999993</v>
      </c>
      <c r="W190" s="692">
        <v>126297.851474</v>
      </c>
      <c r="X190" s="692">
        <v>0</v>
      </c>
      <c r="Y190" s="692">
        <v>0</v>
      </c>
      <c r="Z190" s="692">
        <v>0</v>
      </c>
      <c r="AA190" s="692">
        <v>0</v>
      </c>
      <c r="AB190" s="692">
        <v>0</v>
      </c>
      <c r="AC190" s="692">
        <v>0</v>
      </c>
      <c r="AD190" s="692">
        <v>0</v>
      </c>
      <c r="AE190" s="692">
        <v>0</v>
      </c>
      <c r="AF190" s="692">
        <v>0</v>
      </c>
      <c r="AG190" s="692">
        <v>0</v>
      </c>
      <c r="AH190" s="692">
        <v>0</v>
      </c>
      <c r="AI190" s="692">
        <v>0</v>
      </c>
      <c r="AJ190" s="692">
        <v>0</v>
      </c>
      <c r="AK190" s="692">
        <v>0</v>
      </c>
      <c r="AL190" s="692">
        <v>0</v>
      </c>
      <c r="AM190" s="692">
        <v>0</v>
      </c>
      <c r="AN190" s="692">
        <v>0</v>
      </c>
      <c r="AO190" s="692">
        <v>0</v>
      </c>
      <c r="AP190" s="498">
        <v>0</v>
      </c>
      <c r="AQ190" s="498">
        <v>0</v>
      </c>
      <c r="AR190" s="692">
        <v>1.9501174496775799</v>
      </c>
      <c r="AS190" s="692">
        <v>2.7041806572352902</v>
      </c>
      <c r="AT190" s="498">
        <v>91079.582037999993</v>
      </c>
      <c r="AU190" s="695">
        <v>126297.851474</v>
      </c>
    </row>
    <row r="191" spans="1:47" ht="12" thickBot="1">
      <c r="A191" s="937"/>
      <c r="B191" s="937"/>
      <c r="C191" s="937"/>
      <c r="D191" s="690" t="s">
        <v>411</v>
      </c>
      <c r="E191" s="690" t="s">
        <v>411</v>
      </c>
      <c r="F191" s="690" t="s">
        <v>411</v>
      </c>
      <c r="G191" s="690" t="s">
        <v>411</v>
      </c>
      <c r="H191" s="691">
        <v>270104</v>
      </c>
      <c r="I191" s="692">
        <v>0</v>
      </c>
      <c r="J191" s="692">
        <v>0</v>
      </c>
      <c r="K191" s="692">
        <v>0</v>
      </c>
      <c r="L191" s="698"/>
      <c r="M191" s="692">
        <v>0</v>
      </c>
      <c r="N191" s="694">
        <v>0</v>
      </c>
      <c r="O191" s="698"/>
      <c r="P191" s="698"/>
      <c r="Q191" s="698"/>
      <c r="R191" s="693"/>
      <c r="S191" s="498">
        <v>0</v>
      </c>
      <c r="T191" s="692">
        <v>0</v>
      </c>
      <c r="U191" s="692">
        <v>0</v>
      </c>
      <c r="V191" s="498">
        <v>0</v>
      </c>
      <c r="W191" s="692">
        <v>0</v>
      </c>
      <c r="X191" s="692">
        <v>0</v>
      </c>
      <c r="Y191" s="692">
        <v>0</v>
      </c>
      <c r="Z191" s="692">
        <v>0</v>
      </c>
      <c r="AA191" s="692">
        <v>0</v>
      </c>
      <c r="AB191" s="692">
        <v>0</v>
      </c>
      <c r="AC191" s="692">
        <v>0</v>
      </c>
      <c r="AD191" s="692">
        <v>0</v>
      </c>
      <c r="AE191" s="692">
        <v>0</v>
      </c>
      <c r="AF191" s="692">
        <v>0</v>
      </c>
      <c r="AG191" s="692">
        <v>0</v>
      </c>
      <c r="AH191" s="692">
        <v>0</v>
      </c>
      <c r="AI191" s="692">
        <v>0</v>
      </c>
      <c r="AJ191" s="692">
        <v>0</v>
      </c>
      <c r="AK191" s="692">
        <v>0</v>
      </c>
      <c r="AL191" s="692">
        <v>0</v>
      </c>
      <c r="AM191" s="692">
        <v>0</v>
      </c>
      <c r="AN191" s="692">
        <v>0</v>
      </c>
      <c r="AO191" s="692">
        <v>0</v>
      </c>
      <c r="AP191" s="498">
        <v>0</v>
      </c>
      <c r="AQ191" s="498">
        <v>0</v>
      </c>
      <c r="AR191" s="692">
        <v>0</v>
      </c>
      <c r="AS191" s="692">
        <v>0</v>
      </c>
      <c r="AT191" s="498">
        <v>0</v>
      </c>
      <c r="AU191" s="695">
        <v>0</v>
      </c>
    </row>
    <row r="192" spans="1:47" ht="12" thickBot="1">
      <c r="A192" s="937"/>
      <c r="B192" s="937"/>
      <c r="C192" s="937"/>
      <c r="D192" s="690" t="s">
        <v>412</v>
      </c>
      <c r="E192" s="690" t="s">
        <v>412</v>
      </c>
      <c r="F192" s="690" t="s">
        <v>412</v>
      </c>
      <c r="G192" s="690" t="s">
        <v>412</v>
      </c>
      <c r="H192" s="691">
        <v>270108</v>
      </c>
      <c r="I192" s="692">
        <v>33034145.201423999</v>
      </c>
      <c r="J192" s="692">
        <v>2.6628068787138202</v>
      </c>
      <c r="K192" s="692">
        <v>18134703.9056</v>
      </c>
      <c r="L192" s="698"/>
      <c r="M192" s="692">
        <v>297160.3186</v>
      </c>
      <c r="N192" s="694">
        <v>161561.30989999999</v>
      </c>
      <c r="O192" s="698"/>
      <c r="P192" s="698"/>
      <c r="Q192" s="698"/>
      <c r="R192" s="693"/>
      <c r="S192" s="498">
        <v>3.29526270732583</v>
      </c>
      <c r="T192" s="692">
        <v>1.5510458923327699</v>
      </c>
      <c r="U192" s="692">
        <v>1.7442168149929</v>
      </c>
      <c r="V192" s="498">
        <v>139870.27202900001</v>
      </c>
      <c r="W192" s="692">
        <v>157290.04641099999</v>
      </c>
      <c r="X192" s="692">
        <v>0</v>
      </c>
      <c r="Y192" s="692">
        <v>0</v>
      </c>
      <c r="Z192" s="692">
        <v>0</v>
      </c>
      <c r="AA192" s="692">
        <v>0</v>
      </c>
      <c r="AB192" s="692">
        <v>0</v>
      </c>
      <c r="AC192" s="692">
        <v>0</v>
      </c>
      <c r="AD192" s="692">
        <v>0</v>
      </c>
      <c r="AE192" s="692">
        <v>0</v>
      </c>
      <c r="AF192" s="692">
        <v>0</v>
      </c>
      <c r="AG192" s="692">
        <v>0</v>
      </c>
      <c r="AH192" s="692">
        <v>0</v>
      </c>
      <c r="AI192" s="692">
        <v>0</v>
      </c>
      <c r="AJ192" s="692">
        <v>0</v>
      </c>
      <c r="AK192" s="692">
        <v>0</v>
      </c>
      <c r="AL192" s="692">
        <v>0</v>
      </c>
      <c r="AM192" s="692">
        <v>0</v>
      </c>
      <c r="AN192" s="692">
        <v>0</v>
      </c>
      <c r="AO192" s="692">
        <v>0</v>
      </c>
      <c r="AP192" s="498">
        <v>0</v>
      </c>
      <c r="AQ192" s="498">
        <v>0</v>
      </c>
      <c r="AR192" s="692">
        <v>1.5510458923327699</v>
      </c>
      <c r="AS192" s="692">
        <v>1.7442168149929</v>
      </c>
      <c r="AT192" s="498">
        <v>139870.27202900001</v>
      </c>
      <c r="AU192" s="695">
        <v>157290.04641099999</v>
      </c>
    </row>
    <row r="193" spans="1:47" ht="12" thickBot="1">
      <c r="A193" s="937"/>
      <c r="B193" s="937"/>
      <c r="C193" s="938"/>
      <c r="D193" s="690" t="s">
        <v>414</v>
      </c>
      <c r="E193" s="690" t="s">
        <v>414</v>
      </c>
      <c r="F193" s="690" t="s">
        <v>414</v>
      </c>
      <c r="G193" s="690" t="s">
        <v>414</v>
      </c>
      <c r="H193" s="691">
        <v>270111</v>
      </c>
      <c r="I193" s="692">
        <v>4751975.943</v>
      </c>
      <c r="J193" s="692">
        <v>3.3318476195789501</v>
      </c>
      <c r="K193" s="692">
        <v>3455787.4493999998</v>
      </c>
      <c r="L193" s="698"/>
      <c r="M193" s="692">
        <v>58478.099399999999</v>
      </c>
      <c r="N193" s="694">
        <v>30827.812999999998</v>
      </c>
      <c r="O193" s="698"/>
      <c r="P193" s="698"/>
      <c r="Q193" s="698"/>
      <c r="R193" s="693"/>
      <c r="S193" s="498">
        <v>3.4029527772731298</v>
      </c>
      <c r="T193" s="692">
        <v>1.5032457507508401</v>
      </c>
      <c r="U193" s="692">
        <v>1.8997070265231599</v>
      </c>
      <c r="V193" s="498">
        <v>25832.551896000001</v>
      </c>
      <c r="W193" s="692">
        <v>32645.54736</v>
      </c>
      <c r="X193" s="692">
        <v>0</v>
      </c>
      <c r="Y193" s="692">
        <v>0</v>
      </c>
      <c r="Z193" s="692">
        <v>0</v>
      </c>
      <c r="AA193" s="692">
        <v>0</v>
      </c>
      <c r="AB193" s="692">
        <v>0</v>
      </c>
      <c r="AC193" s="692">
        <v>0</v>
      </c>
      <c r="AD193" s="692">
        <v>0</v>
      </c>
      <c r="AE193" s="692">
        <v>0</v>
      </c>
      <c r="AF193" s="692">
        <v>0</v>
      </c>
      <c r="AG193" s="692">
        <v>0</v>
      </c>
      <c r="AH193" s="692">
        <v>0</v>
      </c>
      <c r="AI193" s="692">
        <v>0</v>
      </c>
      <c r="AJ193" s="692">
        <v>0</v>
      </c>
      <c r="AK193" s="692">
        <v>0</v>
      </c>
      <c r="AL193" s="692">
        <v>0</v>
      </c>
      <c r="AM193" s="692">
        <v>0</v>
      </c>
      <c r="AN193" s="692">
        <v>0</v>
      </c>
      <c r="AO193" s="692">
        <v>0</v>
      </c>
      <c r="AP193" s="498">
        <v>0</v>
      </c>
      <c r="AQ193" s="498">
        <v>0</v>
      </c>
      <c r="AR193" s="692">
        <v>1.5032457507508401</v>
      </c>
      <c r="AS193" s="692">
        <v>1.8997070265231599</v>
      </c>
      <c r="AT193" s="498">
        <v>25832.551896000001</v>
      </c>
      <c r="AU193" s="695">
        <v>32645.54736</v>
      </c>
    </row>
    <row r="194" spans="1:47" ht="12" thickBot="1">
      <c r="A194" s="937"/>
      <c r="B194" s="937"/>
      <c r="C194" s="936" t="s">
        <v>415</v>
      </c>
      <c r="D194" s="936" t="s">
        <v>416</v>
      </c>
      <c r="E194" s="936" t="s">
        <v>416</v>
      </c>
      <c r="F194" s="936" t="s">
        <v>416</v>
      </c>
      <c r="G194" s="690" t="s">
        <v>416</v>
      </c>
      <c r="H194" s="691">
        <v>270132</v>
      </c>
      <c r="I194" s="692">
        <v>317517692.81999999</v>
      </c>
      <c r="J194" s="692">
        <v>4.7348924015449496</v>
      </c>
      <c r="K194" s="692">
        <v>343375666.68660003</v>
      </c>
      <c r="L194" s="698"/>
      <c r="M194" s="692">
        <v>1742216.45</v>
      </c>
      <c r="N194" s="694">
        <v>959282.32</v>
      </c>
      <c r="O194" s="698"/>
      <c r="P194" s="698"/>
      <c r="Q194" s="698"/>
      <c r="R194" s="693"/>
      <c r="S194" s="498">
        <v>1.0203338429662401</v>
      </c>
      <c r="T194" s="692">
        <v>4.7907796500745201</v>
      </c>
      <c r="U194" s="692">
        <v>-3.7704458071082798</v>
      </c>
      <c r="V194" s="498">
        <v>8180239.4110740004</v>
      </c>
      <c r="W194" s="692">
        <v>-6438022.9610740002</v>
      </c>
      <c r="X194" s="692">
        <v>0</v>
      </c>
      <c r="Y194" s="692">
        <v>0</v>
      </c>
      <c r="Z194" s="692">
        <v>0</v>
      </c>
      <c r="AA194" s="692">
        <v>0</v>
      </c>
      <c r="AB194" s="692">
        <v>0</v>
      </c>
      <c r="AC194" s="692">
        <v>0</v>
      </c>
      <c r="AD194" s="692">
        <v>0</v>
      </c>
      <c r="AE194" s="692">
        <v>0</v>
      </c>
      <c r="AF194" s="692">
        <v>0</v>
      </c>
      <c r="AG194" s="692">
        <v>0</v>
      </c>
      <c r="AH194" s="692">
        <v>0</v>
      </c>
      <c r="AI194" s="692">
        <v>0</v>
      </c>
      <c r="AJ194" s="692">
        <v>-1.61376389799189</v>
      </c>
      <c r="AK194" s="692">
        <v>-2755496.1828219998</v>
      </c>
      <c r="AL194" s="692">
        <v>0</v>
      </c>
      <c r="AM194" s="692">
        <v>0</v>
      </c>
      <c r="AN194" s="692">
        <v>0</v>
      </c>
      <c r="AO194" s="692">
        <v>0</v>
      </c>
      <c r="AP194" s="498">
        <v>0</v>
      </c>
      <c r="AQ194" s="498">
        <v>0</v>
      </c>
      <c r="AR194" s="692">
        <v>3.1770157522026898</v>
      </c>
      <c r="AS194" s="692">
        <v>-2.1566819092364402</v>
      </c>
      <c r="AT194" s="498">
        <v>5424743.2284570001</v>
      </c>
      <c r="AU194" s="695">
        <v>-3682526.7784569999</v>
      </c>
    </row>
    <row r="195" spans="1:47" ht="12" thickBot="1">
      <c r="A195" s="937"/>
      <c r="B195" s="937"/>
      <c r="C195" s="937"/>
      <c r="D195" s="938"/>
      <c r="E195" s="938"/>
      <c r="F195" s="938"/>
      <c r="G195" s="690" t="s">
        <v>417</v>
      </c>
      <c r="H195" s="691">
        <v>270136</v>
      </c>
      <c r="I195" s="692">
        <v>30700818.25</v>
      </c>
      <c r="J195" s="692">
        <v>4.3499999999999996</v>
      </c>
      <c r="K195" s="692">
        <v>25990023.7621</v>
      </c>
      <c r="L195" s="698"/>
      <c r="M195" s="692">
        <v>3190.53</v>
      </c>
      <c r="N195" s="694">
        <v>36281.9</v>
      </c>
      <c r="O195" s="698"/>
      <c r="P195" s="698"/>
      <c r="Q195" s="698"/>
      <c r="R195" s="693"/>
      <c r="S195" s="498">
        <v>2.4686859958075999E-2</v>
      </c>
      <c r="T195" s="692">
        <v>4.3760047749358399</v>
      </c>
      <c r="U195" s="692">
        <v>-4.3513179149777601</v>
      </c>
      <c r="V195" s="498">
        <v>565554.89593600004</v>
      </c>
      <c r="W195" s="692">
        <v>-562364.36593600002</v>
      </c>
      <c r="X195" s="692">
        <v>0</v>
      </c>
      <c r="Y195" s="692">
        <v>0</v>
      </c>
      <c r="Z195" s="692">
        <v>0</v>
      </c>
      <c r="AA195" s="692">
        <v>0</v>
      </c>
      <c r="AB195" s="692">
        <v>0</v>
      </c>
      <c r="AC195" s="692">
        <v>0</v>
      </c>
      <c r="AD195" s="692">
        <v>0</v>
      </c>
      <c r="AE195" s="692">
        <v>0</v>
      </c>
      <c r="AF195" s="692">
        <v>0</v>
      </c>
      <c r="AG195" s="692">
        <v>0</v>
      </c>
      <c r="AH195" s="692">
        <v>0</v>
      </c>
      <c r="AI195" s="692">
        <v>0</v>
      </c>
      <c r="AJ195" s="692">
        <v>0</v>
      </c>
      <c r="AK195" s="692">
        <v>0</v>
      </c>
      <c r="AL195" s="692">
        <v>0</v>
      </c>
      <c r="AM195" s="692">
        <v>0</v>
      </c>
      <c r="AN195" s="692">
        <v>0</v>
      </c>
      <c r="AO195" s="692">
        <v>0</v>
      </c>
      <c r="AP195" s="498">
        <v>0</v>
      </c>
      <c r="AQ195" s="498">
        <v>0</v>
      </c>
      <c r="AR195" s="692">
        <v>4.3760047749358399</v>
      </c>
      <c r="AS195" s="692">
        <v>-4.3513179149777601</v>
      </c>
      <c r="AT195" s="498">
        <v>565554.89593600004</v>
      </c>
      <c r="AU195" s="695">
        <v>-562364.36593600002</v>
      </c>
    </row>
    <row r="196" spans="1:47" ht="12" thickBot="1">
      <c r="A196" s="937"/>
      <c r="B196" s="937"/>
      <c r="C196" s="938"/>
      <c r="D196" s="690" t="s">
        <v>2714</v>
      </c>
      <c r="E196" s="690" t="s">
        <v>2714</v>
      </c>
      <c r="F196" s="690" t="s">
        <v>2714</v>
      </c>
      <c r="G196" s="690" t="s">
        <v>2714</v>
      </c>
      <c r="H196" s="691">
        <v>270137</v>
      </c>
      <c r="I196" s="692">
        <v>34995525.799999997</v>
      </c>
      <c r="J196" s="692">
        <v>5.6</v>
      </c>
      <c r="K196" s="692">
        <v>34995525.799999997</v>
      </c>
      <c r="L196" s="698"/>
      <c r="M196" s="692">
        <v>0</v>
      </c>
      <c r="N196" s="694">
        <v>0</v>
      </c>
      <c r="O196" s="698"/>
      <c r="P196" s="698"/>
      <c r="Q196" s="698"/>
      <c r="R196" s="693"/>
      <c r="S196" s="498">
        <v>0</v>
      </c>
      <c r="T196" s="692">
        <v>5.6933333335657403</v>
      </c>
      <c r="U196" s="692">
        <v>-5.6933333335657403</v>
      </c>
      <c r="V196" s="498">
        <v>990762.21935599996</v>
      </c>
      <c r="W196" s="692">
        <v>-990762.21935599996</v>
      </c>
      <c r="X196" s="692">
        <v>0</v>
      </c>
      <c r="Y196" s="692">
        <v>0</v>
      </c>
      <c r="Z196" s="692">
        <v>0</v>
      </c>
      <c r="AA196" s="692">
        <v>0</v>
      </c>
      <c r="AB196" s="692">
        <v>0</v>
      </c>
      <c r="AC196" s="692">
        <v>0</v>
      </c>
      <c r="AD196" s="692">
        <v>0</v>
      </c>
      <c r="AE196" s="692">
        <v>0</v>
      </c>
      <c r="AF196" s="692">
        <v>0</v>
      </c>
      <c r="AG196" s="692">
        <v>0</v>
      </c>
      <c r="AH196" s="692">
        <v>0</v>
      </c>
      <c r="AI196" s="692">
        <v>0</v>
      </c>
      <c r="AJ196" s="692">
        <v>-4.1229743592782802</v>
      </c>
      <c r="AK196" s="692">
        <v>-717486.04678800004</v>
      </c>
      <c r="AL196" s="692">
        <v>0</v>
      </c>
      <c r="AM196" s="692">
        <v>0</v>
      </c>
      <c r="AN196" s="692">
        <v>0</v>
      </c>
      <c r="AO196" s="692">
        <v>0</v>
      </c>
      <c r="AP196" s="498">
        <v>0</v>
      </c>
      <c r="AQ196" s="498">
        <v>0</v>
      </c>
      <c r="AR196" s="692">
        <v>1.57035897428746</v>
      </c>
      <c r="AS196" s="692">
        <v>-1.57035897428746</v>
      </c>
      <c r="AT196" s="498">
        <v>273276.17256799998</v>
      </c>
      <c r="AU196" s="695">
        <v>-273276.17256799998</v>
      </c>
    </row>
    <row r="197" spans="1:47" ht="12" thickBot="1">
      <c r="A197" s="937"/>
      <c r="B197" s="938"/>
      <c r="C197" s="690" t="s">
        <v>3397</v>
      </c>
      <c r="D197" s="690" t="s">
        <v>3397</v>
      </c>
      <c r="E197" s="690" t="s">
        <v>3397</v>
      </c>
      <c r="F197" s="690" t="s">
        <v>3397</v>
      </c>
      <c r="G197" s="690" t="s">
        <v>3397</v>
      </c>
      <c r="H197" s="691">
        <v>270998</v>
      </c>
      <c r="I197" s="692">
        <v>394114795.52999997</v>
      </c>
      <c r="J197" s="692">
        <v>5.8898797398545399</v>
      </c>
      <c r="K197" s="692">
        <v>0</v>
      </c>
      <c r="L197" s="710"/>
      <c r="M197" s="692">
        <v>527863.56999999995</v>
      </c>
      <c r="N197" s="694">
        <v>295559.78999999998</v>
      </c>
      <c r="O197" s="710"/>
      <c r="P197" s="710"/>
      <c r="Q197" s="710"/>
      <c r="R197" s="693"/>
      <c r="S197" s="498">
        <v>0.141815100451708</v>
      </c>
      <c r="T197" s="692">
        <v>0</v>
      </c>
      <c r="U197" s="692">
        <v>0.141815100451708</v>
      </c>
      <c r="V197" s="498">
        <v>0</v>
      </c>
      <c r="W197" s="692">
        <v>527863.56999999995</v>
      </c>
      <c r="X197" s="692">
        <v>0</v>
      </c>
      <c r="Y197" s="692">
        <v>0</v>
      </c>
      <c r="Z197" s="692">
        <v>0</v>
      </c>
      <c r="AA197" s="692">
        <v>0</v>
      </c>
      <c r="AB197" s="692">
        <v>0</v>
      </c>
      <c r="AC197" s="692">
        <v>0</v>
      </c>
      <c r="AD197" s="692">
        <v>0</v>
      </c>
      <c r="AE197" s="692">
        <v>0</v>
      </c>
      <c r="AF197" s="692">
        <v>0</v>
      </c>
      <c r="AG197" s="692">
        <v>0</v>
      </c>
      <c r="AH197" s="692">
        <v>0</v>
      </c>
      <c r="AI197" s="692">
        <v>0</v>
      </c>
      <c r="AJ197" s="692">
        <v>0</v>
      </c>
      <c r="AK197" s="692">
        <v>0</v>
      </c>
      <c r="AL197" s="692">
        <v>0</v>
      </c>
      <c r="AM197" s="692">
        <v>0</v>
      </c>
      <c r="AN197" s="692">
        <v>0</v>
      </c>
      <c r="AO197" s="692">
        <v>0</v>
      </c>
      <c r="AP197" s="498">
        <v>0</v>
      </c>
      <c r="AQ197" s="498">
        <v>0</v>
      </c>
      <c r="AR197" s="692">
        <v>0</v>
      </c>
      <c r="AS197" s="692">
        <v>0.141815100451708</v>
      </c>
      <c r="AT197" s="498">
        <v>0</v>
      </c>
      <c r="AU197" s="695">
        <v>527863.56999999995</v>
      </c>
    </row>
    <row r="198" spans="1:47" ht="12" thickBot="1">
      <c r="A198" s="937"/>
      <c r="B198" s="690" t="s">
        <v>2873</v>
      </c>
      <c r="C198" s="690" t="s">
        <v>443</v>
      </c>
      <c r="D198" s="690" t="s">
        <v>443</v>
      </c>
      <c r="E198" s="690" t="s">
        <v>443</v>
      </c>
      <c r="F198" s="690" t="s">
        <v>443</v>
      </c>
      <c r="G198" s="690" t="s">
        <v>444</v>
      </c>
      <c r="H198" s="691">
        <v>271070</v>
      </c>
      <c r="I198" s="692">
        <v>895513.73</v>
      </c>
      <c r="J198" s="692">
        <v>0</v>
      </c>
      <c r="K198" s="692">
        <v>895513.73</v>
      </c>
      <c r="L198" s="698"/>
      <c r="M198" s="692">
        <v>0</v>
      </c>
      <c r="N198" s="694">
        <v>0</v>
      </c>
      <c r="O198" s="698"/>
      <c r="P198" s="698"/>
      <c r="Q198" s="698"/>
      <c r="R198" s="693"/>
      <c r="S198" s="498">
        <v>0</v>
      </c>
      <c r="T198" s="692">
        <v>3.4489150295567499</v>
      </c>
      <c r="U198" s="692">
        <v>-3.4489150295567499</v>
      </c>
      <c r="V198" s="498">
        <v>15358.367179999999</v>
      </c>
      <c r="W198" s="692">
        <v>-15358.367179999999</v>
      </c>
      <c r="X198" s="692">
        <v>0</v>
      </c>
      <c r="Y198" s="692">
        <v>0</v>
      </c>
      <c r="Z198" s="692">
        <v>0</v>
      </c>
      <c r="AA198" s="692">
        <v>0</v>
      </c>
      <c r="AB198" s="692">
        <v>0</v>
      </c>
      <c r="AC198" s="692">
        <v>0</v>
      </c>
      <c r="AD198" s="692">
        <v>0</v>
      </c>
      <c r="AE198" s="692">
        <v>0</v>
      </c>
      <c r="AF198" s="692">
        <v>0</v>
      </c>
      <c r="AG198" s="692">
        <v>0</v>
      </c>
      <c r="AH198" s="692">
        <v>0</v>
      </c>
      <c r="AI198" s="692">
        <v>0</v>
      </c>
      <c r="AJ198" s="692">
        <v>0</v>
      </c>
      <c r="AK198" s="692">
        <v>0</v>
      </c>
      <c r="AL198" s="692">
        <v>0</v>
      </c>
      <c r="AM198" s="692">
        <v>0</v>
      </c>
      <c r="AN198" s="692">
        <v>0</v>
      </c>
      <c r="AO198" s="692">
        <v>0</v>
      </c>
      <c r="AP198" s="498">
        <v>0</v>
      </c>
      <c r="AQ198" s="498">
        <v>0</v>
      </c>
      <c r="AR198" s="692">
        <v>3.4489150295567499</v>
      </c>
      <c r="AS198" s="692">
        <v>-3.4489150295567499</v>
      </c>
      <c r="AT198" s="498">
        <v>15358.367179999999</v>
      </c>
      <c r="AU198" s="695">
        <v>-15358.367179999999</v>
      </c>
    </row>
    <row r="199" spans="1:47" s="432" customFormat="1" ht="12" thickBot="1">
      <c r="A199" s="937"/>
      <c r="B199" s="936" t="s">
        <v>418</v>
      </c>
      <c r="C199" s="941" t="s">
        <v>419</v>
      </c>
      <c r="D199" s="941" t="s">
        <v>420</v>
      </c>
      <c r="E199" s="711" t="s">
        <v>421</v>
      </c>
      <c r="F199" s="711" t="s">
        <v>421</v>
      </c>
      <c r="G199" s="711" t="s">
        <v>421</v>
      </c>
      <c r="H199" s="712">
        <v>271001</v>
      </c>
      <c r="I199" s="713">
        <v>22580247615.400002</v>
      </c>
      <c r="J199" s="713">
        <v>4.5874779195499604</v>
      </c>
      <c r="K199" s="713">
        <v>21159736198.988899</v>
      </c>
      <c r="L199" s="714">
        <f>SUM(K199:K208)</f>
        <v>27352455852.195206</v>
      </c>
      <c r="M199" s="713">
        <v>495714903.37</v>
      </c>
      <c r="N199" s="694">
        <v>327151591.43000001</v>
      </c>
      <c r="O199" s="714">
        <f>SUM(M199:M208)</f>
        <v>629543885.26009989</v>
      </c>
      <c r="P199" s="714">
        <f>SUM(N199:N208)</f>
        <v>416753421.66000009</v>
      </c>
      <c r="Q199" s="714">
        <f>P199+(O199-P199)/1.06</f>
        <v>617499142.0374527</v>
      </c>
      <c r="R199" s="715">
        <f>Q199/L199/$H$1*366</f>
        <v>4.5399359956659946E-2</v>
      </c>
      <c r="S199" s="716">
        <v>4.7111987308621899</v>
      </c>
      <c r="T199" s="713">
        <v>3.5514944937310799</v>
      </c>
      <c r="U199" s="713">
        <v>1.1597042371311099</v>
      </c>
      <c r="V199" s="716">
        <v>373690190.19428998</v>
      </c>
      <c r="W199" s="713">
        <v>122024713.17570999</v>
      </c>
      <c r="X199" s="713">
        <v>0</v>
      </c>
      <c r="Y199" s="713">
        <v>0</v>
      </c>
      <c r="Z199" s="713">
        <v>0.4355900411941</v>
      </c>
      <c r="AA199" s="713">
        <v>45833022.021541998</v>
      </c>
      <c r="AB199" s="713">
        <v>0</v>
      </c>
      <c r="AC199" s="713">
        <v>0</v>
      </c>
      <c r="AD199" s="713">
        <v>-0.23979385105926301</v>
      </c>
      <c r="AE199" s="713">
        <v>-25231239.966141</v>
      </c>
      <c r="AF199" s="713">
        <v>-0.312025919068663</v>
      </c>
      <c r="AG199" s="713">
        <v>-32831537.609909002</v>
      </c>
      <c r="AH199" s="713">
        <v>0</v>
      </c>
      <c r="AI199" s="713">
        <v>0</v>
      </c>
      <c r="AJ199" s="713">
        <v>-1.0963160409282999E-2</v>
      </c>
      <c r="AK199" s="713">
        <v>-1153549.725533</v>
      </c>
      <c r="AL199" s="713">
        <v>0</v>
      </c>
      <c r="AM199" s="713">
        <v>0</v>
      </c>
      <c r="AN199" s="713">
        <v>0</v>
      </c>
      <c r="AO199" s="713">
        <v>0</v>
      </c>
      <c r="AP199" s="716">
        <v>-1.34785109574E-4</v>
      </c>
      <c r="AQ199" s="716">
        <v>-14182.162839000001</v>
      </c>
      <c r="AR199" s="713">
        <v>3.53256706094575</v>
      </c>
      <c r="AS199" s="713">
        <v>1.1786316699164401</v>
      </c>
      <c r="AT199" s="716">
        <v>371698635.379852</v>
      </c>
      <c r="AU199" s="717">
        <v>124016267.99014799</v>
      </c>
    </row>
    <row r="200" spans="1:47" s="432" customFormat="1" ht="12" thickBot="1">
      <c r="A200" s="937"/>
      <c r="B200" s="937"/>
      <c r="C200" s="942"/>
      <c r="D200" s="942"/>
      <c r="E200" s="711" t="s">
        <v>422</v>
      </c>
      <c r="F200" s="711" t="s">
        <v>422</v>
      </c>
      <c r="G200" s="711" t="s">
        <v>422</v>
      </c>
      <c r="H200" s="712">
        <v>271004</v>
      </c>
      <c r="I200" s="713">
        <v>796128255.36000001</v>
      </c>
      <c r="J200" s="713">
        <v>4.6158480736034004</v>
      </c>
      <c r="K200" s="713">
        <v>815247728.77980006</v>
      </c>
      <c r="L200" s="714"/>
      <c r="M200" s="713">
        <v>19223575.59</v>
      </c>
      <c r="N200" s="694">
        <v>13054223.189999999</v>
      </c>
      <c r="O200" s="714"/>
      <c r="P200" s="714"/>
      <c r="Q200" s="714"/>
      <c r="R200" s="713"/>
      <c r="S200" s="716">
        <v>4.7419205106254996</v>
      </c>
      <c r="T200" s="713">
        <v>3.5925470756995699</v>
      </c>
      <c r="U200" s="713">
        <v>1.1493734349259399</v>
      </c>
      <c r="V200" s="716">
        <v>14564056.929168999</v>
      </c>
      <c r="W200" s="713">
        <v>4659518.6608309997</v>
      </c>
      <c r="X200" s="713">
        <v>0</v>
      </c>
      <c r="Y200" s="713">
        <v>0</v>
      </c>
      <c r="Z200" s="713">
        <v>0.45451872980512398</v>
      </c>
      <c r="AA200" s="713">
        <v>1842602.6205839999</v>
      </c>
      <c r="AB200" s="713">
        <v>0</v>
      </c>
      <c r="AC200" s="713">
        <v>0</v>
      </c>
      <c r="AD200" s="713">
        <v>-8.0548351269617E-2</v>
      </c>
      <c r="AE200" s="713">
        <v>-326540.12563299999</v>
      </c>
      <c r="AF200" s="713">
        <v>-0.37644723142053699</v>
      </c>
      <c r="AG200" s="713">
        <v>-1526103.567667</v>
      </c>
      <c r="AH200" s="713">
        <v>0</v>
      </c>
      <c r="AI200" s="713">
        <v>0</v>
      </c>
      <c r="AJ200" s="713">
        <v>-6.3162599509139997E-3</v>
      </c>
      <c r="AK200" s="713">
        <v>-25605.891187000001</v>
      </c>
      <c r="AL200" s="713">
        <v>0</v>
      </c>
      <c r="AM200" s="713">
        <v>0</v>
      </c>
      <c r="AN200" s="713">
        <v>0</v>
      </c>
      <c r="AO200" s="713">
        <v>0</v>
      </c>
      <c r="AP200" s="716">
        <v>0</v>
      </c>
      <c r="AQ200" s="716">
        <v>0</v>
      </c>
      <c r="AR200" s="713">
        <v>3.6231536527826602</v>
      </c>
      <c r="AS200" s="713">
        <v>1.11876685784285</v>
      </c>
      <c r="AT200" s="716">
        <v>14688134.894370999</v>
      </c>
      <c r="AU200" s="717">
        <v>4535440.6956289997</v>
      </c>
    </row>
    <row r="201" spans="1:47" s="432" customFormat="1" ht="12" thickBot="1">
      <c r="A201" s="937"/>
      <c r="B201" s="937"/>
      <c r="C201" s="942"/>
      <c r="D201" s="943"/>
      <c r="E201" s="711" t="s">
        <v>423</v>
      </c>
      <c r="F201" s="711" t="s">
        <v>423</v>
      </c>
      <c r="G201" s="711" t="s">
        <v>423</v>
      </c>
      <c r="H201" s="712">
        <v>271005</v>
      </c>
      <c r="I201" s="713">
        <v>5267632.3600000003</v>
      </c>
      <c r="J201" s="713">
        <v>4.2948373344205804</v>
      </c>
      <c r="K201" s="713">
        <v>6653630.6756999996</v>
      </c>
      <c r="L201" s="714"/>
      <c r="M201" s="713">
        <v>140918.45000000001</v>
      </c>
      <c r="N201" s="694">
        <v>102550.67</v>
      </c>
      <c r="O201" s="714"/>
      <c r="P201" s="714"/>
      <c r="Q201" s="714"/>
      <c r="R201" s="713"/>
      <c r="S201" s="716">
        <v>4.2591100740624901</v>
      </c>
      <c r="T201" s="713">
        <v>3.4918456459996499</v>
      </c>
      <c r="U201" s="713">
        <v>0.76726442806322503</v>
      </c>
      <c r="V201" s="716">
        <v>115532.462772</v>
      </c>
      <c r="W201" s="713">
        <v>25385.987228000002</v>
      </c>
      <c r="X201" s="713">
        <v>0</v>
      </c>
      <c r="Y201" s="713">
        <v>0</v>
      </c>
      <c r="Z201" s="713">
        <v>0.37712574669091098</v>
      </c>
      <c r="AA201" s="713">
        <v>12477.718292</v>
      </c>
      <c r="AB201" s="713">
        <v>0</v>
      </c>
      <c r="AC201" s="713">
        <v>0</v>
      </c>
      <c r="AD201" s="713">
        <v>0</v>
      </c>
      <c r="AE201" s="713">
        <v>0</v>
      </c>
      <c r="AF201" s="713">
        <v>-0.59625678710542496</v>
      </c>
      <c r="AG201" s="713">
        <v>-19727.966823999999</v>
      </c>
      <c r="AH201" s="713">
        <v>0</v>
      </c>
      <c r="AI201" s="713">
        <v>0</v>
      </c>
      <c r="AJ201" s="713">
        <v>0</v>
      </c>
      <c r="AK201" s="713">
        <v>0</v>
      </c>
      <c r="AL201" s="713">
        <v>0</v>
      </c>
      <c r="AM201" s="713">
        <v>0</v>
      </c>
      <c r="AN201" s="713">
        <v>0</v>
      </c>
      <c r="AO201" s="713">
        <v>0</v>
      </c>
      <c r="AP201" s="716">
        <v>0</v>
      </c>
      <c r="AQ201" s="716">
        <v>0</v>
      </c>
      <c r="AR201" s="713">
        <v>3.2727146070358799</v>
      </c>
      <c r="AS201" s="713">
        <v>0.98639546702699099</v>
      </c>
      <c r="AT201" s="716">
        <v>108282.214288</v>
      </c>
      <c r="AU201" s="717">
        <v>32636.235712000002</v>
      </c>
    </row>
    <row r="202" spans="1:47" s="432" customFormat="1" ht="12" thickBot="1">
      <c r="A202" s="937"/>
      <c r="B202" s="937"/>
      <c r="C202" s="942"/>
      <c r="D202" s="941" t="s">
        <v>424</v>
      </c>
      <c r="E202" s="711" t="s">
        <v>425</v>
      </c>
      <c r="F202" s="711" t="s">
        <v>425</v>
      </c>
      <c r="G202" s="711" t="s">
        <v>425</v>
      </c>
      <c r="H202" s="712">
        <v>271011</v>
      </c>
      <c r="I202" s="713">
        <v>4607705184.1300001</v>
      </c>
      <c r="J202" s="713">
        <v>4.1787470703723404</v>
      </c>
      <c r="K202" s="713">
        <v>4543612623.5460997</v>
      </c>
      <c r="L202" s="714"/>
      <c r="M202" s="713">
        <v>95037108.770099998</v>
      </c>
      <c r="N202" s="694">
        <v>63362666.630000003</v>
      </c>
      <c r="O202" s="714"/>
      <c r="P202" s="714"/>
      <c r="Q202" s="714"/>
      <c r="R202" s="713"/>
      <c r="S202" s="716">
        <v>4.2063132843286599</v>
      </c>
      <c r="T202" s="713">
        <v>3.5028432713542998</v>
      </c>
      <c r="U202" s="713">
        <v>0.70347001297435896</v>
      </c>
      <c r="V202" s="716">
        <v>79142963.084618002</v>
      </c>
      <c r="W202" s="713">
        <v>15894145.685381999</v>
      </c>
      <c r="X202" s="713">
        <v>0</v>
      </c>
      <c r="Y202" s="713">
        <v>0</v>
      </c>
      <c r="Z202" s="713">
        <v>0.41771658586086402</v>
      </c>
      <c r="AA202" s="713">
        <v>9437855.4144780003</v>
      </c>
      <c r="AB202" s="713">
        <v>0</v>
      </c>
      <c r="AC202" s="713">
        <v>0</v>
      </c>
      <c r="AD202" s="713">
        <v>-0.117000374173595</v>
      </c>
      <c r="AE202" s="713">
        <v>-2643497.175518</v>
      </c>
      <c r="AF202" s="713">
        <v>-0.66588172877593199</v>
      </c>
      <c r="AG202" s="713">
        <v>-15044878.973092001</v>
      </c>
      <c r="AH202" s="713">
        <v>0</v>
      </c>
      <c r="AI202" s="713">
        <v>0</v>
      </c>
      <c r="AJ202" s="713">
        <v>-1.8251017634853001E-2</v>
      </c>
      <c r="AK202" s="713">
        <v>-412362.04506899999</v>
      </c>
      <c r="AL202" s="713">
        <v>0</v>
      </c>
      <c r="AM202" s="713">
        <v>0</v>
      </c>
      <c r="AN202" s="713">
        <v>0</v>
      </c>
      <c r="AO202" s="713">
        <v>0</v>
      </c>
      <c r="AP202" s="716">
        <v>-9.2134119747000004E-5</v>
      </c>
      <c r="AQ202" s="716">
        <v>-2081.6709949999999</v>
      </c>
      <c r="AR202" s="713">
        <v>3.1706670288309602</v>
      </c>
      <c r="AS202" s="713">
        <v>1.0356462554977</v>
      </c>
      <c r="AT202" s="716">
        <v>71637799.403843999</v>
      </c>
      <c r="AU202" s="717">
        <v>23399309.366156001</v>
      </c>
    </row>
    <row r="203" spans="1:47" s="432" customFormat="1" ht="12" thickBot="1">
      <c r="A203" s="937"/>
      <c r="B203" s="937"/>
      <c r="C203" s="942"/>
      <c r="D203" s="942"/>
      <c r="E203" s="711" t="s">
        <v>426</v>
      </c>
      <c r="F203" s="711" t="s">
        <v>426</v>
      </c>
      <c r="G203" s="711" t="s">
        <v>426</v>
      </c>
      <c r="H203" s="712">
        <v>271054</v>
      </c>
      <c r="I203" s="713">
        <v>13863870.800000001</v>
      </c>
      <c r="J203" s="713">
        <v>4.1241041358871398</v>
      </c>
      <c r="K203" s="713">
        <v>14684499.2675</v>
      </c>
      <c r="L203" s="714"/>
      <c r="M203" s="713">
        <v>305313.55</v>
      </c>
      <c r="N203" s="694">
        <v>208155.47</v>
      </c>
      <c r="O203" s="714"/>
      <c r="P203" s="714"/>
      <c r="Q203" s="714"/>
      <c r="R203" s="713"/>
      <c r="S203" s="716">
        <v>4.1811585315677204</v>
      </c>
      <c r="T203" s="713">
        <v>3.4749608848926599</v>
      </c>
      <c r="U203" s="713">
        <v>0.70619764667530405</v>
      </c>
      <c r="V203" s="716">
        <v>253746.09354500001</v>
      </c>
      <c r="W203" s="713">
        <v>51567.456455</v>
      </c>
      <c r="X203" s="713">
        <v>0</v>
      </c>
      <c r="Y203" s="713">
        <v>0</v>
      </c>
      <c r="Z203" s="713">
        <v>0.39343206889069499</v>
      </c>
      <c r="AA203" s="713">
        <v>28728.913465000001</v>
      </c>
      <c r="AB203" s="713">
        <v>0</v>
      </c>
      <c r="AC203" s="713">
        <v>0</v>
      </c>
      <c r="AD203" s="713">
        <v>0</v>
      </c>
      <c r="AE203" s="713">
        <v>0</v>
      </c>
      <c r="AF203" s="713">
        <v>-0.68209368813538696</v>
      </c>
      <c r="AG203" s="713">
        <v>-49807.354536999999</v>
      </c>
      <c r="AH203" s="713">
        <v>0</v>
      </c>
      <c r="AI203" s="713">
        <v>0</v>
      </c>
      <c r="AJ203" s="713">
        <v>0</v>
      </c>
      <c r="AK203" s="713">
        <v>0</v>
      </c>
      <c r="AL203" s="713">
        <v>0</v>
      </c>
      <c r="AM203" s="713">
        <v>0</v>
      </c>
      <c r="AN203" s="713">
        <v>0</v>
      </c>
      <c r="AO203" s="713">
        <v>0</v>
      </c>
      <c r="AP203" s="716">
        <v>0</v>
      </c>
      <c r="AQ203" s="716">
        <v>0</v>
      </c>
      <c r="AR203" s="713">
        <v>3.1862992635389902</v>
      </c>
      <c r="AS203" s="713">
        <v>0.99485926802896996</v>
      </c>
      <c r="AT203" s="716">
        <v>232667.65231899999</v>
      </c>
      <c r="AU203" s="717">
        <v>72645.897681000002</v>
      </c>
    </row>
    <row r="204" spans="1:47" s="432" customFormat="1" ht="12" thickBot="1">
      <c r="A204" s="937"/>
      <c r="B204" s="937"/>
      <c r="C204" s="942"/>
      <c r="D204" s="942"/>
      <c r="E204" s="711" t="s">
        <v>427</v>
      </c>
      <c r="F204" s="711" t="s">
        <v>427</v>
      </c>
      <c r="G204" s="711" t="s">
        <v>427</v>
      </c>
      <c r="H204" s="712">
        <v>271056</v>
      </c>
      <c r="I204" s="713">
        <v>27572025.18</v>
      </c>
      <c r="J204" s="713">
        <v>4.78587446691723</v>
      </c>
      <c r="K204" s="713">
        <v>29940993.862300001</v>
      </c>
      <c r="L204" s="714"/>
      <c r="M204" s="713">
        <v>704231.37</v>
      </c>
      <c r="N204" s="694">
        <v>482910.07</v>
      </c>
      <c r="O204" s="714"/>
      <c r="P204" s="714"/>
      <c r="Q204" s="714"/>
      <c r="R204" s="713"/>
      <c r="S204" s="716">
        <v>4.7299750728501904</v>
      </c>
      <c r="T204" s="713">
        <v>3.48293085725722</v>
      </c>
      <c r="U204" s="713">
        <v>1.24704421559291</v>
      </c>
      <c r="V204" s="716">
        <v>518562.81089099997</v>
      </c>
      <c r="W204" s="713">
        <v>185668.55910899999</v>
      </c>
      <c r="X204" s="713">
        <v>0</v>
      </c>
      <c r="Y204" s="713">
        <v>0</v>
      </c>
      <c r="Z204" s="713">
        <v>0.37957431671215403</v>
      </c>
      <c r="AA204" s="713">
        <v>56513.646891999997</v>
      </c>
      <c r="AB204" s="713">
        <v>0</v>
      </c>
      <c r="AC204" s="713">
        <v>0</v>
      </c>
      <c r="AD204" s="713">
        <v>0</v>
      </c>
      <c r="AE204" s="713">
        <v>0</v>
      </c>
      <c r="AF204" s="713">
        <v>-2.9073284107233002E-2</v>
      </c>
      <c r="AG204" s="713">
        <v>-4328.6314160000002</v>
      </c>
      <c r="AH204" s="713">
        <v>0</v>
      </c>
      <c r="AI204" s="713">
        <v>0</v>
      </c>
      <c r="AJ204" s="713">
        <v>-2.6657358848801001E-2</v>
      </c>
      <c r="AK204" s="713">
        <v>-3968.931771</v>
      </c>
      <c r="AL204" s="713">
        <v>0</v>
      </c>
      <c r="AM204" s="713">
        <v>0</v>
      </c>
      <c r="AN204" s="713">
        <v>0</v>
      </c>
      <c r="AO204" s="713">
        <v>0</v>
      </c>
      <c r="AP204" s="716">
        <v>0</v>
      </c>
      <c r="AQ204" s="716">
        <v>0</v>
      </c>
      <c r="AR204" s="713">
        <v>3.8067745337872601</v>
      </c>
      <c r="AS204" s="713">
        <v>0.92320053906287403</v>
      </c>
      <c r="AT204" s="716">
        <v>566778.89500899997</v>
      </c>
      <c r="AU204" s="717">
        <v>137452.474991</v>
      </c>
    </row>
    <row r="205" spans="1:47" s="432" customFormat="1" ht="12" thickBot="1">
      <c r="A205" s="937"/>
      <c r="B205" s="937"/>
      <c r="C205" s="942"/>
      <c r="D205" s="942"/>
      <c r="E205" s="711" t="s">
        <v>428</v>
      </c>
      <c r="F205" s="711" t="s">
        <v>428</v>
      </c>
      <c r="G205" s="711" t="s">
        <v>428</v>
      </c>
      <c r="H205" s="712">
        <v>271057</v>
      </c>
      <c r="I205" s="713">
        <v>26452385.640000001</v>
      </c>
      <c r="J205" s="713">
        <v>3.6662065339971299</v>
      </c>
      <c r="K205" s="713">
        <v>28096531.137400001</v>
      </c>
      <c r="L205" s="714"/>
      <c r="M205" s="713">
        <v>516889.75</v>
      </c>
      <c r="N205" s="694">
        <v>353148.73</v>
      </c>
      <c r="O205" s="714"/>
      <c r="P205" s="714"/>
      <c r="Q205" s="714"/>
      <c r="R205" s="713"/>
      <c r="S205" s="716">
        <v>3.6996012143458001</v>
      </c>
      <c r="T205" s="713">
        <v>3.4854441838079899</v>
      </c>
      <c r="U205" s="713">
        <v>0.21415703053784399</v>
      </c>
      <c r="V205" s="716">
        <v>486968.80242700002</v>
      </c>
      <c r="W205" s="713">
        <v>29920.947573000001</v>
      </c>
      <c r="X205" s="713">
        <v>0</v>
      </c>
      <c r="Y205" s="713">
        <v>0</v>
      </c>
      <c r="Z205" s="713">
        <v>0.37972793008702799</v>
      </c>
      <c r="AA205" s="713">
        <v>53053.684297</v>
      </c>
      <c r="AB205" s="713">
        <v>0</v>
      </c>
      <c r="AC205" s="713">
        <v>0</v>
      </c>
      <c r="AD205" s="713">
        <v>0</v>
      </c>
      <c r="AE205" s="713">
        <v>0</v>
      </c>
      <c r="AF205" s="713">
        <v>-1.1825406654319699</v>
      </c>
      <c r="AG205" s="713">
        <v>-165218.65831100001</v>
      </c>
      <c r="AH205" s="713">
        <v>0</v>
      </c>
      <c r="AI205" s="713">
        <v>0</v>
      </c>
      <c r="AJ205" s="713">
        <v>0</v>
      </c>
      <c r="AK205" s="713">
        <v>0</v>
      </c>
      <c r="AL205" s="713">
        <v>0</v>
      </c>
      <c r="AM205" s="713">
        <v>0</v>
      </c>
      <c r="AN205" s="713">
        <v>0</v>
      </c>
      <c r="AO205" s="713">
        <v>0</v>
      </c>
      <c r="AP205" s="716">
        <v>0</v>
      </c>
      <c r="AQ205" s="716">
        <v>0</v>
      </c>
      <c r="AR205" s="713">
        <v>2.6826314512544398</v>
      </c>
      <c r="AS205" s="713">
        <v>1.0169697630913901</v>
      </c>
      <c r="AT205" s="716">
        <v>374803.82880299998</v>
      </c>
      <c r="AU205" s="717">
        <v>142085.92119699999</v>
      </c>
    </row>
    <row r="206" spans="1:47" s="432" customFormat="1" ht="12" thickBot="1">
      <c r="A206" s="937"/>
      <c r="B206" s="937"/>
      <c r="C206" s="942"/>
      <c r="D206" s="943"/>
      <c r="E206" s="711" t="s">
        <v>429</v>
      </c>
      <c r="F206" s="711" t="s">
        <v>429</v>
      </c>
      <c r="G206" s="711" t="s">
        <v>429</v>
      </c>
      <c r="H206" s="712">
        <v>271059</v>
      </c>
      <c r="I206" s="713">
        <v>490457.59999999998</v>
      </c>
      <c r="J206" s="713">
        <v>3.47544110357348</v>
      </c>
      <c r="K206" s="713">
        <v>513946.2499</v>
      </c>
      <c r="L206" s="714"/>
      <c r="M206" s="713">
        <v>8904.93</v>
      </c>
      <c r="N206" s="694">
        <v>6019.68</v>
      </c>
      <c r="O206" s="714"/>
      <c r="P206" s="714"/>
      <c r="Q206" s="714"/>
      <c r="R206" s="713"/>
      <c r="S206" s="716">
        <v>3.4843558787534499</v>
      </c>
      <c r="T206" s="713">
        <v>3.48436966564863</v>
      </c>
      <c r="U206" s="713">
        <v>-1.3786888767E-5</v>
      </c>
      <c r="V206" s="716">
        <v>8904.9652349999997</v>
      </c>
      <c r="W206" s="713">
        <v>-3.5235000000000002E-2</v>
      </c>
      <c r="X206" s="713">
        <v>0</v>
      </c>
      <c r="Y206" s="713">
        <v>0</v>
      </c>
      <c r="Z206" s="713">
        <v>0.379730977856161</v>
      </c>
      <c r="AA206" s="713">
        <v>970.47428400000001</v>
      </c>
      <c r="AB206" s="713">
        <v>0</v>
      </c>
      <c r="AC206" s="713">
        <v>0</v>
      </c>
      <c r="AD206" s="713">
        <v>0</v>
      </c>
      <c r="AE206" s="713">
        <v>0</v>
      </c>
      <c r="AF206" s="713">
        <v>-1.37635462046263</v>
      </c>
      <c r="AG206" s="713">
        <v>-3517.5343670000002</v>
      </c>
      <c r="AH206" s="713">
        <v>0</v>
      </c>
      <c r="AI206" s="713">
        <v>0</v>
      </c>
      <c r="AJ206" s="713">
        <v>0</v>
      </c>
      <c r="AK206" s="713">
        <v>0</v>
      </c>
      <c r="AL206" s="713">
        <v>0</v>
      </c>
      <c r="AM206" s="713">
        <v>0</v>
      </c>
      <c r="AN206" s="713">
        <v>0</v>
      </c>
      <c r="AO206" s="713">
        <v>0</v>
      </c>
      <c r="AP206" s="716">
        <v>0</v>
      </c>
      <c r="AQ206" s="716">
        <v>0</v>
      </c>
      <c r="AR206" s="713">
        <v>2.4877460316504099</v>
      </c>
      <c r="AS206" s="713">
        <v>0.99660984710945699</v>
      </c>
      <c r="AT206" s="716">
        <v>6357.9051740000004</v>
      </c>
      <c r="AU206" s="717">
        <v>2547.0248259999998</v>
      </c>
    </row>
    <row r="207" spans="1:47" s="432" customFormat="1" ht="12" thickBot="1">
      <c r="A207" s="937"/>
      <c r="B207" s="937"/>
      <c r="C207" s="942"/>
      <c r="D207" s="941" t="s">
        <v>430</v>
      </c>
      <c r="E207" s="711" t="s">
        <v>431</v>
      </c>
      <c r="F207" s="711" t="s">
        <v>431</v>
      </c>
      <c r="G207" s="711" t="s">
        <v>431</v>
      </c>
      <c r="H207" s="712">
        <v>271071</v>
      </c>
      <c r="I207" s="713">
        <v>708625149.37</v>
      </c>
      <c r="J207" s="713">
        <v>4.5848515879065204</v>
      </c>
      <c r="K207" s="713">
        <v>697747481.13919997</v>
      </c>
      <c r="L207" s="714"/>
      <c r="M207" s="713">
        <v>16578608.5</v>
      </c>
      <c r="N207" s="694">
        <v>11136385.93</v>
      </c>
      <c r="O207" s="714"/>
      <c r="P207" s="714"/>
      <c r="Q207" s="714"/>
      <c r="R207" s="713"/>
      <c r="S207" s="716">
        <v>4.7781468815280101</v>
      </c>
      <c r="T207" s="713">
        <v>3.59918295082766</v>
      </c>
      <c r="U207" s="713">
        <v>1.1789639307003399</v>
      </c>
      <c r="V207" s="716">
        <v>12487988.867048999</v>
      </c>
      <c r="W207" s="713">
        <v>4090619.6329509998</v>
      </c>
      <c r="X207" s="713">
        <v>0</v>
      </c>
      <c r="Y207" s="713">
        <v>0</v>
      </c>
      <c r="Z207" s="713">
        <v>0.45073765445566399</v>
      </c>
      <c r="AA207" s="713">
        <v>1563912.3900349999</v>
      </c>
      <c r="AB207" s="713">
        <v>0</v>
      </c>
      <c r="AC207" s="713">
        <v>0</v>
      </c>
      <c r="AD207" s="713">
        <v>-0.23166852102990501</v>
      </c>
      <c r="AE207" s="713">
        <v>-803814.07419199997</v>
      </c>
      <c r="AF207" s="713">
        <v>-0.332800890171361</v>
      </c>
      <c r="AG207" s="713">
        <v>-1154710.351817</v>
      </c>
      <c r="AH207" s="713">
        <v>0</v>
      </c>
      <c r="AI207" s="713">
        <v>0</v>
      </c>
      <c r="AJ207" s="713">
        <v>-9.0941109675400005E-4</v>
      </c>
      <c r="AK207" s="713">
        <v>-3155.359371</v>
      </c>
      <c r="AL207" s="713">
        <v>0</v>
      </c>
      <c r="AM207" s="713">
        <v>0</v>
      </c>
      <c r="AN207" s="713">
        <v>0</v>
      </c>
      <c r="AO207" s="713">
        <v>0</v>
      </c>
      <c r="AP207" s="716">
        <v>-1.0553041650800001E-4</v>
      </c>
      <c r="AQ207" s="716">
        <v>-366.15606500000001</v>
      </c>
      <c r="AR207" s="713">
        <v>3.5954198795800898</v>
      </c>
      <c r="AS207" s="713">
        <v>1.1827270019478999</v>
      </c>
      <c r="AT207" s="716">
        <v>12474932.23934</v>
      </c>
      <c r="AU207" s="717">
        <v>4103676.2606600001</v>
      </c>
    </row>
    <row r="208" spans="1:47" s="432" customFormat="1" ht="12" thickBot="1">
      <c r="A208" s="937"/>
      <c r="B208" s="937"/>
      <c r="C208" s="943"/>
      <c r="D208" s="943"/>
      <c r="E208" s="711" t="s">
        <v>432</v>
      </c>
      <c r="F208" s="711" t="s">
        <v>432</v>
      </c>
      <c r="G208" s="711" t="s">
        <v>432</v>
      </c>
      <c r="H208" s="712">
        <v>271072</v>
      </c>
      <c r="I208" s="713">
        <v>54138698.700000003</v>
      </c>
      <c r="J208" s="713">
        <v>4.5265584151929898</v>
      </c>
      <c r="K208" s="713">
        <v>56222218.5484</v>
      </c>
      <c r="L208" s="714"/>
      <c r="M208" s="713">
        <v>1313430.98</v>
      </c>
      <c r="N208" s="694">
        <v>895769.86</v>
      </c>
      <c r="O208" s="714"/>
      <c r="P208" s="714"/>
      <c r="Q208" s="714"/>
      <c r="R208" s="713"/>
      <c r="S208" s="716">
        <v>4.6979563163107398</v>
      </c>
      <c r="T208" s="713">
        <v>3.6752401868219202</v>
      </c>
      <c r="U208" s="713">
        <v>1.02271612948862</v>
      </c>
      <c r="V208" s="716">
        <v>1027505.152305</v>
      </c>
      <c r="W208" s="713">
        <v>285925.82769499999</v>
      </c>
      <c r="X208" s="713">
        <v>0</v>
      </c>
      <c r="Y208" s="713">
        <v>0</v>
      </c>
      <c r="Z208" s="713">
        <v>0.45600441913253098</v>
      </c>
      <c r="AA208" s="713">
        <v>127487.420227</v>
      </c>
      <c r="AB208" s="713">
        <v>0</v>
      </c>
      <c r="AC208" s="713">
        <v>0</v>
      </c>
      <c r="AD208" s="713">
        <v>-0.117504856318284</v>
      </c>
      <c r="AE208" s="713">
        <v>-32851.416275000003</v>
      </c>
      <c r="AF208" s="713">
        <v>-0.46584522261691003</v>
      </c>
      <c r="AG208" s="713">
        <v>-130238.662532</v>
      </c>
      <c r="AH208" s="713">
        <v>0</v>
      </c>
      <c r="AI208" s="713">
        <v>0</v>
      </c>
      <c r="AJ208" s="713">
        <v>0</v>
      </c>
      <c r="AK208" s="713">
        <v>0</v>
      </c>
      <c r="AL208" s="713">
        <v>0</v>
      </c>
      <c r="AM208" s="713">
        <v>0</v>
      </c>
      <c r="AN208" s="713">
        <v>0</v>
      </c>
      <c r="AO208" s="713">
        <v>0</v>
      </c>
      <c r="AP208" s="716">
        <v>0</v>
      </c>
      <c r="AQ208" s="716">
        <v>0</v>
      </c>
      <c r="AR208" s="713">
        <v>3.6069078716023499</v>
      </c>
      <c r="AS208" s="713">
        <v>1.0910484447081901</v>
      </c>
      <c r="AT208" s="716">
        <v>1008401.147563</v>
      </c>
      <c r="AU208" s="717">
        <v>305029.832437</v>
      </c>
    </row>
    <row r="209" spans="1:47" s="432" customFormat="1" ht="12" thickBot="1">
      <c r="A209" s="937"/>
      <c r="B209" s="937"/>
      <c r="C209" s="941" t="s">
        <v>433</v>
      </c>
      <c r="D209" s="711" t="s">
        <v>434</v>
      </c>
      <c r="E209" s="711" t="s">
        <v>434</v>
      </c>
      <c r="F209" s="711" t="s">
        <v>434</v>
      </c>
      <c r="G209" s="711" t="s">
        <v>434</v>
      </c>
      <c r="H209" s="712">
        <v>271063</v>
      </c>
      <c r="I209" s="713">
        <v>333660.09999999998</v>
      </c>
      <c r="J209" s="713">
        <v>4.80258500941527</v>
      </c>
      <c r="K209" s="713">
        <v>346766.05180000002</v>
      </c>
      <c r="L209" s="714">
        <f>SUM(K209:K215)</f>
        <v>8169937623.4483995</v>
      </c>
      <c r="M209" s="713">
        <v>3193.22</v>
      </c>
      <c r="N209" s="694">
        <v>2206.9499999999998</v>
      </c>
      <c r="O209" s="714">
        <f>SUM(M209:M215)</f>
        <v>286630035.66140002</v>
      </c>
      <c r="P209" s="714">
        <f>SUM(N209:N215)</f>
        <v>188706157.71759999</v>
      </c>
      <c r="Q209" s="714">
        <f>P209+(O209-P209)/1.06</f>
        <v>281087174.64571321</v>
      </c>
      <c r="R209" s="715">
        <f>Q209/L209/$H$1*366</f>
        <v>6.9188192786212438E-2</v>
      </c>
      <c r="S209" s="716">
        <v>1.85183361954784</v>
      </c>
      <c r="T209" s="713">
        <v>3.42092389431056</v>
      </c>
      <c r="U209" s="713">
        <v>-1.5690902747634301</v>
      </c>
      <c r="V209" s="716">
        <v>5898.8898799999997</v>
      </c>
      <c r="W209" s="713">
        <v>-2705.6698799999999</v>
      </c>
      <c r="X209" s="713">
        <v>0</v>
      </c>
      <c r="Y209" s="713">
        <v>0</v>
      </c>
      <c r="Z209" s="713">
        <v>0.141261951995103</v>
      </c>
      <c r="AA209" s="713">
        <v>243.58586299999999</v>
      </c>
      <c r="AB209" s="713">
        <v>0</v>
      </c>
      <c r="AC209" s="713">
        <v>0</v>
      </c>
      <c r="AD209" s="713">
        <v>0</v>
      </c>
      <c r="AE209" s="713">
        <v>0</v>
      </c>
      <c r="AF209" s="713">
        <v>0</v>
      </c>
      <c r="AG209" s="713">
        <v>0</v>
      </c>
      <c r="AH209" s="713">
        <v>0</v>
      </c>
      <c r="AI209" s="713">
        <v>0</v>
      </c>
      <c r="AJ209" s="713">
        <v>-0.86834042540937595</v>
      </c>
      <c r="AK209" s="713">
        <v>-1497.3278290000001</v>
      </c>
      <c r="AL209" s="713">
        <v>0</v>
      </c>
      <c r="AM209" s="713">
        <v>0</v>
      </c>
      <c r="AN209" s="713">
        <v>0</v>
      </c>
      <c r="AO209" s="713">
        <v>0</v>
      </c>
      <c r="AP209" s="716">
        <v>0</v>
      </c>
      <c r="AQ209" s="716">
        <v>0</v>
      </c>
      <c r="AR209" s="713">
        <v>2.6938454887477201</v>
      </c>
      <c r="AS209" s="713">
        <v>-0.84201186920058102</v>
      </c>
      <c r="AT209" s="716">
        <v>4645.1480309999997</v>
      </c>
      <c r="AU209" s="717">
        <v>-1451.9280309999999</v>
      </c>
    </row>
    <row r="210" spans="1:47" s="432" customFormat="1" ht="12" thickBot="1">
      <c r="A210" s="937"/>
      <c r="B210" s="937"/>
      <c r="C210" s="942"/>
      <c r="D210" s="711" t="s">
        <v>435</v>
      </c>
      <c r="E210" s="711" t="s">
        <v>435</v>
      </c>
      <c r="F210" s="711" t="s">
        <v>435</v>
      </c>
      <c r="G210" s="711" t="s">
        <v>435</v>
      </c>
      <c r="H210" s="712">
        <v>271064</v>
      </c>
      <c r="I210" s="713">
        <v>286276892.79000002</v>
      </c>
      <c r="J210" s="713">
        <v>5.9917073822728097</v>
      </c>
      <c r="K210" s="713">
        <v>320921320.6699</v>
      </c>
      <c r="L210" s="714"/>
      <c r="M210" s="713">
        <v>9768706.8111000005</v>
      </c>
      <c r="N210" s="694">
        <v>6785818.6908999998</v>
      </c>
      <c r="O210" s="714"/>
      <c r="P210" s="714"/>
      <c r="Q210" s="714"/>
      <c r="R210" s="713"/>
      <c r="S210" s="716">
        <v>6.1213639547196399</v>
      </c>
      <c r="T210" s="713">
        <v>3.7314147335817598</v>
      </c>
      <c r="U210" s="713">
        <v>2.3899492211379099</v>
      </c>
      <c r="V210" s="716">
        <v>5954734.4004549999</v>
      </c>
      <c r="W210" s="713">
        <v>3813972.4095450002</v>
      </c>
      <c r="X210" s="713">
        <v>0</v>
      </c>
      <c r="Y210" s="713">
        <v>0</v>
      </c>
      <c r="Z210" s="713">
        <v>0.42936976239920599</v>
      </c>
      <c r="AA210" s="713">
        <v>685204.69506199996</v>
      </c>
      <c r="AB210" s="713">
        <v>0</v>
      </c>
      <c r="AC210" s="713">
        <v>0</v>
      </c>
      <c r="AD210" s="713">
        <v>0</v>
      </c>
      <c r="AE210" s="713">
        <v>0</v>
      </c>
      <c r="AF210" s="713">
        <v>0</v>
      </c>
      <c r="AG210" s="713">
        <v>0</v>
      </c>
      <c r="AH210" s="713">
        <v>0</v>
      </c>
      <c r="AI210" s="713">
        <v>0</v>
      </c>
      <c r="AJ210" s="713">
        <v>-3.0946669009682001E-2</v>
      </c>
      <c r="AK210" s="713">
        <v>-49385.878464000001</v>
      </c>
      <c r="AL210" s="713">
        <v>0</v>
      </c>
      <c r="AM210" s="713">
        <v>0</v>
      </c>
      <c r="AN210" s="713">
        <v>0</v>
      </c>
      <c r="AO210" s="713">
        <v>0</v>
      </c>
      <c r="AP210" s="716">
        <v>-7.1270437337800005E-4</v>
      </c>
      <c r="AQ210" s="716">
        <v>-1137.3609080000001</v>
      </c>
      <c r="AR210" s="713">
        <v>4.1291251217369203</v>
      </c>
      <c r="AS210" s="713">
        <v>1.9922388329827501</v>
      </c>
      <c r="AT210" s="716">
        <v>6589415.8547710003</v>
      </c>
      <c r="AU210" s="717">
        <v>3179290.9552290002</v>
      </c>
    </row>
    <row r="211" spans="1:47" s="432" customFormat="1" ht="12" thickBot="1">
      <c r="A211" s="937"/>
      <c r="B211" s="937"/>
      <c r="C211" s="942"/>
      <c r="D211" s="711" t="s">
        <v>436</v>
      </c>
      <c r="E211" s="711" t="s">
        <v>436</v>
      </c>
      <c r="F211" s="711" t="s">
        <v>436</v>
      </c>
      <c r="G211" s="711" t="s">
        <v>436</v>
      </c>
      <c r="H211" s="712">
        <v>271065</v>
      </c>
      <c r="I211" s="713">
        <v>8006648853.9200001</v>
      </c>
      <c r="J211" s="713">
        <v>6.4592420972861699</v>
      </c>
      <c r="K211" s="713">
        <v>7339105246.3849001</v>
      </c>
      <c r="L211" s="714"/>
      <c r="M211" s="713">
        <v>245180074.06029999</v>
      </c>
      <c r="N211" s="694">
        <v>161345927.0767</v>
      </c>
      <c r="O211" s="714"/>
      <c r="P211" s="714"/>
      <c r="Q211" s="714"/>
      <c r="R211" s="713"/>
      <c r="S211" s="716">
        <v>6.7181818229258496</v>
      </c>
      <c r="T211" s="713">
        <v>3.8856027896741501</v>
      </c>
      <c r="U211" s="713">
        <v>2.83257903325168</v>
      </c>
      <c r="V211" s="716">
        <v>141805090.24781001</v>
      </c>
      <c r="W211" s="713">
        <v>103374983.80219001</v>
      </c>
      <c r="X211" s="713">
        <v>0</v>
      </c>
      <c r="Y211" s="713">
        <v>0</v>
      </c>
      <c r="Z211" s="713">
        <v>0.26914435202977399</v>
      </c>
      <c r="AA211" s="713">
        <v>9822424.2659840006</v>
      </c>
      <c r="AB211" s="713">
        <v>0</v>
      </c>
      <c r="AC211" s="713">
        <v>0</v>
      </c>
      <c r="AD211" s="713">
        <v>0</v>
      </c>
      <c r="AE211" s="713">
        <v>0</v>
      </c>
      <c r="AF211" s="713">
        <v>0</v>
      </c>
      <c r="AG211" s="713">
        <v>0</v>
      </c>
      <c r="AH211" s="713">
        <v>0</v>
      </c>
      <c r="AI211" s="713">
        <v>0</v>
      </c>
      <c r="AJ211" s="713">
        <v>-1.5374902193343001E-2</v>
      </c>
      <c r="AK211" s="713">
        <v>-561107.12059199996</v>
      </c>
      <c r="AL211" s="713">
        <v>0</v>
      </c>
      <c r="AM211" s="713">
        <v>0</v>
      </c>
      <c r="AN211" s="713">
        <v>0</v>
      </c>
      <c r="AO211" s="713">
        <v>0</v>
      </c>
      <c r="AP211" s="716">
        <v>-3.1591027200280002E-2</v>
      </c>
      <c r="AQ211" s="716">
        <v>-1152914.671325</v>
      </c>
      <c r="AR211" s="713">
        <v>4.1077812113291001</v>
      </c>
      <c r="AS211" s="713">
        <v>2.61040061159673</v>
      </c>
      <c r="AT211" s="716">
        <v>149913492.686068</v>
      </c>
      <c r="AU211" s="717">
        <v>95266581.363931894</v>
      </c>
    </row>
    <row r="212" spans="1:47" s="432" customFormat="1" ht="12" thickBot="1">
      <c r="A212" s="937"/>
      <c r="B212" s="937"/>
      <c r="C212" s="942"/>
      <c r="D212" s="711" t="s">
        <v>437</v>
      </c>
      <c r="E212" s="711" t="s">
        <v>437</v>
      </c>
      <c r="F212" s="711" t="s">
        <v>437</v>
      </c>
      <c r="G212" s="711" t="s">
        <v>437</v>
      </c>
      <c r="H212" s="712">
        <v>271066</v>
      </c>
      <c r="I212" s="713">
        <v>101851647.34</v>
      </c>
      <c r="J212" s="713">
        <v>6.1809392774709702</v>
      </c>
      <c r="K212" s="713">
        <v>94892462.318700001</v>
      </c>
      <c r="L212" s="714"/>
      <c r="M212" s="713">
        <v>2912834.99</v>
      </c>
      <c r="N212" s="694">
        <v>1901756.28</v>
      </c>
      <c r="O212" s="714"/>
      <c r="P212" s="714"/>
      <c r="Q212" s="714"/>
      <c r="R212" s="713"/>
      <c r="S212" s="716">
        <v>6.1729657051459403</v>
      </c>
      <c r="T212" s="713">
        <v>3.69726943852636</v>
      </c>
      <c r="U212" s="713">
        <v>2.4756962666195701</v>
      </c>
      <c r="V212" s="716">
        <v>1744629.13005</v>
      </c>
      <c r="W212" s="713">
        <v>1168205.85995</v>
      </c>
      <c r="X212" s="713">
        <v>0</v>
      </c>
      <c r="Y212" s="713">
        <v>0</v>
      </c>
      <c r="Z212" s="713">
        <v>0.40685791922086101</v>
      </c>
      <c r="AA212" s="713">
        <v>191983.89229300001</v>
      </c>
      <c r="AB212" s="713">
        <v>0</v>
      </c>
      <c r="AC212" s="713">
        <v>0</v>
      </c>
      <c r="AD212" s="713">
        <v>0</v>
      </c>
      <c r="AE212" s="713">
        <v>0</v>
      </c>
      <c r="AF212" s="713">
        <v>0</v>
      </c>
      <c r="AG212" s="713">
        <v>0</v>
      </c>
      <c r="AH212" s="713">
        <v>0</v>
      </c>
      <c r="AI212" s="713">
        <v>0</v>
      </c>
      <c r="AJ212" s="713">
        <v>-4.2238039953178999E-2</v>
      </c>
      <c r="AK212" s="713">
        <v>-19930.84792</v>
      </c>
      <c r="AL212" s="713">
        <v>0</v>
      </c>
      <c r="AM212" s="713">
        <v>0</v>
      </c>
      <c r="AN212" s="713">
        <v>0</v>
      </c>
      <c r="AO212" s="713">
        <v>0</v>
      </c>
      <c r="AP212" s="716">
        <v>-8.0250292761549994E-3</v>
      </c>
      <c r="AQ212" s="716">
        <v>-3786.7675260000001</v>
      </c>
      <c r="AR212" s="713">
        <v>4.0538642886598701</v>
      </c>
      <c r="AS212" s="713">
        <v>2.11910141648606</v>
      </c>
      <c r="AT212" s="716">
        <v>1912895.4069640001</v>
      </c>
      <c r="AU212" s="717">
        <v>999939.58303600003</v>
      </c>
    </row>
    <row r="213" spans="1:47" s="432" customFormat="1" ht="12" thickBot="1">
      <c r="A213" s="937"/>
      <c r="B213" s="937"/>
      <c r="C213" s="942"/>
      <c r="D213" s="711" t="s">
        <v>438</v>
      </c>
      <c r="E213" s="711" t="s">
        <v>438</v>
      </c>
      <c r="F213" s="711" t="s">
        <v>438</v>
      </c>
      <c r="G213" s="711" t="s">
        <v>438</v>
      </c>
      <c r="H213" s="712">
        <v>271074</v>
      </c>
      <c r="I213" s="713">
        <v>1417952.76</v>
      </c>
      <c r="J213" s="713">
        <v>0.3</v>
      </c>
      <c r="K213" s="713">
        <v>1556667.2450999999</v>
      </c>
      <c r="L213" s="714"/>
      <c r="M213" s="713">
        <v>0</v>
      </c>
      <c r="N213" s="694">
        <v>0</v>
      </c>
      <c r="O213" s="714"/>
      <c r="P213" s="714"/>
      <c r="Q213" s="714"/>
      <c r="R213" s="713"/>
      <c r="S213" s="716">
        <v>0</v>
      </c>
      <c r="T213" s="713">
        <v>3.26112404513129</v>
      </c>
      <c r="U213" s="713">
        <v>-3.26112404513129</v>
      </c>
      <c r="V213" s="716">
        <v>25243.723149000001</v>
      </c>
      <c r="W213" s="713">
        <v>-25243.723149000001</v>
      </c>
      <c r="X213" s="713">
        <v>0</v>
      </c>
      <c r="Y213" s="713">
        <v>0</v>
      </c>
      <c r="Z213" s="713">
        <v>0</v>
      </c>
      <c r="AA213" s="713">
        <v>0</v>
      </c>
      <c r="AB213" s="713">
        <v>0</v>
      </c>
      <c r="AC213" s="713">
        <v>0</v>
      </c>
      <c r="AD213" s="713">
        <v>0</v>
      </c>
      <c r="AE213" s="713">
        <v>0</v>
      </c>
      <c r="AF213" s="713">
        <v>0</v>
      </c>
      <c r="AG213" s="713">
        <v>0</v>
      </c>
      <c r="AH213" s="713">
        <v>0</v>
      </c>
      <c r="AI213" s="713">
        <v>0</v>
      </c>
      <c r="AJ213" s="713">
        <v>0</v>
      </c>
      <c r="AK213" s="713">
        <v>0</v>
      </c>
      <c r="AL213" s="713">
        <v>0</v>
      </c>
      <c r="AM213" s="713">
        <v>0</v>
      </c>
      <c r="AN213" s="713">
        <v>0</v>
      </c>
      <c r="AO213" s="713">
        <v>0</v>
      </c>
      <c r="AP213" s="716">
        <v>0</v>
      </c>
      <c r="AQ213" s="716">
        <v>0</v>
      </c>
      <c r="AR213" s="713">
        <v>3.26112404513129</v>
      </c>
      <c r="AS213" s="713">
        <v>-3.26112404513129</v>
      </c>
      <c r="AT213" s="716">
        <v>25243.723149000001</v>
      </c>
      <c r="AU213" s="717">
        <v>-25243.723149000001</v>
      </c>
    </row>
    <row r="214" spans="1:47" s="432" customFormat="1" ht="12" thickBot="1">
      <c r="A214" s="937"/>
      <c r="B214" s="937"/>
      <c r="C214" s="942"/>
      <c r="D214" s="711" t="s">
        <v>439</v>
      </c>
      <c r="E214" s="711" t="s">
        <v>439</v>
      </c>
      <c r="F214" s="711" t="s">
        <v>439</v>
      </c>
      <c r="G214" s="711" t="s">
        <v>439</v>
      </c>
      <c r="H214" s="712">
        <v>271079</v>
      </c>
      <c r="I214" s="713">
        <v>453777088.94</v>
      </c>
      <c r="J214" s="713">
        <v>13.814383576666801</v>
      </c>
      <c r="K214" s="713">
        <v>413112391.31650001</v>
      </c>
      <c r="L214" s="714"/>
      <c r="M214" s="713">
        <v>28765197.129999999</v>
      </c>
      <c r="N214" s="694">
        <v>18670431.780000001</v>
      </c>
      <c r="O214" s="714"/>
      <c r="P214" s="714"/>
      <c r="Q214" s="714"/>
      <c r="R214" s="713"/>
      <c r="S214" s="716">
        <v>14.0026047495203</v>
      </c>
      <c r="T214" s="713">
        <v>4.9648680655082904</v>
      </c>
      <c r="U214" s="713">
        <v>9.0377366840121898</v>
      </c>
      <c r="V214" s="716">
        <v>10199203.018544</v>
      </c>
      <c r="W214" s="713">
        <v>18565994.111455999</v>
      </c>
      <c r="X214" s="713">
        <v>0</v>
      </c>
      <c r="Y214" s="713">
        <v>0</v>
      </c>
      <c r="Z214" s="713">
        <v>0</v>
      </c>
      <c r="AA214" s="713">
        <v>0</v>
      </c>
      <c r="AB214" s="713">
        <v>0</v>
      </c>
      <c r="AC214" s="713">
        <v>0</v>
      </c>
      <c r="AD214" s="713">
        <v>0</v>
      </c>
      <c r="AE214" s="713">
        <v>0</v>
      </c>
      <c r="AF214" s="713">
        <v>0</v>
      </c>
      <c r="AG214" s="713">
        <v>0</v>
      </c>
      <c r="AH214" s="713">
        <v>0</v>
      </c>
      <c r="AI214" s="713">
        <v>0</v>
      </c>
      <c r="AJ214" s="713">
        <v>-4.3299925023546001E-2</v>
      </c>
      <c r="AK214" s="713">
        <v>-88949.941907</v>
      </c>
      <c r="AL214" s="713">
        <v>0</v>
      </c>
      <c r="AM214" s="713">
        <v>0</v>
      </c>
      <c r="AN214" s="713">
        <v>0</v>
      </c>
      <c r="AO214" s="713">
        <v>0</v>
      </c>
      <c r="AP214" s="716">
        <v>-2.4492547616544999E-2</v>
      </c>
      <c r="AQ214" s="716">
        <v>-50314.421710000002</v>
      </c>
      <c r="AR214" s="713">
        <v>4.8970755941766901</v>
      </c>
      <c r="AS214" s="713">
        <v>9.1055291553437794</v>
      </c>
      <c r="AT214" s="716">
        <v>10059938.657615</v>
      </c>
      <c r="AU214" s="717">
        <v>18705258.472385</v>
      </c>
    </row>
    <row r="215" spans="1:47" s="432" customFormat="1" ht="12" thickBot="1">
      <c r="A215" s="937"/>
      <c r="B215" s="937"/>
      <c r="C215" s="943"/>
      <c r="D215" s="711" t="s">
        <v>440</v>
      </c>
      <c r="E215" s="711" t="s">
        <v>440</v>
      </c>
      <c r="F215" s="711" t="s">
        <v>440</v>
      </c>
      <c r="G215" s="711" t="s">
        <v>440</v>
      </c>
      <c r="H215" s="712">
        <v>271082</v>
      </c>
      <c r="I215" s="713">
        <v>0</v>
      </c>
      <c r="J215" s="713">
        <v>0</v>
      </c>
      <c r="K215" s="713">
        <v>2769.4614999999999</v>
      </c>
      <c r="L215" s="714"/>
      <c r="M215" s="713">
        <v>29.45</v>
      </c>
      <c r="N215" s="694">
        <v>16.940000000000001</v>
      </c>
      <c r="O215" s="714"/>
      <c r="P215" s="714"/>
      <c r="Q215" s="714"/>
      <c r="R215" s="713"/>
      <c r="S215" s="716">
        <v>2.1384527058731599</v>
      </c>
      <c r="T215" s="713">
        <v>3.1259145022455601</v>
      </c>
      <c r="U215" s="713">
        <v>-0.98746179668635203</v>
      </c>
      <c r="V215" s="716">
        <v>43.048968000000002</v>
      </c>
      <c r="W215" s="713">
        <v>-13.598967999999999</v>
      </c>
      <c r="X215" s="713">
        <v>0</v>
      </c>
      <c r="Y215" s="713">
        <v>0</v>
      </c>
      <c r="Z215" s="713">
        <v>0</v>
      </c>
      <c r="AA215" s="713">
        <v>0</v>
      </c>
      <c r="AB215" s="713">
        <v>0</v>
      </c>
      <c r="AC215" s="713">
        <v>0</v>
      </c>
      <c r="AD215" s="713">
        <v>0</v>
      </c>
      <c r="AE215" s="713">
        <v>0</v>
      </c>
      <c r="AF215" s="713">
        <v>0</v>
      </c>
      <c r="AG215" s="713">
        <v>0</v>
      </c>
      <c r="AH215" s="713">
        <v>0</v>
      </c>
      <c r="AI215" s="713">
        <v>0</v>
      </c>
      <c r="AJ215" s="713">
        <v>0</v>
      </c>
      <c r="AK215" s="713">
        <v>0</v>
      </c>
      <c r="AL215" s="713">
        <v>0</v>
      </c>
      <c r="AM215" s="713">
        <v>0</v>
      </c>
      <c r="AN215" s="713">
        <v>0</v>
      </c>
      <c r="AO215" s="713">
        <v>0</v>
      </c>
      <c r="AP215" s="716">
        <v>0</v>
      </c>
      <c r="AQ215" s="716">
        <v>0</v>
      </c>
      <c r="AR215" s="713">
        <v>3.1259145022455601</v>
      </c>
      <c r="AS215" s="713">
        <v>-0.98746179668635203</v>
      </c>
      <c r="AT215" s="716">
        <v>43.048968000000002</v>
      </c>
      <c r="AU215" s="717">
        <v>-13.598967999999999</v>
      </c>
    </row>
    <row r="216" spans="1:47" s="325" customFormat="1" ht="12" thickBot="1">
      <c r="A216" s="937"/>
      <c r="B216" s="937"/>
      <c r="C216" s="936" t="s">
        <v>441</v>
      </c>
      <c r="D216" s="936" t="s">
        <v>442</v>
      </c>
      <c r="E216" s="936" t="s">
        <v>442</v>
      </c>
      <c r="F216" s="936" t="s">
        <v>442</v>
      </c>
      <c r="G216" s="696" t="s">
        <v>2643</v>
      </c>
      <c r="H216" s="697">
        <v>271067</v>
      </c>
      <c r="I216" s="693">
        <v>90614048.769999996</v>
      </c>
      <c r="J216" s="693">
        <v>6.0588957946881798</v>
      </c>
      <c r="K216" s="693">
        <v>80262339.981299996</v>
      </c>
      <c r="L216" s="698">
        <f>K216+K219+K223</f>
        <v>4474345194.092001</v>
      </c>
      <c r="M216" s="693">
        <v>2481089.9308000002</v>
      </c>
      <c r="N216" s="694">
        <v>1581070.8705</v>
      </c>
      <c r="O216" s="698">
        <f>M216+M219+M223</f>
        <v>137167589.92409998</v>
      </c>
      <c r="P216" s="698">
        <f>N216+N219+N223</f>
        <v>87772182.869599998</v>
      </c>
      <c r="Q216" s="698">
        <f>P216+(O216-P216)/1.06</f>
        <v>134371623.4870528</v>
      </c>
      <c r="R216" s="702">
        <f>Q216/L216/$H$1*366</f>
        <v>6.0393162909741248E-2</v>
      </c>
      <c r="S216" s="700">
        <v>6.2164205350567201</v>
      </c>
      <c r="T216" s="693">
        <v>3.8902209051665602</v>
      </c>
      <c r="U216" s="693">
        <v>2.3261996298901702</v>
      </c>
      <c r="V216" s="700">
        <v>1552660.0652020001</v>
      </c>
      <c r="W216" s="693">
        <v>928429.86479799997</v>
      </c>
      <c r="X216" s="693">
        <v>0</v>
      </c>
      <c r="Y216" s="693">
        <v>0</v>
      </c>
      <c r="Z216" s="693">
        <v>5.8775906663595001E-2</v>
      </c>
      <c r="AA216" s="693">
        <v>23458.565798</v>
      </c>
      <c r="AB216" s="693">
        <v>0</v>
      </c>
      <c r="AC216" s="693">
        <v>0</v>
      </c>
      <c r="AD216" s="693">
        <v>0</v>
      </c>
      <c r="AE216" s="693">
        <v>0</v>
      </c>
      <c r="AF216" s="693">
        <v>0</v>
      </c>
      <c r="AG216" s="693">
        <v>0</v>
      </c>
      <c r="AH216" s="693">
        <v>0</v>
      </c>
      <c r="AI216" s="693">
        <v>0</v>
      </c>
      <c r="AJ216" s="693">
        <v>0</v>
      </c>
      <c r="AK216" s="693">
        <v>0</v>
      </c>
      <c r="AL216" s="693">
        <v>0</v>
      </c>
      <c r="AM216" s="693">
        <v>0</v>
      </c>
      <c r="AN216" s="693">
        <v>0</v>
      </c>
      <c r="AO216" s="693">
        <v>0</v>
      </c>
      <c r="AP216" s="700">
        <v>-0.109966399155609</v>
      </c>
      <c r="AQ216" s="700">
        <v>-43889.650651000004</v>
      </c>
      <c r="AR216" s="693">
        <v>3.8390304139548599</v>
      </c>
      <c r="AS216" s="693">
        <v>2.3773901211018602</v>
      </c>
      <c r="AT216" s="700">
        <v>1532228.98086</v>
      </c>
      <c r="AU216" s="701">
        <v>948860.94914000004</v>
      </c>
    </row>
    <row r="217" spans="1:47" s="502" customFormat="1" ht="12" thickBot="1">
      <c r="A217" s="937"/>
      <c r="B217" s="937"/>
      <c r="C217" s="938"/>
      <c r="D217" s="938"/>
      <c r="E217" s="938"/>
      <c r="F217" s="938"/>
      <c r="G217" s="718" t="s">
        <v>2644</v>
      </c>
      <c r="H217" s="719">
        <v>271083</v>
      </c>
      <c r="I217" s="720">
        <v>88139972.329999</v>
      </c>
      <c r="J217" s="720">
        <v>6.01583149866741</v>
      </c>
      <c r="K217" s="720">
        <v>88441149.206900001</v>
      </c>
      <c r="L217" s="721">
        <f>SUM(K217:K218,K220:K221,K224)</f>
        <v>11145977425.127001</v>
      </c>
      <c r="M217" s="720">
        <v>2738557.9508000002</v>
      </c>
      <c r="N217" s="694">
        <v>1813488.4003000001</v>
      </c>
      <c r="O217" s="721">
        <f>SUM(M217:M218,M220:M221,M224)</f>
        <v>352996059.99840003</v>
      </c>
      <c r="P217" s="721">
        <f>SUM(N217:N218,N220:N221,N224)</f>
        <v>247660552.19029999</v>
      </c>
      <c r="Q217" s="721">
        <f>P217+(O217-P217)/1.06</f>
        <v>347033672.76397926</v>
      </c>
      <c r="R217" s="722">
        <f>Q217/L217/$H$1*366</f>
        <v>6.2612804221031951E-2</v>
      </c>
      <c r="S217" s="501">
        <v>6.2269769137754301</v>
      </c>
      <c r="T217" s="720">
        <v>3.8946288740000701</v>
      </c>
      <c r="U217" s="720">
        <v>2.3323480397754999</v>
      </c>
      <c r="V217" s="501">
        <v>1712816.1887990001</v>
      </c>
      <c r="W217" s="720">
        <v>1025741.761201</v>
      </c>
      <c r="X217" s="720">
        <v>0</v>
      </c>
      <c r="Y217" s="720">
        <v>0</v>
      </c>
      <c r="Z217" s="720">
        <v>5.1495140442509003E-2</v>
      </c>
      <c r="AA217" s="720">
        <v>22647.012859999999</v>
      </c>
      <c r="AB217" s="720">
        <v>0</v>
      </c>
      <c r="AC217" s="720">
        <v>0</v>
      </c>
      <c r="AD217" s="720">
        <v>0</v>
      </c>
      <c r="AE217" s="720">
        <v>0</v>
      </c>
      <c r="AF217" s="720">
        <v>0</v>
      </c>
      <c r="AG217" s="720">
        <v>0</v>
      </c>
      <c r="AH217" s="720">
        <v>0</v>
      </c>
      <c r="AI217" s="720">
        <v>0</v>
      </c>
      <c r="AJ217" s="720">
        <v>0</v>
      </c>
      <c r="AK217" s="720">
        <v>0</v>
      </c>
      <c r="AL217" s="720">
        <v>0</v>
      </c>
      <c r="AM217" s="720">
        <v>0</v>
      </c>
      <c r="AN217" s="720">
        <v>0</v>
      </c>
      <c r="AO217" s="720">
        <v>0</v>
      </c>
      <c r="AP217" s="501">
        <v>-6.3415739889460004E-2</v>
      </c>
      <c r="AQ217" s="501">
        <v>-27889.565199000001</v>
      </c>
      <c r="AR217" s="720">
        <v>3.8827082732388498</v>
      </c>
      <c r="AS217" s="720">
        <v>2.3442686405367201</v>
      </c>
      <c r="AT217" s="501">
        <v>1707573.635882</v>
      </c>
      <c r="AU217" s="723">
        <v>1030984.314118</v>
      </c>
    </row>
    <row r="218" spans="1:47" s="502" customFormat="1" ht="12" thickBot="1">
      <c r="A218" s="937"/>
      <c r="B218" s="937"/>
      <c r="C218" s="936" t="s">
        <v>445</v>
      </c>
      <c r="D218" s="936" t="s">
        <v>445</v>
      </c>
      <c r="E218" s="718" t="s">
        <v>2715</v>
      </c>
      <c r="F218" s="718" t="s">
        <v>2715</v>
      </c>
      <c r="G218" s="718" t="s">
        <v>2715</v>
      </c>
      <c r="H218" s="719">
        <v>271089</v>
      </c>
      <c r="I218" s="720">
        <v>29364039.199999999</v>
      </c>
      <c r="J218" s="720">
        <v>6.5542134334928299</v>
      </c>
      <c r="K218" s="720">
        <v>29406833.0737</v>
      </c>
      <c r="L218" s="720"/>
      <c r="M218" s="720">
        <v>971239.28</v>
      </c>
      <c r="N218" s="694">
        <v>653760.29</v>
      </c>
      <c r="O218" s="720"/>
      <c r="P218" s="720"/>
      <c r="Q218" s="720"/>
      <c r="R218" s="724"/>
      <c r="S218" s="501">
        <v>6.6418288369110901</v>
      </c>
      <c r="T218" s="720">
        <v>3.6191701885607799</v>
      </c>
      <c r="U218" s="720">
        <v>3.0226586483498199</v>
      </c>
      <c r="V218" s="501">
        <v>529233.79003699997</v>
      </c>
      <c r="W218" s="720">
        <v>442005.489963</v>
      </c>
      <c r="X218" s="720">
        <v>0</v>
      </c>
      <c r="Y218" s="720">
        <v>0</v>
      </c>
      <c r="Z218" s="720">
        <v>0</v>
      </c>
      <c r="AA218" s="720">
        <v>0</v>
      </c>
      <c r="AB218" s="720">
        <v>0</v>
      </c>
      <c r="AC218" s="720">
        <v>0</v>
      </c>
      <c r="AD218" s="720">
        <v>0</v>
      </c>
      <c r="AE218" s="720">
        <v>0</v>
      </c>
      <c r="AF218" s="720">
        <v>0</v>
      </c>
      <c r="AG218" s="720">
        <v>0</v>
      </c>
      <c r="AH218" s="720">
        <v>0</v>
      </c>
      <c r="AI218" s="720">
        <v>0</v>
      </c>
      <c r="AJ218" s="720">
        <v>-1.2562680614893001E-2</v>
      </c>
      <c r="AK218" s="720">
        <v>-1837.0495800000001</v>
      </c>
      <c r="AL218" s="720">
        <v>0</v>
      </c>
      <c r="AM218" s="720">
        <v>0</v>
      </c>
      <c r="AN218" s="720">
        <v>0</v>
      </c>
      <c r="AO218" s="720">
        <v>0</v>
      </c>
      <c r="AP218" s="501">
        <v>-2.1870487649547E-2</v>
      </c>
      <c r="AQ218" s="501">
        <v>-3198.1367180000002</v>
      </c>
      <c r="AR218" s="720">
        <v>3.5847370195714601</v>
      </c>
      <c r="AS218" s="720">
        <v>3.0570918173391401</v>
      </c>
      <c r="AT218" s="501">
        <v>524198.60363299999</v>
      </c>
      <c r="AU218" s="723">
        <v>447040.67636699998</v>
      </c>
    </row>
    <row r="219" spans="1:47" s="325" customFormat="1" ht="12" thickBot="1">
      <c r="A219" s="937"/>
      <c r="B219" s="937"/>
      <c r="C219" s="937"/>
      <c r="D219" s="937"/>
      <c r="E219" s="936" t="s">
        <v>445</v>
      </c>
      <c r="F219" s="936" t="s">
        <v>445</v>
      </c>
      <c r="G219" s="696" t="s">
        <v>2645</v>
      </c>
      <c r="H219" s="697">
        <v>271075</v>
      </c>
      <c r="I219" s="693">
        <v>4207320341.25</v>
      </c>
      <c r="J219" s="693">
        <v>6.0766865696060099</v>
      </c>
      <c r="K219" s="693">
        <v>4389398736.7094002</v>
      </c>
      <c r="L219" s="693"/>
      <c r="M219" s="693">
        <v>134569244.6433</v>
      </c>
      <c r="N219" s="694">
        <v>86188435.909099996</v>
      </c>
      <c r="O219" s="693"/>
      <c r="P219" s="693"/>
      <c r="Q219" s="693"/>
      <c r="R219" s="693"/>
      <c r="S219" s="700">
        <v>6.1652469816599504</v>
      </c>
      <c r="T219" s="693">
        <v>3.9676483664205402</v>
      </c>
      <c r="U219" s="693">
        <v>2.19759861523938</v>
      </c>
      <c r="V219" s="700">
        <v>86602117.793665007</v>
      </c>
      <c r="W219" s="693">
        <v>47967127.266333997</v>
      </c>
      <c r="X219" s="693">
        <v>0</v>
      </c>
      <c r="Y219" s="693">
        <v>0</v>
      </c>
      <c r="Z219" s="693">
        <v>8.3861082477922996E-2</v>
      </c>
      <c r="AA219" s="693">
        <v>1830441.2771360001</v>
      </c>
      <c r="AB219" s="693">
        <v>0</v>
      </c>
      <c r="AC219" s="693">
        <v>0</v>
      </c>
      <c r="AD219" s="693">
        <v>0</v>
      </c>
      <c r="AE219" s="693">
        <v>0</v>
      </c>
      <c r="AF219" s="693">
        <v>0</v>
      </c>
      <c r="AG219" s="693">
        <v>0</v>
      </c>
      <c r="AH219" s="693">
        <v>0</v>
      </c>
      <c r="AI219" s="693">
        <v>0</v>
      </c>
      <c r="AJ219" s="693">
        <v>-6.0213118710584997E-2</v>
      </c>
      <c r="AK219" s="693">
        <v>-1314275.640813</v>
      </c>
      <c r="AL219" s="693">
        <v>0</v>
      </c>
      <c r="AM219" s="693">
        <v>0</v>
      </c>
      <c r="AN219" s="693">
        <v>0</v>
      </c>
      <c r="AO219" s="693">
        <v>0</v>
      </c>
      <c r="AP219" s="700">
        <v>-4.2598320553719003E-2</v>
      </c>
      <c r="AQ219" s="700">
        <v>-929796.30090899998</v>
      </c>
      <c r="AR219" s="693">
        <v>3.9486980097291302</v>
      </c>
      <c r="AS219" s="693">
        <v>2.21654897193079</v>
      </c>
      <c r="AT219" s="700">
        <v>86188487.1311519</v>
      </c>
      <c r="AU219" s="701">
        <v>48380757.928847</v>
      </c>
    </row>
    <row r="220" spans="1:47" s="502" customFormat="1" ht="12" thickBot="1">
      <c r="A220" s="937"/>
      <c r="B220" s="937"/>
      <c r="C220" s="937"/>
      <c r="D220" s="937"/>
      <c r="E220" s="938"/>
      <c r="F220" s="938"/>
      <c r="G220" s="718" t="s">
        <v>2646</v>
      </c>
      <c r="H220" s="719">
        <v>271086</v>
      </c>
      <c r="I220" s="720">
        <v>10553290793.09</v>
      </c>
      <c r="J220" s="720">
        <v>6.2026067226120798</v>
      </c>
      <c r="K220" s="720">
        <v>10924692310.1047</v>
      </c>
      <c r="L220" s="720"/>
      <c r="M220" s="720">
        <v>346570274.01590002</v>
      </c>
      <c r="N220" s="694">
        <v>242987461.20910001</v>
      </c>
      <c r="O220" s="720"/>
      <c r="P220" s="720"/>
      <c r="Q220" s="720"/>
      <c r="R220" s="720"/>
      <c r="S220" s="501">
        <v>6.3795756231863496</v>
      </c>
      <c r="T220" s="720">
        <v>3.9651442843345199</v>
      </c>
      <c r="U220" s="720">
        <v>2.4144313388518399</v>
      </c>
      <c r="V220" s="501">
        <v>215406354.508766</v>
      </c>
      <c r="W220" s="720">
        <v>131163916.271229</v>
      </c>
      <c r="X220" s="720">
        <v>0</v>
      </c>
      <c r="Y220" s="720">
        <v>0</v>
      </c>
      <c r="Z220" s="720">
        <v>6.9766108969063004E-2</v>
      </c>
      <c r="AA220" s="720">
        <v>3790041.9565209998</v>
      </c>
      <c r="AB220" s="720">
        <v>0</v>
      </c>
      <c r="AC220" s="720">
        <v>0</v>
      </c>
      <c r="AD220" s="720">
        <v>0</v>
      </c>
      <c r="AE220" s="720">
        <v>0</v>
      </c>
      <c r="AF220" s="720">
        <v>0</v>
      </c>
      <c r="AG220" s="720">
        <v>0</v>
      </c>
      <c r="AH220" s="720">
        <v>0</v>
      </c>
      <c r="AI220" s="720">
        <v>0</v>
      </c>
      <c r="AJ220" s="720">
        <v>-4.4423905596745E-2</v>
      </c>
      <c r="AK220" s="720">
        <v>-2413327.4532889999</v>
      </c>
      <c r="AL220" s="720">
        <v>0</v>
      </c>
      <c r="AM220" s="720">
        <v>0</v>
      </c>
      <c r="AN220" s="720">
        <v>0</v>
      </c>
      <c r="AO220" s="720">
        <v>0</v>
      </c>
      <c r="AP220" s="501">
        <v>-4.3829559823179001E-2</v>
      </c>
      <c r="AQ220" s="501">
        <v>-2381039.6354390001</v>
      </c>
      <c r="AR220" s="720">
        <v>3.9466569277643</v>
      </c>
      <c r="AS220" s="720">
        <v>2.4329186954220599</v>
      </c>
      <c r="AT220" s="501">
        <v>214402029.37007499</v>
      </c>
      <c r="AU220" s="723">
        <v>132168241.40992001</v>
      </c>
    </row>
    <row r="221" spans="1:47" s="502" customFormat="1" ht="12" thickBot="1">
      <c r="A221" s="937"/>
      <c r="B221" s="937"/>
      <c r="C221" s="938"/>
      <c r="D221" s="938"/>
      <c r="E221" s="718" t="s">
        <v>446</v>
      </c>
      <c r="F221" s="718" t="s">
        <v>446</v>
      </c>
      <c r="G221" s="718" t="s">
        <v>446</v>
      </c>
      <c r="H221" s="719">
        <v>271077</v>
      </c>
      <c r="I221" s="720">
        <v>0</v>
      </c>
      <c r="J221" s="720">
        <v>0</v>
      </c>
      <c r="K221" s="720">
        <v>111615.5209</v>
      </c>
      <c r="L221" s="720"/>
      <c r="M221" s="720">
        <v>3058.17</v>
      </c>
      <c r="N221" s="694">
        <v>3058.17</v>
      </c>
      <c r="O221" s="720"/>
      <c r="P221" s="720"/>
      <c r="Q221" s="720"/>
      <c r="R221" s="720"/>
      <c r="S221" s="501">
        <v>5.5099382373561596</v>
      </c>
      <c r="T221" s="720">
        <v>3.6631232784652301</v>
      </c>
      <c r="U221" s="720">
        <v>1.8468149588849601</v>
      </c>
      <c r="V221" s="501">
        <v>2033.1359870000001</v>
      </c>
      <c r="W221" s="720">
        <v>1025.034013</v>
      </c>
      <c r="X221" s="720">
        <v>0</v>
      </c>
      <c r="Y221" s="720">
        <v>0</v>
      </c>
      <c r="Z221" s="720">
        <v>3.2941577722204997E-2</v>
      </c>
      <c r="AA221" s="720">
        <v>18.283498000000002</v>
      </c>
      <c r="AB221" s="720">
        <v>0</v>
      </c>
      <c r="AC221" s="720">
        <v>0</v>
      </c>
      <c r="AD221" s="720">
        <v>0</v>
      </c>
      <c r="AE221" s="720">
        <v>0</v>
      </c>
      <c r="AF221" s="720">
        <v>0</v>
      </c>
      <c r="AG221" s="720">
        <v>0</v>
      </c>
      <c r="AH221" s="720">
        <v>0</v>
      </c>
      <c r="AI221" s="720">
        <v>0</v>
      </c>
      <c r="AJ221" s="720">
        <v>0</v>
      </c>
      <c r="AK221" s="720">
        <v>0</v>
      </c>
      <c r="AL221" s="720">
        <v>0</v>
      </c>
      <c r="AM221" s="720">
        <v>0</v>
      </c>
      <c r="AN221" s="720">
        <v>0</v>
      </c>
      <c r="AO221" s="720">
        <v>0</v>
      </c>
      <c r="AP221" s="501">
        <v>-0.14307910051384801</v>
      </c>
      <c r="AQ221" s="501">
        <v>-79.412907000000004</v>
      </c>
      <c r="AR221" s="720">
        <v>3.55298573765648</v>
      </c>
      <c r="AS221" s="720">
        <v>1.95695249969371</v>
      </c>
      <c r="AT221" s="501">
        <v>1972.006568</v>
      </c>
      <c r="AU221" s="723">
        <v>1086.1634320000001</v>
      </c>
    </row>
    <row r="222" spans="1:47" s="432" customFormat="1" ht="12" thickBot="1">
      <c r="A222" s="937"/>
      <c r="B222" s="937"/>
      <c r="C222" s="936" t="s">
        <v>447</v>
      </c>
      <c r="D222" s="711" t="s">
        <v>448</v>
      </c>
      <c r="E222" s="711" t="s">
        <v>448</v>
      </c>
      <c r="F222" s="711" t="s">
        <v>448</v>
      </c>
      <c r="G222" s="711" t="s">
        <v>448</v>
      </c>
      <c r="H222" s="712">
        <v>271076</v>
      </c>
      <c r="I222" s="713">
        <v>47920836.939999998</v>
      </c>
      <c r="J222" s="713">
        <v>4.8923054502936196</v>
      </c>
      <c r="K222" s="713">
        <v>48946827.114399999</v>
      </c>
      <c r="L222" s="713">
        <f>K222</f>
        <v>48946827.114399999</v>
      </c>
      <c r="M222" s="713">
        <v>1245207.73</v>
      </c>
      <c r="N222" s="694">
        <v>897155.02</v>
      </c>
      <c r="O222" s="713">
        <f>M222</f>
        <v>1245207.73</v>
      </c>
      <c r="P222" s="713">
        <f>N222</f>
        <v>897155.02</v>
      </c>
      <c r="Q222" s="713">
        <f>P222+(O222-P222)/1.06</f>
        <v>1225506.633207547</v>
      </c>
      <c r="R222" s="715">
        <f>Q222/L222/$H$1*366</f>
        <v>5.035015582347064E-2</v>
      </c>
      <c r="S222" s="716">
        <v>5.1159578854280099</v>
      </c>
      <c r="T222" s="713">
        <v>3.7270810759411499</v>
      </c>
      <c r="U222" s="713">
        <v>1.3888768094869099</v>
      </c>
      <c r="V222" s="716">
        <v>907159.57207500003</v>
      </c>
      <c r="W222" s="713">
        <v>338048.15792500001</v>
      </c>
      <c r="X222" s="713">
        <v>0</v>
      </c>
      <c r="Y222" s="713">
        <v>0</v>
      </c>
      <c r="Z222" s="713">
        <v>5.3708571791E-5</v>
      </c>
      <c r="AA222" s="713">
        <v>13.072494000000001</v>
      </c>
      <c r="AB222" s="713">
        <v>0</v>
      </c>
      <c r="AC222" s="713">
        <v>0</v>
      </c>
      <c r="AD222" s="713">
        <v>0</v>
      </c>
      <c r="AE222" s="713">
        <v>0</v>
      </c>
      <c r="AF222" s="713">
        <v>0</v>
      </c>
      <c r="AG222" s="713">
        <v>0</v>
      </c>
      <c r="AH222" s="713">
        <v>0</v>
      </c>
      <c r="AI222" s="713">
        <v>0</v>
      </c>
      <c r="AJ222" s="713">
        <v>0</v>
      </c>
      <c r="AK222" s="713">
        <v>0</v>
      </c>
      <c r="AL222" s="713">
        <v>0</v>
      </c>
      <c r="AM222" s="713">
        <v>0</v>
      </c>
      <c r="AN222" s="713">
        <v>0</v>
      </c>
      <c r="AO222" s="713">
        <v>0</v>
      </c>
      <c r="AP222" s="716">
        <v>-3.4063514373437999E-2</v>
      </c>
      <c r="AQ222" s="716">
        <v>-8290.9500740000003</v>
      </c>
      <c r="AR222" s="713">
        <v>3.6930712747903498</v>
      </c>
      <c r="AS222" s="713">
        <v>1.42288661063771</v>
      </c>
      <c r="AT222" s="716">
        <v>898881.69562699995</v>
      </c>
      <c r="AU222" s="717">
        <v>346326.03437299997</v>
      </c>
    </row>
    <row r="223" spans="1:47" s="325" customFormat="1" ht="12" thickBot="1">
      <c r="A223" s="937"/>
      <c r="B223" s="937"/>
      <c r="C223" s="937"/>
      <c r="D223" s="936" t="s">
        <v>449</v>
      </c>
      <c r="E223" s="936" t="s">
        <v>449</v>
      </c>
      <c r="F223" s="936" t="s">
        <v>449</v>
      </c>
      <c r="G223" s="696" t="s">
        <v>3514</v>
      </c>
      <c r="H223" s="697">
        <v>271078</v>
      </c>
      <c r="I223" s="693">
        <v>584183.32999999996</v>
      </c>
      <c r="J223" s="693">
        <v>4.79072368266654</v>
      </c>
      <c r="K223" s="693">
        <v>4684117.4013</v>
      </c>
      <c r="L223" s="693"/>
      <c r="M223" s="693">
        <v>117255.35</v>
      </c>
      <c r="N223" s="694">
        <v>2676.09</v>
      </c>
      <c r="O223" s="693"/>
      <c r="P223" s="693"/>
      <c r="Q223" s="693"/>
      <c r="R223" s="693"/>
      <c r="S223" s="700">
        <v>5.0340160189734604</v>
      </c>
      <c r="T223" s="693">
        <v>3.66283529644442</v>
      </c>
      <c r="U223" s="693">
        <v>1.37118072252402</v>
      </c>
      <c r="V223" s="700">
        <v>85316.978145999994</v>
      </c>
      <c r="W223" s="693">
        <v>31938.371854000001</v>
      </c>
      <c r="X223" s="693">
        <v>0</v>
      </c>
      <c r="Y223" s="693">
        <v>0</v>
      </c>
      <c r="Z223" s="693">
        <v>0</v>
      </c>
      <c r="AA223" s="693">
        <v>0</v>
      </c>
      <c r="AB223" s="693">
        <v>0</v>
      </c>
      <c r="AC223" s="693">
        <v>0</v>
      </c>
      <c r="AD223" s="693">
        <v>0</v>
      </c>
      <c r="AE223" s="693">
        <v>0</v>
      </c>
      <c r="AF223" s="693">
        <v>0</v>
      </c>
      <c r="AG223" s="693">
        <v>0</v>
      </c>
      <c r="AH223" s="693">
        <v>0</v>
      </c>
      <c r="AI223" s="693">
        <v>0</v>
      </c>
      <c r="AJ223" s="693">
        <v>0</v>
      </c>
      <c r="AK223" s="693">
        <v>0</v>
      </c>
      <c r="AL223" s="693">
        <v>0</v>
      </c>
      <c r="AM223" s="693">
        <v>0</v>
      </c>
      <c r="AN223" s="693">
        <v>0</v>
      </c>
      <c r="AO223" s="693">
        <v>0</v>
      </c>
      <c r="AP223" s="700">
        <v>-8.3242568030658007E-2</v>
      </c>
      <c r="AQ223" s="700">
        <v>-1938.9363109999999</v>
      </c>
      <c r="AR223" s="693">
        <v>3.57959275159708</v>
      </c>
      <c r="AS223" s="693">
        <v>1.45442326737135</v>
      </c>
      <c r="AT223" s="700">
        <v>83378.042375000005</v>
      </c>
      <c r="AU223" s="701">
        <v>33877.307625000001</v>
      </c>
    </row>
    <row r="224" spans="1:47" s="502" customFormat="1" ht="12" thickBot="1">
      <c r="A224" s="938"/>
      <c r="B224" s="938"/>
      <c r="C224" s="938"/>
      <c r="D224" s="938"/>
      <c r="E224" s="938"/>
      <c r="F224" s="938"/>
      <c r="G224" s="718" t="s">
        <v>2647</v>
      </c>
      <c r="H224" s="719">
        <v>271087</v>
      </c>
      <c r="I224" s="720">
        <v>69629717.680000007</v>
      </c>
      <c r="J224" s="720">
        <v>4.8893434173360601</v>
      </c>
      <c r="K224" s="720">
        <v>103325517.2208</v>
      </c>
      <c r="L224" s="720"/>
      <c r="M224" s="720">
        <v>2712930.5817</v>
      </c>
      <c r="N224" s="694">
        <v>2202784.1209</v>
      </c>
      <c r="O224" s="720"/>
      <c r="P224" s="720"/>
      <c r="Q224" s="720"/>
      <c r="R224" s="722"/>
      <c r="S224" s="501">
        <v>5.28008349796586</v>
      </c>
      <c r="T224" s="720">
        <v>3.8028238053132499</v>
      </c>
      <c r="U224" s="720">
        <v>1.4772596926527399</v>
      </c>
      <c r="V224" s="501">
        <v>1953907.925085</v>
      </c>
      <c r="W224" s="720">
        <v>759022.65491499903</v>
      </c>
      <c r="X224" s="720">
        <v>0</v>
      </c>
      <c r="Y224" s="720">
        <v>0</v>
      </c>
      <c r="Z224" s="720">
        <v>0</v>
      </c>
      <c r="AA224" s="720">
        <v>0</v>
      </c>
      <c r="AB224" s="720">
        <v>0</v>
      </c>
      <c r="AC224" s="720">
        <v>0</v>
      </c>
      <c r="AD224" s="720">
        <v>0</v>
      </c>
      <c r="AE224" s="720">
        <v>0</v>
      </c>
      <c r="AF224" s="720">
        <v>0</v>
      </c>
      <c r="AG224" s="720">
        <v>0</v>
      </c>
      <c r="AH224" s="720">
        <v>0</v>
      </c>
      <c r="AI224" s="720">
        <v>0</v>
      </c>
      <c r="AJ224" s="720">
        <v>0</v>
      </c>
      <c r="AK224" s="720">
        <v>0</v>
      </c>
      <c r="AL224" s="720">
        <v>0</v>
      </c>
      <c r="AM224" s="720">
        <v>0</v>
      </c>
      <c r="AN224" s="720">
        <v>0</v>
      </c>
      <c r="AO224" s="720">
        <v>0</v>
      </c>
      <c r="AP224" s="501">
        <v>-4.5272496083467E-2</v>
      </c>
      <c r="AQ224" s="501">
        <v>-23261.211513999999</v>
      </c>
      <c r="AR224" s="720">
        <v>3.7575513242860898</v>
      </c>
      <c r="AS224" s="720">
        <v>1.5225321736799</v>
      </c>
      <c r="AT224" s="501">
        <v>1930646.7213069999</v>
      </c>
      <c r="AU224" s="723">
        <v>782283.85869300098</v>
      </c>
    </row>
    <row r="225" spans="1:47" ht="12" thickBot="1">
      <c r="A225" s="936" t="s">
        <v>451</v>
      </c>
      <c r="B225" s="936" t="s">
        <v>452</v>
      </c>
      <c r="C225" s="936" t="s">
        <v>452</v>
      </c>
      <c r="D225" s="936" t="s">
        <v>452</v>
      </c>
      <c r="E225" s="936" t="s">
        <v>626</v>
      </c>
      <c r="F225" s="690" t="s">
        <v>2583</v>
      </c>
      <c r="G225" s="690" t="s">
        <v>2716</v>
      </c>
      <c r="H225" s="691">
        <v>470021</v>
      </c>
      <c r="I225" s="692">
        <v>1808616362.6951201</v>
      </c>
      <c r="J225" s="692">
        <v>0.335987349505802</v>
      </c>
      <c r="K225" s="692">
        <v>0</v>
      </c>
      <c r="L225" s="693"/>
      <c r="M225" s="692">
        <v>170043178.5203</v>
      </c>
      <c r="N225" s="694">
        <v>168919574.20660001</v>
      </c>
      <c r="O225" s="693"/>
      <c r="P225" s="693"/>
      <c r="Q225" s="693"/>
      <c r="R225" s="693"/>
      <c r="S225" s="498">
        <v>25.162917178912998</v>
      </c>
      <c r="T225" s="692">
        <v>1.9609862204639501</v>
      </c>
      <c r="U225" s="692">
        <v>23.201930958449001</v>
      </c>
      <c r="V225" s="498">
        <v>13251735.781149</v>
      </c>
      <c r="W225" s="692">
        <v>156791442.72675401</v>
      </c>
      <c r="X225" s="692">
        <v>0</v>
      </c>
      <c r="Y225" s="692">
        <v>0</v>
      </c>
      <c r="Z225" s="692">
        <v>0</v>
      </c>
      <c r="AA225" s="692">
        <v>0</v>
      </c>
      <c r="AB225" s="692">
        <v>0</v>
      </c>
      <c r="AC225" s="692">
        <v>0</v>
      </c>
      <c r="AD225" s="692">
        <v>0</v>
      </c>
      <c r="AE225" s="692">
        <v>0</v>
      </c>
      <c r="AF225" s="692">
        <v>0</v>
      </c>
      <c r="AG225" s="692">
        <v>0</v>
      </c>
      <c r="AH225" s="692">
        <v>0</v>
      </c>
      <c r="AI225" s="692">
        <v>0</v>
      </c>
      <c r="AJ225" s="692">
        <v>0</v>
      </c>
      <c r="AK225" s="692">
        <v>0</v>
      </c>
      <c r="AL225" s="692">
        <v>0</v>
      </c>
      <c r="AM225" s="692">
        <v>0</v>
      </c>
      <c r="AN225" s="692">
        <v>0</v>
      </c>
      <c r="AO225" s="692">
        <v>0</v>
      </c>
      <c r="AP225" s="498">
        <v>0</v>
      </c>
      <c r="AQ225" s="498">
        <v>0</v>
      </c>
      <c r="AR225" s="692">
        <v>1.9609862204639501</v>
      </c>
      <c r="AS225" s="692">
        <v>23.201930958449001</v>
      </c>
      <c r="AT225" s="498">
        <v>13251735.781149</v>
      </c>
      <c r="AU225" s="695">
        <v>156791442.72675401</v>
      </c>
    </row>
    <row r="226" spans="1:47" ht="12" thickBot="1">
      <c r="A226" s="937"/>
      <c r="B226" s="937"/>
      <c r="C226" s="937"/>
      <c r="D226" s="937"/>
      <c r="E226" s="938"/>
      <c r="F226" s="690" t="s">
        <v>2584</v>
      </c>
      <c r="G226" s="690" t="s">
        <v>2584</v>
      </c>
      <c r="H226" s="691">
        <v>470031</v>
      </c>
      <c r="I226" s="692">
        <v>6660044922.9899998</v>
      </c>
      <c r="J226" s="692">
        <v>6.7451482000000001E-8</v>
      </c>
      <c r="K226" s="692">
        <v>0</v>
      </c>
      <c r="L226" s="693"/>
      <c r="M226" s="692">
        <v>241740630.16</v>
      </c>
      <c r="N226" s="694">
        <v>191987422.51010001</v>
      </c>
      <c r="O226" s="693"/>
      <c r="P226" s="693"/>
      <c r="Q226" s="693"/>
      <c r="R226" s="693"/>
      <c r="S226" s="498">
        <v>0.56828586492796196</v>
      </c>
      <c r="T226" s="692">
        <v>3.2515704792299398</v>
      </c>
      <c r="U226" s="692">
        <v>-2.68328461430198</v>
      </c>
      <c r="V226" s="498">
        <v>203794970.07016301</v>
      </c>
      <c r="W226" s="692">
        <v>-168177165.82016301</v>
      </c>
      <c r="X226" s="692">
        <v>0</v>
      </c>
      <c r="Y226" s="692">
        <v>0</v>
      </c>
      <c r="Z226" s="692">
        <v>0</v>
      </c>
      <c r="AA226" s="692">
        <v>0</v>
      </c>
      <c r="AB226" s="692">
        <v>0</v>
      </c>
      <c r="AC226" s="692">
        <v>0</v>
      </c>
      <c r="AD226" s="692">
        <v>0</v>
      </c>
      <c r="AE226" s="692">
        <v>0</v>
      </c>
      <c r="AF226" s="692">
        <v>0</v>
      </c>
      <c r="AG226" s="692">
        <v>0</v>
      </c>
      <c r="AH226" s="692">
        <v>0</v>
      </c>
      <c r="AI226" s="692">
        <v>0</v>
      </c>
      <c r="AJ226" s="692">
        <v>0</v>
      </c>
      <c r="AK226" s="692">
        <v>0</v>
      </c>
      <c r="AL226" s="692">
        <v>0</v>
      </c>
      <c r="AM226" s="692">
        <v>0</v>
      </c>
      <c r="AN226" s="692">
        <v>0</v>
      </c>
      <c r="AO226" s="692">
        <v>0</v>
      </c>
      <c r="AP226" s="498">
        <v>0</v>
      </c>
      <c r="AQ226" s="498">
        <v>0</v>
      </c>
      <c r="AR226" s="692">
        <v>3.2515704792299398</v>
      </c>
      <c r="AS226" s="692">
        <v>-2.68328461430198</v>
      </c>
      <c r="AT226" s="498">
        <v>203794970.07016301</v>
      </c>
      <c r="AU226" s="695">
        <v>-168177165.82016301</v>
      </c>
    </row>
    <row r="227" spans="1:47" ht="12" thickBot="1">
      <c r="A227" s="937"/>
      <c r="B227" s="937"/>
      <c r="C227" s="937"/>
      <c r="D227" s="937"/>
      <c r="E227" s="690" t="s">
        <v>2717</v>
      </c>
      <c r="F227" s="690" t="s">
        <v>2718</v>
      </c>
      <c r="G227" s="690" t="s">
        <v>2719</v>
      </c>
      <c r="H227" s="691">
        <v>470041</v>
      </c>
      <c r="I227" s="692">
        <v>0</v>
      </c>
      <c r="J227" s="692">
        <v>0</v>
      </c>
      <c r="K227" s="692">
        <v>0</v>
      </c>
      <c r="L227" s="693"/>
      <c r="M227" s="692">
        <v>162804.66</v>
      </c>
      <c r="N227" s="694">
        <v>162804.66</v>
      </c>
      <c r="O227" s="693"/>
      <c r="P227" s="693"/>
      <c r="Q227" s="693"/>
      <c r="R227" s="693"/>
      <c r="S227" s="498">
        <v>0</v>
      </c>
      <c r="T227" s="692">
        <v>0</v>
      </c>
      <c r="U227" s="692">
        <v>0</v>
      </c>
      <c r="V227" s="498">
        <v>0</v>
      </c>
      <c r="W227" s="692">
        <v>162804.66</v>
      </c>
      <c r="X227" s="692">
        <v>0</v>
      </c>
      <c r="Y227" s="692">
        <v>0</v>
      </c>
      <c r="Z227" s="692">
        <v>0</v>
      </c>
      <c r="AA227" s="692">
        <v>0</v>
      </c>
      <c r="AB227" s="692">
        <v>0</v>
      </c>
      <c r="AC227" s="692">
        <v>0</v>
      </c>
      <c r="AD227" s="692">
        <v>0</v>
      </c>
      <c r="AE227" s="692">
        <v>0</v>
      </c>
      <c r="AF227" s="692">
        <v>0</v>
      </c>
      <c r="AG227" s="692">
        <v>0</v>
      </c>
      <c r="AH227" s="692">
        <v>0</v>
      </c>
      <c r="AI227" s="692">
        <v>0</v>
      </c>
      <c r="AJ227" s="692">
        <v>0</v>
      </c>
      <c r="AK227" s="692">
        <v>0</v>
      </c>
      <c r="AL227" s="692">
        <v>0</v>
      </c>
      <c r="AM227" s="692">
        <v>0</v>
      </c>
      <c r="AN227" s="692">
        <v>0</v>
      </c>
      <c r="AO227" s="692">
        <v>0</v>
      </c>
      <c r="AP227" s="498">
        <v>0</v>
      </c>
      <c r="AQ227" s="498">
        <v>0</v>
      </c>
      <c r="AR227" s="692">
        <v>0</v>
      </c>
      <c r="AS227" s="692">
        <v>0</v>
      </c>
      <c r="AT227" s="498">
        <v>0</v>
      </c>
      <c r="AU227" s="695">
        <v>162804.66</v>
      </c>
    </row>
    <row r="228" spans="1:47" ht="12" thickBot="1">
      <c r="A228" s="937"/>
      <c r="B228" s="937"/>
      <c r="C228" s="937"/>
      <c r="D228" s="937"/>
      <c r="E228" s="690" t="s">
        <v>453</v>
      </c>
      <c r="F228" s="690" t="s">
        <v>2720</v>
      </c>
      <c r="G228" s="690" t="s">
        <v>454</v>
      </c>
      <c r="H228" s="691">
        <v>470061</v>
      </c>
      <c r="I228" s="692">
        <v>417322149.26677799</v>
      </c>
      <c r="J228" s="692">
        <v>8.5135823331700007E-3</v>
      </c>
      <c r="K228" s="692">
        <v>0</v>
      </c>
      <c r="L228" s="693"/>
      <c r="M228" s="692">
        <v>0</v>
      </c>
      <c r="N228" s="694">
        <v>0</v>
      </c>
      <c r="O228" s="693"/>
      <c r="P228" s="693"/>
      <c r="Q228" s="693"/>
      <c r="R228" s="693"/>
      <c r="S228" s="498">
        <v>0</v>
      </c>
      <c r="T228" s="692">
        <v>0.76474509223350795</v>
      </c>
      <c r="U228" s="692">
        <v>-0.76474509223350795</v>
      </c>
      <c r="V228" s="498">
        <v>1544376.560213</v>
      </c>
      <c r="W228" s="692">
        <v>-1544376.560213</v>
      </c>
      <c r="X228" s="692">
        <v>0</v>
      </c>
      <c r="Y228" s="692">
        <v>0</v>
      </c>
      <c r="Z228" s="692">
        <v>0</v>
      </c>
      <c r="AA228" s="692">
        <v>0</v>
      </c>
      <c r="AB228" s="692">
        <v>0</v>
      </c>
      <c r="AC228" s="692">
        <v>0</v>
      </c>
      <c r="AD228" s="692">
        <v>0</v>
      </c>
      <c r="AE228" s="692">
        <v>0</v>
      </c>
      <c r="AF228" s="692">
        <v>0</v>
      </c>
      <c r="AG228" s="692">
        <v>0</v>
      </c>
      <c r="AH228" s="692">
        <v>0</v>
      </c>
      <c r="AI228" s="692">
        <v>0</v>
      </c>
      <c r="AJ228" s="692">
        <v>0</v>
      </c>
      <c r="AK228" s="692">
        <v>0</v>
      </c>
      <c r="AL228" s="692">
        <v>0</v>
      </c>
      <c r="AM228" s="692">
        <v>0</v>
      </c>
      <c r="AN228" s="692">
        <v>0</v>
      </c>
      <c r="AO228" s="692">
        <v>0</v>
      </c>
      <c r="AP228" s="498">
        <v>0</v>
      </c>
      <c r="AQ228" s="498">
        <v>0</v>
      </c>
      <c r="AR228" s="692">
        <v>0.76474509223350795</v>
      </c>
      <c r="AS228" s="692">
        <v>-0.76474509223350795</v>
      </c>
      <c r="AT228" s="498">
        <v>1544376.560213</v>
      </c>
      <c r="AU228" s="695">
        <v>-1544376.560213</v>
      </c>
    </row>
    <row r="229" spans="1:47" ht="12" thickBot="1">
      <c r="A229" s="937"/>
      <c r="B229" s="937"/>
      <c r="C229" s="937"/>
      <c r="D229" s="937"/>
      <c r="E229" s="690" t="s">
        <v>3946</v>
      </c>
      <c r="F229" s="690" t="s">
        <v>3947</v>
      </c>
      <c r="G229" s="690" t="s">
        <v>3947</v>
      </c>
      <c r="H229" s="691">
        <v>470091</v>
      </c>
      <c r="I229" s="692">
        <v>0</v>
      </c>
      <c r="J229" s="692">
        <v>0</v>
      </c>
      <c r="K229" s="692">
        <v>0</v>
      </c>
      <c r="L229" s="693"/>
      <c r="M229" s="692">
        <v>56738.89</v>
      </c>
      <c r="N229" s="694">
        <v>24888.89</v>
      </c>
      <c r="O229" s="693"/>
      <c r="P229" s="693"/>
      <c r="Q229" s="693"/>
      <c r="R229" s="693"/>
      <c r="S229" s="498">
        <v>0</v>
      </c>
      <c r="T229" s="692">
        <v>2.5222760609018202</v>
      </c>
      <c r="U229" s="692">
        <v>-2.5222760609018202</v>
      </c>
      <c r="V229" s="498">
        <v>53064.277783999998</v>
      </c>
      <c r="W229" s="692">
        <v>-53064.277783999998</v>
      </c>
      <c r="X229" s="692">
        <v>0</v>
      </c>
      <c r="Y229" s="692">
        <v>0</v>
      </c>
      <c r="Z229" s="692">
        <v>0</v>
      </c>
      <c r="AA229" s="692">
        <v>0</v>
      </c>
      <c r="AB229" s="692">
        <v>0</v>
      </c>
      <c r="AC229" s="692">
        <v>0</v>
      </c>
      <c r="AD229" s="692">
        <v>0</v>
      </c>
      <c r="AE229" s="692">
        <v>0</v>
      </c>
      <c r="AF229" s="692">
        <v>0</v>
      </c>
      <c r="AG229" s="692">
        <v>0</v>
      </c>
      <c r="AH229" s="692">
        <v>0</v>
      </c>
      <c r="AI229" s="692">
        <v>0</v>
      </c>
      <c r="AJ229" s="692">
        <v>0</v>
      </c>
      <c r="AK229" s="692">
        <v>0</v>
      </c>
      <c r="AL229" s="692">
        <v>0</v>
      </c>
      <c r="AM229" s="692">
        <v>0</v>
      </c>
      <c r="AN229" s="692">
        <v>0</v>
      </c>
      <c r="AO229" s="692">
        <v>0</v>
      </c>
      <c r="AP229" s="498">
        <v>0</v>
      </c>
      <c r="AQ229" s="498">
        <v>0</v>
      </c>
      <c r="AR229" s="692">
        <v>2.5222760609018202</v>
      </c>
      <c r="AS229" s="692">
        <v>-2.5222760609018202</v>
      </c>
      <c r="AT229" s="498">
        <v>53064.277783999998</v>
      </c>
      <c r="AU229" s="695">
        <v>-53064.277783999998</v>
      </c>
    </row>
    <row r="230" spans="1:47" ht="12" thickBot="1">
      <c r="A230" s="937"/>
      <c r="B230" s="937"/>
      <c r="C230" s="937"/>
      <c r="D230" s="937"/>
      <c r="E230" s="690" t="s">
        <v>2721</v>
      </c>
      <c r="F230" s="690" t="s">
        <v>2722</v>
      </c>
      <c r="G230" s="690" t="s">
        <v>2723</v>
      </c>
      <c r="H230" s="691">
        <v>470161</v>
      </c>
      <c r="I230" s="692">
        <v>249480057.97999999</v>
      </c>
      <c r="J230" s="692">
        <v>0.72</v>
      </c>
      <c r="K230" s="692">
        <v>0</v>
      </c>
      <c r="L230" s="693"/>
      <c r="M230" s="692">
        <v>4143370.21</v>
      </c>
      <c r="N230" s="694">
        <v>3593635.9</v>
      </c>
      <c r="O230" s="693"/>
      <c r="P230" s="693"/>
      <c r="Q230" s="693"/>
      <c r="R230" s="693"/>
      <c r="S230" s="498">
        <v>2.45680898066444</v>
      </c>
      <c r="T230" s="692">
        <v>2.0146818220655698</v>
      </c>
      <c r="U230" s="692">
        <v>0.44212715859886498</v>
      </c>
      <c r="V230" s="498">
        <v>3397729.619955</v>
      </c>
      <c r="W230" s="692">
        <v>745640.59004499996</v>
      </c>
      <c r="X230" s="692">
        <v>0</v>
      </c>
      <c r="Y230" s="692">
        <v>0</v>
      </c>
      <c r="Z230" s="692">
        <v>0</v>
      </c>
      <c r="AA230" s="692">
        <v>0</v>
      </c>
      <c r="AB230" s="692">
        <v>0</v>
      </c>
      <c r="AC230" s="692">
        <v>0</v>
      </c>
      <c r="AD230" s="692">
        <v>0</v>
      </c>
      <c r="AE230" s="692">
        <v>0</v>
      </c>
      <c r="AF230" s="692">
        <v>0</v>
      </c>
      <c r="AG230" s="692">
        <v>0</v>
      </c>
      <c r="AH230" s="692">
        <v>0</v>
      </c>
      <c r="AI230" s="692">
        <v>0</v>
      </c>
      <c r="AJ230" s="692">
        <v>0</v>
      </c>
      <c r="AK230" s="692">
        <v>0</v>
      </c>
      <c r="AL230" s="692">
        <v>0</v>
      </c>
      <c r="AM230" s="692">
        <v>0</v>
      </c>
      <c r="AN230" s="692">
        <v>0</v>
      </c>
      <c r="AO230" s="692">
        <v>0</v>
      </c>
      <c r="AP230" s="498">
        <v>0</v>
      </c>
      <c r="AQ230" s="498">
        <v>0</v>
      </c>
      <c r="AR230" s="692">
        <v>2.0146818220655698</v>
      </c>
      <c r="AS230" s="692">
        <v>0.44212715859886498</v>
      </c>
      <c r="AT230" s="498">
        <v>3397729.619955</v>
      </c>
      <c r="AU230" s="695">
        <v>745640.59004499996</v>
      </c>
    </row>
    <row r="231" spans="1:47" ht="12" thickBot="1">
      <c r="A231" s="937"/>
      <c r="B231" s="937"/>
      <c r="C231" s="937"/>
      <c r="D231" s="937"/>
      <c r="E231" s="936" t="s">
        <v>2874</v>
      </c>
      <c r="F231" s="690" t="s">
        <v>3398</v>
      </c>
      <c r="G231" s="690" t="s">
        <v>3399</v>
      </c>
      <c r="H231" s="691">
        <v>470181</v>
      </c>
      <c r="I231" s="692">
        <v>82213904.819999993</v>
      </c>
      <c r="J231" s="692">
        <v>0.72</v>
      </c>
      <c r="K231" s="692">
        <v>0</v>
      </c>
      <c r="L231" s="693"/>
      <c r="M231" s="692">
        <v>4425928.03</v>
      </c>
      <c r="N231" s="694">
        <v>4282873.2699999996</v>
      </c>
      <c r="O231" s="693"/>
      <c r="P231" s="693"/>
      <c r="Q231" s="693"/>
      <c r="R231" s="693"/>
      <c r="S231" s="498">
        <v>5.1292133227577503</v>
      </c>
      <c r="T231" s="692">
        <v>1.1783166666877101</v>
      </c>
      <c r="U231" s="692">
        <v>3.95089665607005</v>
      </c>
      <c r="V231" s="498">
        <v>1016753.337236</v>
      </c>
      <c r="W231" s="692">
        <v>3409174.692764</v>
      </c>
      <c r="X231" s="692">
        <v>0</v>
      </c>
      <c r="Y231" s="692">
        <v>0</v>
      </c>
      <c r="Z231" s="692">
        <v>0</v>
      </c>
      <c r="AA231" s="692">
        <v>0</v>
      </c>
      <c r="AB231" s="692">
        <v>0</v>
      </c>
      <c r="AC231" s="692">
        <v>0</v>
      </c>
      <c r="AD231" s="692">
        <v>0</v>
      </c>
      <c r="AE231" s="692">
        <v>0</v>
      </c>
      <c r="AF231" s="692">
        <v>0</v>
      </c>
      <c r="AG231" s="692">
        <v>0</v>
      </c>
      <c r="AH231" s="692">
        <v>0</v>
      </c>
      <c r="AI231" s="692">
        <v>0</v>
      </c>
      <c r="AJ231" s="692">
        <v>0</v>
      </c>
      <c r="AK231" s="692">
        <v>0</v>
      </c>
      <c r="AL231" s="692">
        <v>0</v>
      </c>
      <c r="AM231" s="692">
        <v>0</v>
      </c>
      <c r="AN231" s="692">
        <v>0</v>
      </c>
      <c r="AO231" s="692">
        <v>0</v>
      </c>
      <c r="AP231" s="498">
        <v>0</v>
      </c>
      <c r="AQ231" s="498">
        <v>0</v>
      </c>
      <c r="AR231" s="692">
        <v>1.1783166666877101</v>
      </c>
      <c r="AS231" s="692">
        <v>3.95089665607005</v>
      </c>
      <c r="AT231" s="498">
        <v>1016753.337236</v>
      </c>
      <c r="AU231" s="695">
        <v>3409174.692764</v>
      </c>
    </row>
    <row r="232" spans="1:47" ht="12" thickBot="1">
      <c r="A232" s="937"/>
      <c r="B232" s="938"/>
      <c r="C232" s="938"/>
      <c r="D232" s="938"/>
      <c r="E232" s="938"/>
      <c r="F232" s="690" t="s">
        <v>2875</v>
      </c>
      <c r="G232" s="690" t="s">
        <v>2875</v>
      </c>
      <c r="H232" s="691">
        <v>470191</v>
      </c>
      <c r="I232" s="692">
        <v>0</v>
      </c>
      <c r="J232" s="692">
        <v>0</v>
      </c>
      <c r="K232" s="692">
        <v>0</v>
      </c>
      <c r="L232" s="693"/>
      <c r="M232" s="692">
        <v>3924499.2</v>
      </c>
      <c r="N232" s="694">
        <v>3709185.36</v>
      </c>
      <c r="O232" s="693"/>
      <c r="P232" s="693"/>
      <c r="Q232" s="693"/>
      <c r="R232" s="693"/>
      <c r="S232" s="498">
        <v>0</v>
      </c>
      <c r="T232" s="692">
        <v>3.2973317038183501</v>
      </c>
      <c r="U232" s="692">
        <v>-3.2973317038183501</v>
      </c>
      <c r="V232" s="498">
        <v>3153186.0555639998</v>
      </c>
      <c r="W232" s="692">
        <v>-3153186.0555639998</v>
      </c>
      <c r="X232" s="692">
        <v>0</v>
      </c>
      <c r="Y232" s="692">
        <v>0</v>
      </c>
      <c r="Z232" s="692">
        <v>0</v>
      </c>
      <c r="AA232" s="692">
        <v>0</v>
      </c>
      <c r="AB232" s="692">
        <v>0</v>
      </c>
      <c r="AC232" s="692">
        <v>0</v>
      </c>
      <c r="AD232" s="692">
        <v>0</v>
      </c>
      <c r="AE232" s="692">
        <v>0</v>
      </c>
      <c r="AF232" s="692">
        <v>0</v>
      </c>
      <c r="AG232" s="692">
        <v>0</v>
      </c>
      <c r="AH232" s="692">
        <v>0</v>
      </c>
      <c r="AI232" s="692">
        <v>0</v>
      </c>
      <c r="AJ232" s="692">
        <v>0</v>
      </c>
      <c r="AK232" s="692">
        <v>0</v>
      </c>
      <c r="AL232" s="692">
        <v>0</v>
      </c>
      <c r="AM232" s="692">
        <v>0</v>
      </c>
      <c r="AN232" s="692">
        <v>0</v>
      </c>
      <c r="AO232" s="692">
        <v>0</v>
      </c>
      <c r="AP232" s="498">
        <v>0</v>
      </c>
      <c r="AQ232" s="498">
        <v>0</v>
      </c>
      <c r="AR232" s="692">
        <v>3.2973317038183501</v>
      </c>
      <c r="AS232" s="692">
        <v>-3.2973317038183501</v>
      </c>
      <c r="AT232" s="498">
        <v>3153186.0555639998</v>
      </c>
      <c r="AU232" s="695">
        <v>-3153186.0555639998</v>
      </c>
    </row>
    <row r="233" spans="1:47" ht="12" thickBot="1">
      <c r="A233" s="937"/>
      <c r="B233" s="936" t="s">
        <v>455</v>
      </c>
      <c r="C233" s="936" t="s">
        <v>455</v>
      </c>
      <c r="D233" s="936" t="s">
        <v>455</v>
      </c>
      <c r="E233" s="936" t="s">
        <v>456</v>
      </c>
      <c r="F233" s="936" t="s">
        <v>457</v>
      </c>
      <c r="G233" s="690" t="s">
        <v>2876</v>
      </c>
      <c r="H233" s="691">
        <v>470501</v>
      </c>
      <c r="I233" s="692">
        <v>8346.0400000000009</v>
      </c>
      <c r="J233" s="692">
        <v>0.3</v>
      </c>
      <c r="K233" s="692">
        <v>0</v>
      </c>
      <c r="L233" s="693"/>
      <c r="M233" s="692">
        <v>12.64</v>
      </c>
      <c r="N233" s="694">
        <v>0</v>
      </c>
      <c r="O233" s="693"/>
      <c r="P233" s="693"/>
      <c r="Q233" s="693"/>
      <c r="R233" s="693"/>
      <c r="S233" s="498">
        <v>0.30488450247930299</v>
      </c>
      <c r="T233" s="692">
        <v>2.0173692071819298</v>
      </c>
      <c r="U233" s="692">
        <v>1.71248470469981</v>
      </c>
      <c r="V233" s="498">
        <v>83.636742999999996</v>
      </c>
      <c r="W233" s="692">
        <v>70.996742999999995</v>
      </c>
      <c r="X233" s="692">
        <v>0</v>
      </c>
      <c r="Y233" s="692">
        <v>0</v>
      </c>
      <c r="Z233" s="692">
        <v>0</v>
      </c>
      <c r="AA233" s="692">
        <v>0</v>
      </c>
      <c r="AB233" s="692">
        <v>0</v>
      </c>
      <c r="AC233" s="692">
        <v>0</v>
      </c>
      <c r="AD233" s="692">
        <v>0</v>
      </c>
      <c r="AE233" s="692">
        <v>0</v>
      </c>
      <c r="AF233" s="692">
        <v>0</v>
      </c>
      <c r="AG233" s="692">
        <v>0</v>
      </c>
      <c r="AH233" s="692">
        <v>0</v>
      </c>
      <c r="AI233" s="692">
        <v>0</v>
      </c>
      <c r="AJ233" s="692">
        <v>0</v>
      </c>
      <c r="AK233" s="692">
        <v>0</v>
      </c>
      <c r="AL233" s="692">
        <v>0</v>
      </c>
      <c r="AM233" s="692">
        <v>0</v>
      </c>
      <c r="AN233" s="692">
        <v>0</v>
      </c>
      <c r="AO233" s="692">
        <v>0</v>
      </c>
      <c r="AP233" s="498">
        <v>0</v>
      </c>
      <c r="AQ233" s="498">
        <v>0</v>
      </c>
      <c r="AR233" s="692">
        <v>2.0173692071819298</v>
      </c>
      <c r="AS233" s="692">
        <v>1.71248470469981</v>
      </c>
      <c r="AT233" s="498">
        <v>83.636742999999996</v>
      </c>
      <c r="AU233" s="695">
        <v>70.996742999999995</v>
      </c>
    </row>
    <row r="234" spans="1:47" ht="12" thickBot="1">
      <c r="A234" s="937"/>
      <c r="B234" s="937"/>
      <c r="C234" s="937"/>
      <c r="D234" s="937"/>
      <c r="E234" s="938"/>
      <c r="F234" s="938"/>
      <c r="G234" s="690" t="s">
        <v>457</v>
      </c>
      <c r="H234" s="691">
        <v>470502</v>
      </c>
      <c r="I234" s="692">
        <v>0</v>
      </c>
      <c r="J234" s="692">
        <v>0</v>
      </c>
      <c r="K234" s="692">
        <v>0</v>
      </c>
      <c r="L234" s="693"/>
      <c r="M234" s="692">
        <v>778600.17</v>
      </c>
      <c r="N234" s="694">
        <v>0</v>
      </c>
      <c r="O234" s="693"/>
      <c r="P234" s="693"/>
      <c r="Q234" s="693"/>
      <c r="R234" s="693"/>
      <c r="S234" s="498">
        <v>0</v>
      </c>
      <c r="T234" s="692">
        <v>0</v>
      </c>
      <c r="U234" s="692">
        <v>0</v>
      </c>
      <c r="V234" s="498">
        <v>0</v>
      </c>
      <c r="W234" s="692">
        <v>-778600.17</v>
      </c>
      <c r="X234" s="692">
        <v>0</v>
      </c>
      <c r="Y234" s="692">
        <v>0</v>
      </c>
      <c r="Z234" s="692">
        <v>0</v>
      </c>
      <c r="AA234" s="692">
        <v>0</v>
      </c>
      <c r="AB234" s="692">
        <v>0</v>
      </c>
      <c r="AC234" s="692">
        <v>0</v>
      </c>
      <c r="AD234" s="692">
        <v>0</v>
      </c>
      <c r="AE234" s="692">
        <v>0</v>
      </c>
      <c r="AF234" s="692">
        <v>0</v>
      </c>
      <c r="AG234" s="692">
        <v>0</v>
      </c>
      <c r="AH234" s="692">
        <v>0</v>
      </c>
      <c r="AI234" s="692">
        <v>0</v>
      </c>
      <c r="AJ234" s="692">
        <v>0</v>
      </c>
      <c r="AK234" s="692">
        <v>0</v>
      </c>
      <c r="AL234" s="692">
        <v>0</v>
      </c>
      <c r="AM234" s="692">
        <v>0</v>
      </c>
      <c r="AN234" s="692">
        <v>0</v>
      </c>
      <c r="AO234" s="692">
        <v>0</v>
      </c>
      <c r="AP234" s="498">
        <v>0</v>
      </c>
      <c r="AQ234" s="498">
        <v>0</v>
      </c>
      <c r="AR234" s="692">
        <v>0</v>
      </c>
      <c r="AS234" s="692">
        <v>0</v>
      </c>
      <c r="AT234" s="498">
        <v>0</v>
      </c>
      <c r="AU234" s="695">
        <v>-778600.17</v>
      </c>
    </row>
    <row r="235" spans="1:47" ht="12" thickBot="1">
      <c r="A235" s="937"/>
      <c r="B235" s="937"/>
      <c r="C235" s="937"/>
      <c r="D235" s="937"/>
      <c r="E235" s="936" t="s">
        <v>458</v>
      </c>
      <c r="F235" s="690" t="s">
        <v>459</v>
      </c>
      <c r="G235" s="690" t="s">
        <v>2724</v>
      </c>
      <c r="H235" s="691">
        <v>470521</v>
      </c>
      <c r="I235" s="692">
        <v>376004612.06999999</v>
      </c>
      <c r="J235" s="692">
        <v>0.71268288492445997</v>
      </c>
      <c r="K235" s="692">
        <v>0</v>
      </c>
      <c r="L235" s="693"/>
      <c r="M235" s="692">
        <v>1397023.92</v>
      </c>
      <c r="N235" s="694">
        <v>0</v>
      </c>
      <c r="O235" s="693"/>
      <c r="P235" s="693"/>
      <c r="Q235" s="693"/>
      <c r="R235" s="693"/>
      <c r="S235" s="498">
        <v>0.71465001861695598</v>
      </c>
      <c r="T235" s="692">
        <v>2.01816577224302</v>
      </c>
      <c r="U235" s="692">
        <v>1.30351575362607</v>
      </c>
      <c r="V235" s="498">
        <v>3945184.0549940001</v>
      </c>
      <c r="W235" s="692">
        <v>2548160.1349940002</v>
      </c>
      <c r="X235" s="692">
        <v>0</v>
      </c>
      <c r="Y235" s="692">
        <v>0</v>
      </c>
      <c r="Z235" s="692">
        <v>0</v>
      </c>
      <c r="AA235" s="692">
        <v>0</v>
      </c>
      <c r="AB235" s="692">
        <v>0</v>
      </c>
      <c r="AC235" s="692">
        <v>0</v>
      </c>
      <c r="AD235" s="692">
        <v>0</v>
      </c>
      <c r="AE235" s="692">
        <v>0</v>
      </c>
      <c r="AF235" s="692">
        <v>0</v>
      </c>
      <c r="AG235" s="692">
        <v>0</v>
      </c>
      <c r="AH235" s="692">
        <v>0</v>
      </c>
      <c r="AI235" s="692">
        <v>0</v>
      </c>
      <c r="AJ235" s="692">
        <v>0</v>
      </c>
      <c r="AK235" s="692">
        <v>0</v>
      </c>
      <c r="AL235" s="692">
        <v>0</v>
      </c>
      <c r="AM235" s="692">
        <v>0</v>
      </c>
      <c r="AN235" s="692">
        <v>0</v>
      </c>
      <c r="AO235" s="692">
        <v>0</v>
      </c>
      <c r="AP235" s="498">
        <v>0</v>
      </c>
      <c r="AQ235" s="498">
        <v>0</v>
      </c>
      <c r="AR235" s="692">
        <v>2.01816577224302</v>
      </c>
      <c r="AS235" s="692">
        <v>1.30351575362607</v>
      </c>
      <c r="AT235" s="498">
        <v>3945184.0549940001</v>
      </c>
      <c r="AU235" s="695">
        <v>2548160.1349940002</v>
      </c>
    </row>
    <row r="236" spans="1:47" ht="12" thickBot="1">
      <c r="A236" s="937"/>
      <c r="B236" s="937"/>
      <c r="C236" s="937"/>
      <c r="D236" s="937"/>
      <c r="E236" s="938"/>
      <c r="F236" s="690" t="s">
        <v>460</v>
      </c>
      <c r="G236" s="690" t="s">
        <v>460</v>
      </c>
      <c r="H236" s="691">
        <v>470531</v>
      </c>
      <c r="I236" s="692">
        <v>20900000000</v>
      </c>
      <c r="J236" s="692">
        <v>3.2854760765550202</v>
      </c>
      <c r="K236" s="692">
        <v>0</v>
      </c>
      <c r="L236" s="693"/>
      <c r="M236" s="692">
        <v>483712393.35000002</v>
      </c>
      <c r="N236" s="694">
        <v>0</v>
      </c>
      <c r="O236" s="693"/>
      <c r="P236" s="693"/>
      <c r="Q236" s="693"/>
      <c r="R236" s="693"/>
      <c r="S236" s="498">
        <v>3.3520548468815199</v>
      </c>
      <c r="T236" s="692">
        <v>3.2358220632089898</v>
      </c>
      <c r="U236" s="692">
        <v>-0.116232783672524</v>
      </c>
      <c r="V236" s="498">
        <v>392979980.32406598</v>
      </c>
      <c r="W236" s="692">
        <v>-14116090.485934</v>
      </c>
      <c r="X236" s="692">
        <v>0</v>
      </c>
      <c r="Y236" s="692">
        <v>0</v>
      </c>
      <c r="Z236" s="692">
        <v>0</v>
      </c>
      <c r="AA236" s="692">
        <v>0</v>
      </c>
      <c r="AB236" s="692">
        <v>0</v>
      </c>
      <c r="AC236" s="692">
        <v>0</v>
      </c>
      <c r="AD236" s="692">
        <v>0</v>
      </c>
      <c r="AE236" s="692">
        <v>0</v>
      </c>
      <c r="AF236" s="692">
        <v>0</v>
      </c>
      <c r="AG236" s="692">
        <v>0</v>
      </c>
      <c r="AH236" s="692">
        <v>0</v>
      </c>
      <c r="AI236" s="692">
        <v>0</v>
      </c>
      <c r="AJ236" s="692">
        <v>0</v>
      </c>
      <c r="AK236" s="692">
        <v>0</v>
      </c>
      <c r="AL236" s="692">
        <v>0</v>
      </c>
      <c r="AM236" s="692">
        <v>0</v>
      </c>
      <c r="AN236" s="692">
        <v>0</v>
      </c>
      <c r="AO236" s="692">
        <v>0</v>
      </c>
      <c r="AP236" s="498">
        <v>0</v>
      </c>
      <c r="AQ236" s="498">
        <v>0</v>
      </c>
      <c r="AR236" s="692">
        <v>3.2358220632089898</v>
      </c>
      <c r="AS236" s="692">
        <v>-0.116232783672524</v>
      </c>
      <c r="AT236" s="498">
        <v>392979980.32406598</v>
      </c>
      <c r="AU236" s="695">
        <v>-14116090.485934</v>
      </c>
    </row>
    <row r="237" spans="1:47" ht="12" thickBot="1">
      <c r="A237" s="937"/>
      <c r="B237" s="937"/>
      <c r="C237" s="937"/>
      <c r="D237" s="937"/>
      <c r="E237" s="690" t="s">
        <v>461</v>
      </c>
      <c r="F237" s="690" t="s">
        <v>462</v>
      </c>
      <c r="G237" s="690" t="s">
        <v>2725</v>
      </c>
      <c r="H237" s="691">
        <v>470541</v>
      </c>
      <c r="I237" s="692">
        <v>0</v>
      </c>
      <c r="J237" s="692">
        <v>0</v>
      </c>
      <c r="K237" s="692">
        <v>0</v>
      </c>
      <c r="L237" s="693"/>
      <c r="M237" s="692">
        <v>0</v>
      </c>
      <c r="N237" s="694">
        <v>0</v>
      </c>
      <c r="O237" s="693"/>
      <c r="P237" s="693"/>
      <c r="Q237" s="693"/>
      <c r="R237" s="693"/>
      <c r="S237" s="498">
        <v>0</v>
      </c>
      <c r="T237" s="692">
        <v>0</v>
      </c>
      <c r="U237" s="692">
        <v>0</v>
      </c>
      <c r="V237" s="498">
        <v>0</v>
      </c>
      <c r="W237" s="692">
        <v>0</v>
      </c>
      <c r="X237" s="692">
        <v>0</v>
      </c>
      <c r="Y237" s="692">
        <v>0</v>
      </c>
      <c r="Z237" s="692">
        <v>0</v>
      </c>
      <c r="AA237" s="692">
        <v>0</v>
      </c>
      <c r="AB237" s="692">
        <v>0</v>
      </c>
      <c r="AC237" s="692">
        <v>0</v>
      </c>
      <c r="AD237" s="692">
        <v>0</v>
      </c>
      <c r="AE237" s="692">
        <v>0</v>
      </c>
      <c r="AF237" s="692">
        <v>0</v>
      </c>
      <c r="AG237" s="692">
        <v>0</v>
      </c>
      <c r="AH237" s="692">
        <v>0</v>
      </c>
      <c r="AI237" s="692">
        <v>0</v>
      </c>
      <c r="AJ237" s="692">
        <v>0</v>
      </c>
      <c r="AK237" s="692">
        <v>0</v>
      </c>
      <c r="AL237" s="692">
        <v>0</v>
      </c>
      <c r="AM237" s="692">
        <v>0</v>
      </c>
      <c r="AN237" s="692">
        <v>0</v>
      </c>
      <c r="AO237" s="692">
        <v>0</v>
      </c>
      <c r="AP237" s="498">
        <v>0</v>
      </c>
      <c r="AQ237" s="498">
        <v>0</v>
      </c>
      <c r="AR237" s="692">
        <v>0</v>
      </c>
      <c r="AS237" s="692">
        <v>0</v>
      </c>
      <c r="AT237" s="498">
        <v>0</v>
      </c>
      <c r="AU237" s="695">
        <v>0</v>
      </c>
    </row>
    <row r="238" spans="1:47" ht="12" thickBot="1">
      <c r="A238" s="937"/>
      <c r="B238" s="937"/>
      <c r="C238" s="937"/>
      <c r="D238" s="937"/>
      <c r="E238" s="936" t="s">
        <v>463</v>
      </c>
      <c r="F238" s="690" t="s">
        <v>464</v>
      </c>
      <c r="G238" s="690" t="s">
        <v>2726</v>
      </c>
      <c r="H238" s="691">
        <v>470581</v>
      </c>
      <c r="I238" s="692">
        <v>916137188.63999999</v>
      </c>
      <c r="J238" s="692">
        <v>0.72</v>
      </c>
      <c r="K238" s="692">
        <v>0</v>
      </c>
      <c r="L238" s="693"/>
      <c r="M238" s="692">
        <v>2498116.16</v>
      </c>
      <c r="N238" s="694">
        <v>0</v>
      </c>
      <c r="O238" s="693"/>
      <c r="P238" s="693"/>
      <c r="Q238" s="693"/>
      <c r="R238" s="693"/>
      <c r="S238" s="498">
        <v>0.73199998907630304</v>
      </c>
      <c r="T238" s="692">
        <v>2.01841878287884</v>
      </c>
      <c r="U238" s="692">
        <v>1.28641879380253</v>
      </c>
      <c r="V238" s="498">
        <v>6888312.369403</v>
      </c>
      <c r="W238" s="692">
        <v>4390196.2094029998</v>
      </c>
      <c r="X238" s="692">
        <v>0</v>
      </c>
      <c r="Y238" s="692">
        <v>0</v>
      </c>
      <c r="Z238" s="692">
        <v>0</v>
      </c>
      <c r="AA238" s="692">
        <v>0</v>
      </c>
      <c r="AB238" s="692">
        <v>0</v>
      </c>
      <c r="AC238" s="692">
        <v>0</v>
      </c>
      <c r="AD238" s="692">
        <v>0</v>
      </c>
      <c r="AE238" s="692">
        <v>0</v>
      </c>
      <c r="AF238" s="692">
        <v>0</v>
      </c>
      <c r="AG238" s="692">
        <v>0</v>
      </c>
      <c r="AH238" s="692">
        <v>0</v>
      </c>
      <c r="AI238" s="692">
        <v>0</v>
      </c>
      <c r="AJ238" s="692">
        <v>0</v>
      </c>
      <c r="AK238" s="692">
        <v>0</v>
      </c>
      <c r="AL238" s="692">
        <v>0</v>
      </c>
      <c r="AM238" s="692">
        <v>0</v>
      </c>
      <c r="AN238" s="692">
        <v>0</v>
      </c>
      <c r="AO238" s="692">
        <v>0</v>
      </c>
      <c r="AP238" s="498">
        <v>0</v>
      </c>
      <c r="AQ238" s="498">
        <v>0</v>
      </c>
      <c r="AR238" s="692">
        <v>2.01841878287884</v>
      </c>
      <c r="AS238" s="692">
        <v>1.28641879380253</v>
      </c>
      <c r="AT238" s="498">
        <v>6888312.369403</v>
      </c>
      <c r="AU238" s="695">
        <v>4390196.2094029998</v>
      </c>
    </row>
    <row r="239" spans="1:47" ht="12" thickBot="1">
      <c r="A239" s="937"/>
      <c r="B239" s="937"/>
      <c r="C239" s="937"/>
      <c r="D239" s="937"/>
      <c r="E239" s="938"/>
      <c r="F239" s="690" t="s">
        <v>465</v>
      </c>
      <c r="G239" s="690" t="s">
        <v>465</v>
      </c>
      <c r="H239" s="691">
        <v>470591</v>
      </c>
      <c r="I239" s="692">
        <v>762000000</v>
      </c>
      <c r="J239" s="692">
        <v>3.2731889763779498</v>
      </c>
      <c r="K239" s="692">
        <v>0</v>
      </c>
      <c r="L239" s="693"/>
      <c r="M239" s="692">
        <v>29463711.210000001</v>
      </c>
      <c r="N239" s="694">
        <v>0</v>
      </c>
      <c r="O239" s="693"/>
      <c r="P239" s="693"/>
      <c r="Q239" s="693"/>
      <c r="R239" s="693"/>
      <c r="S239" s="498">
        <v>3.0964117275235798</v>
      </c>
      <c r="T239" s="692">
        <v>2.9175263352054901</v>
      </c>
      <c r="U239" s="692">
        <v>-0.17888539231808701</v>
      </c>
      <c r="V239" s="498">
        <v>27761538.500829</v>
      </c>
      <c r="W239" s="692">
        <v>-1702172.7091709999</v>
      </c>
      <c r="X239" s="692">
        <v>0</v>
      </c>
      <c r="Y239" s="692">
        <v>0</v>
      </c>
      <c r="Z239" s="692">
        <v>0</v>
      </c>
      <c r="AA239" s="692">
        <v>0</v>
      </c>
      <c r="AB239" s="692">
        <v>0</v>
      </c>
      <c r="AC239" s="692">
        <v>0</v>
      </c>
      <c r="AD239" s="692">
        <v>0</v>
      </c>
      <c r="AE239" s="692">
        <v>0</v>
      </c>
      <c r="AF239" s="692">
        <v>0</v>
      </c>
      <c r="AG239" s="692">
        <v>0</v>
      </c>
      <c r="AH239" s="692">
        <v>0</v>
      </c>
      <c r="AI239" s="692">
        <v>0</v>
      </c>
      <c r="AJ239" s="692">
        <v>0</v>
      </c>
      <c r="AK239" s="692">
        <v>0</v>
      </c>
      <c r="AL239" s="692">
        <v>0</v>
      </c>
      <c r="AM239" s="692">
        <v>0</v>
      </c>
      <c r="AN239" s="692">
        <v>0</v>
      </c>
      <c r="AO239" s="692">
        <v>0</v>
      </c>
      <c r="AP239" s="498">
        <v>0</v>
      </c>
      <c r="AQ239" s="498">
        <v>0</v>
      </c>
      <c r="AR239" s="692">
        <v>2.9175263352054901</v>
      </c>
      <c r="AS239" s="692">
        <v>-0.17888539231808701</v>
      </c>
      <c r="AT239" s="498">
        <v>27761538.500829</v>
      </c>
      <c r="AU239" s="695">
        <v>-1702172.7091709999</v>
      </c>
    </row>
    <row r="240" spans="1:47" ht="12" thickBot="1">
      <c r="A240" s="937"/>
      <c r="B240" s="937"/>
      <c r="C240" s="937"/>
      <c r="D240" s="937"/>
      <c r="E240" s="936" t="s">
        <v>4363</v>
      </c>
      <c r="F240" s="690" t="s">
        <v>4364</v>
      </c>
      <c r="G240" s="690" t="s">
        <v>4365</v>
      </c>
      <c r="H240" s="691">
        <v>470601</v>
      </c>
      <c r="I240" s="692">
        <v>0</v>
      </c>
      <c r="J240" s="692">
        <v>0</v>
      </c>
      <c r="K240" s="692">
        <v>0</v>
      </c>
      <c r="L240" s="693"/>
      <c r="M240" s="692">
        <v>0</v>
      </c>
      <c r="N240" s="694" t="e">
        <v>#N/A</v>
      </c>
      <c r="O240" s="693"/>
      <c r="P240" s="693"/>
      <c r="Q240" s="693"/>
      <c r="R240" s="693"/>
      <c r="S240" s="498">
        <v>0</v>
      </c>
      <c r="T240" s="692">
        <v>0</v>
      </c>
      <c r="U240" s="692">
        <v>0</v>
      </c>
      <c r="V240" s="498">
        <v>0</v>
      </c>
      <c r="W240" s="692">
        <v>0</v>
      </c>
      <c r="X240" s="692">
        <v>0</v>
      </c>
      <c r="Y240" s="692">
        <v>0</v>
      </c>
      <c r="Z240" s="692">
        <v>0</v>
      </c>
      <c r="AA240" s="692">
        <v>0</v>
      </c>
      <c r="AB240" s="692">
        <v>0</v>
      </c>
      <c r="AC240" s="692">
        <v>0</v>
      </c>
      <c r="AD240" s="692">
        <v>0</v>
      </c>
      <c r="AE240" s="692">
        <v>0</v>
      </c>
      <c r="AF240" s="692">
        <v>0</v>
      </c>
      <c r="AG240" s="692">
        <v>0</v>
      </c>
      <c r="AH240" s="692">
        <v>0</v>
      </c>
      <c r="AI240" s="692">
        <v>0</v>
      </c>
      <c r="AJ240" s="692">
        <v>0</v>
      </c>
      <c r="AK240" s="692">
        <v>0</v>
      </c>
      <c r="AL240" s="692">
        <v>0</v>
      </c>
      <c r="AM240" s="692">
        <v>0</v>
      </c>
      <c r="AN240" s="692">
        <v>0</v>
      </c>
      <c r="AO240" s="692">
        <v>0</v>
      </c>
      <c r="AP240" s="498">
        <v>0</v>
      </c>
      <c r="AQ240" s="498">
        <v>0</v>
      </c>
      <c r="AR240" s="692">
        <v>0</v>
      </c>
      <c r="AS240" s="692">
        <v>0</v>
      </c>
      <c r="AT240" s="498">
        <v>0</v>
      </c>
      <c r="AU240" s="695">
        <v>0</v>
      </c>
    </row>
    <row r="241" spans="1:47" ht="12" thickBot="1">
      <c r="A241" s="937"/>
      <c r="B241" s="937"/>
      <c r="C241" s="937"/>
      <c r="D241" s="937"/>
      <c r="E241" s="938"/>
      <c r="F241" s="690" t="s">
        <v>4366</v>
      </c>
      <c r="G241" s="690" t="s">
        <v>4366</v>
      </c>
      <c r="H241" s="691">
        <v>470611</v>
      </c>
      <c r="I241" s="692">
        <v>0</v>
      </c>
      <c r="J241" s="692">
        <v>0</v>
      </c>
      <c r="K241" s="692">
        <v>0</v>
      </c>
      <c r="L241" s="693"/>
      <c r="M241" s="692">
        <v>453.06</v>
      </c>
      <c r="N241" s="694" t="e">
        <v>#N/A</v>
      </c>
      <c r="O241" s="693"/>
      <c r="P241" s="693"/>
      <c r="Q241" s="693"/>
      <c r="R241" s="693"/>
      <c r="S241" s="498">
        <v>2.3688565714001499</v>
      </c>
      <c r="T241" s="692">
        <v>2.3210500122000002</v>
      </c>
      <c r="U241" s="692">
        <v>-4.7806559228571001E-2</v>
      </c>
      <c r="V241" s="498">
        <v>443.91666900000001</v>
      </c>
      <c r="W241" s="692">
        <v>-9.1433309999999999</v>
      </c>
      <c r="X241" s="692">
        <v>0</v>
      </c>
      <c r="Y241" s="692">
        <v>0</v>
      </c>
      <c r="Z241" s="692">
        <v>0</v>
      </c>
      <c r="AA241" s="692">
        <v>0</v>
      </c>
      <c r="AB241" s="692">
        <v>0</v>
      </c>
      <c r="AC241" s="692">
        <v>0</v>
      </c>
      <c r="AD241" s="692">
        <v>0</v>
      </c>
      <c r="AE241" s="692">
        <v>0</v>
      </c>
      <c r="AF241" s="692">
        <v>0</v>
      </c>
      <c r="AG241" s="692">
        <v>0</v>
      </c>
      <c r="AH241" s="692">
        <v>0</v>
      </c>
      <c r="AI241" s="692">
        <v>0</v>
      </c>
      <c r="AJ241" s="692">
        <v>0</v>
      </c>
      <c r="AK241" s="692">
        <v>0</v>
      </c>
      <c r="AL241" s="692">
        <v>0</v>
      </c>
      <c r="AM241" s="692">
        <v>0</v>
      </c>
      <c r="AN241" s="692">
        <v>0</v>
      </c>
      <c r="AO241" s="692">
        <v>0</v>
      </c>
      <c r="AP241" s="498">
        <v>0</v>
      </c>
      <c r="AQ241" s="498">
        <v>0</v>
      </c>
      <c r="AR241" s="692">
        <v>2.3210500122000002</v>
      </c>
      <c r="AS241" s="692">
        <v>-4.7806559228571001E-2</v>
      </c>
      <c r="AT241" s="498">
        <v>443.91666900000001</v>
      </c>
      <c r="AU241" s="695">
        <v>-9.1433309999999999</v>
      </c>
    </row>
    <row r="242" spans="1:47" ht="12" thickBot="1">
      <c r="A242" s="937"/>
      <c r="B242" s="937"/>
      <c r="C242" s="937"/>
      <c r="D242" s="937"/>
      <c r="E242" s="936" t="s">
        <v>1348</v>
      </c>
      <c r="F242" s="690" t="s">
        <v>2727</v>
      </c>
      <c r="G242" s="690" t="s">
        <v>2728</v>
      </c>
      <c r="H242" s="691">
        <v>470681</v>
      </c>
      <c r="I242" s="692">
        <v>20109.8</v>
      </c>
      <c r="J242" s="692">
        <v>0.72</v>
      </c>
      <c r="K242" s="692">
        <v>0</v>
      </c>
      <c r="L242" s="693"/>
      <c r="M242" s="692">
        <v>73.010000000000005</v>
      </c>
      <c r="N242" s="694">
        <v>0</v>
      </c>
      <c r="O242" s="693"/>
      <c r="P242" s="693"/>
      <c r="Q242" s="693"/>
      <c r="R242" s="693"/>
      <c r="S242" s="498">
        <v>0.73195708310069496</v>
      </c>
      <c r="T242" s="692">
        <v>2.01737684269568</v>
      </c>
      <c r="U242" s="692">
        <v>1.2854197595821599</v>
      </c>
      <c r="V242" s="498">
        <v>201.22584599999999</v>
      </c>
      <c r="W242" s="692">
        <v>128.215846</v>
      </c>
      <c r="X242" s="692">
        <v>0</v>
      </c>
      <c r="Y242" s="692">
        <v>0</v>
      </c>
      <c r="Z242" s="692">
        <v>0</v>
      </c>
      <c r="AA242" s="692">
        <v>0</v>
      </c>
      <c r="AB242" s="692">
        <v>0</v>
      </c>
      <c r="AC242" s="692">
        <v>0</v>
      </c>
      <c r="AD242" s="692">
        <v>0</v>
      </c>
      <c r="AE242" s="692">
        <v>0</v>
      </c>
      <c r="AF242" s="692">
        <v>0</v>
      </c>
      <c r="AG242" s="692">
        <v>0</v>
      </c>
      <c r="AH242" s="692">
        <v>0</v>
      </c>
      <c r="AI242" s="692">
        <v>0</v>
      </c>
      <c r="AJ242" s="692">
        <v>0</v>
      </c>
      <c r="AK242" s="692">
        <v>0</v>
      </c>
      <c r="AL242" s="692">
        <v>0</v>
      </c>
      <c r="AM242" s="692">
        <v>0</v>
      </c>
      <c r="AN242" s="692">
        <v>0</v>
      </c>
      <c r="AO242" s="692">
        <v>0</v>
      </c>
      <c r="AP242" s="498">
        <v>0</v>
      </c>
      <c r="AQ242" s="498">
        <v>0</v>
      </c>
      <c r="AR242" s="692">
        <v>2.01737684269568</v>
      </c>
      <c r="AS242" s="692">
        <v>1.2854197595821599</v>
      </c>
      <c r="AT242" s="498">
        <v>201.22584599999999</v>
      </c>
      <c r="AU242" s="695">
        <v>128.215846</v>
      </c>
    </row>
    <row r="243" spans="1:47" ht="12" thickBot="1">
      <c r="A243" s="937"/>
      <c r="B243" s="937"/>
      <c r="C243" s="937"/>
      <c r="D243" s="937"/>
      <c r="E243" s="938"/>
      <c r="F243" s="690" t="s">
        <v>2729</v>
      </c>
      <c r="G243" s="690" t="s">
        <v>2729</v>
      </c>
      <c r="H243" s="691">
        <v>470691</v>
      </c>
      <c r="I243" s="692">
        <v>300000000</v>
      </c>
      <c r="J243" s="692">
        <v>3.1533333333333302</v>
      </c>
      <c r="K243" s="692">
        <v>0</v>
      </c>
      <c r="L243" s="693"/>
      <c r="M243" s="692">
        <v>26972152.789999999</v>
      </c>
      <c r="N243" s="694">
        <v>0</v>
      </c>
      <c r="O243" s="693"/>
      <c r="P243" s="693"/>
      <c r="Q243" s="693"/>
      <c r="R243" s="693"/>
      <c r="S243" s="498">
        <v>4.09403862448589</v>
      </c>
      <c r="T243" s="692">
        <v>3.4016065964722899</v>
      </c>
      <c r="U243" s="692">
        <v>-0.69243202801360004</v>
      </c>
      <c r="V243" s="498">
        <v>22326063.841655001</v>
      </c>
      <c r="W243" s="692">
        <v>-4544700.0483449996</v>
      </c>
      <c r="X243" s="692">
        <v>0</v>
      </c>
      <c r="Y243" s="692">
        <v>0</v>
      </c>
      <c r="Z243" s="692">
        <v>0</v>
      </c>
      <c r="AA243" s="692">
        <v>0</v>
      </c>
      <c r="AB243" s="692">
        <v>0</v>
      </c>
      <c r="AC243" s="692">
        <v>0</v>
      </c>
      <c r="AD243" s="692">
        <v>0</v>
      </c>
      <c r="AE243" s="692">
        <v>0</v>
      </c>
      <c r="AF243" s="692">
        <v>0</v>
      </c>
      <c r="AG243" s="692">
        <v>0</v>
      </c>
      <c r="AH243" s="692">
        <v>0</v>
      </c>
      <c r="AI243" s="692">
        <v>0</v>
      </c>
      <c r="AJ243" s="692">
        <v>0</v>
      </c>
      <c r="AK243" s="692">
        <v>0</v>
      </c>
      <c r="AL243" s="692">
        <v>0</v>
      </c>
      <c r="AM243" s="692">
        <v>0</v>
      </c>
      <c r="AN243" s="692">
        <v>0</v>
      </c>
      <c r="AO243" s="692">
        <v>0</v>
      </c>
      <c r="AP243" s="498">
        <v>0</v>
      </c>
      <c r="AQ243" s="498">
        <v>0</v>
      </c>
      <c r="AR243" s="692">
        <v>3.4016065964722899</v>
      </c>
      <c r="AS243" s="692">
        <v>-0.69243202801360004</v>
      </c>
      <c r="AT243" s="498">
        <v>22326063.841655001</v>
      </c>
      <c r="AU243" s="695">
        <v>-4544700.0483449996</v>
      </c>
    </row>
    <row r="244" spans="1:47" ht="12" thickBot="1">
      <c r="A244" s="937"/>
      <c r="B244" s="937"/>
      <c r="C244" s="937"/>
      <c r="D244" s="937"/>
      <c r="E244" s="936" t="s">
        <v>3400</v>
      </c>
      <c r="F244" s="936" t="s">
        <v>3400</v>
      </c>
      <c r="G244" s="690" t="s">
        <v>3401</v>
      </c>
      <c r="H244" s="691">
        <v>470741</v>
      </c>
      <c r="I244" s="692">
        <v>5886314189.6700001</v>
      </c>
      <c r="J244" s="692">
        <v>0.47296724202891699</v>
      </c>
      <c r="K244" s="692">
        <v>0</v>
      </c>
      <c r="L244" s="693"/>
      <c r="M244" s="692">
        <v>10878353.9</v>
      </c>
      <c r="N244" s="694">
        <v>0</v>
      </c>
      <c r="O244" s="693"/>
      <c r="P244" s="693"/>
      <c r="Q244" s="693"/>
      <c r="R244" s="693"/>
      <c r="S244" s="498">
        <v>0.42525462088308402</v>
      </c>
      <c r="T244" s="692">
        <v>2.01932114717148</v>
      </c>
      <c r="U244" s="692">
        <v>1.59406652628839</v>
      </c>
      <c r="V244" s="498">
        <v>51655852.367983997</v>
      </c>
      <c r="W244" s="692">
        <v>40777498.547983997</v>
      </c>
      <c r="X244" s="692">
        <v>0</v>
      </c>
      <c r="Y244" s="692">
        <v>0</v>
      </c>
      <c r="Z244" s="692">
        <v>0</v>
      </c>
      <c r="AA244" s="692">
        <v>0</v>
      </c>
      <c r="AB244" s="692">
        <v>0</v>
      </c>
      <c r="AC244" s="692">
        <v>0</v>
      </c>
      <c r="AD244" s="692">
        <v>0</v>
      </c>
      <c r="AE244" s="692">
        <v>0</v>
      </c>
      <c r="AF244" s="692">
        <v>0</v>
      </c>
      <c r="AG244" s="692">
        <v>0</v>
      </c>
      <c r="AH244" s="692">
        <v>0</v>
      </c>
      <c r="AI244" s="692">
        <v>0</v>
      </c>
      <c r="AJ244" s="692">
        <v>0</v>
      </c>
      <c r="AK244" s="692">
        <v>0</v>
      </c>
      <c r="AL244" s="692">
        <v>0</v>
      </c>
      <c r="AM244" s="692">
        <v>0</v>
      </c>
      <c r="AN244" s="692">
        <v>0</v>
      </c>
      <c r="AO244" s="692">
        <v>0</v>
      </c>
      <c r="AP244" s="498">
        <v>0</v>
      </c>
      <c r="AQ244" s="498">
        <v>0</v>
      </c>
      <c r="AR244" s="692">
        <v>2.01932114717148</v>
      </c>
      <c r="AS244" s="692">
        <v>1.59406652628839</v>
      </c>
      <c r="AT244" s="498">
        <v>51655852.367983997</v>
      </c>
      <c r="AU244" s="695">
        <v>40777498.547983997</v>
      </c>
    </row>
    <row r="245" spans="1:47" ht="12" thickBot="1">
      <c r="A245" s="937"/>
      <c r="B245" s="938"/>
      <c r="C245" s="938"/>
      <c r="D245" s="938"/>
      <c r="E245" s="938"/>
      <c r="F245" s="938"/>
      <c r="G245" s="690" t="s">
        <v>3402</v>
      </c>
      <c r="H245" s="691">
        <v>470751</v>
      </c>
      <c r="I245" s="692">
        <v>11600000000</v>
      </c>
      <c r="J245" s="692">
        <v>3.0887931034482801</v>
      </c>
      <c r="K245" s="692">
        <v>0</v>
      </c>
      <c r="L245" s="693"/>
      <c r="M245" s="692">
        <v>546251811.85000002</v>
      </c>
      <c r="N245" s="694">
        <v>0</v>
      </c>
      <c r="O245" s="693"/>
      <c r="P245" s="693"/>
      <c r="Q245" s="693"/>
      <c r="R245" s="693"/>
      <c r="S245" s="498">
        <v>3.1347478326581202</v>
      </c>
      <c r="T245" s="692">
        <v>3.3785097554010401</v>
      </c>
      <c r="U245" s="692">
        <v>0.24376192274292199</v>
      </c>
      <c r="V245" s="498">
        <v>568715070.35376406</v>
      </c>
      <c r="W245" s="692">
        <v>41033203.713763997</v>
      </c>
      <c r="X245" s="692">
        <v>0</v>
      </c>
      <c r="Y245" s="692">
        <v>0</v>
      </c>
      <c r="Z245" s="692">
        <v>0</v>
      </c>
      <c r="AA245" s="692">
        <v>0</v>
      </c>
      <c r="AB245" s="692">
        <v>0</v>
      </c>
      <c r="AC245" s="692">
        <v>0</v>
      </c>
      <c r="AD245" s="692">
        <v>0</v>
      </c>
      <c r="AE245" s="692">
        <v>0</v>
      </c>
      <c r="AF245" s="692">
        <v>0</v>
      </c>
      <c r="AG245" s="692">
        <v>0</v>
      </c>
      <c r="AH245" s="692">
        <v>0</v>
      </c>
      <c r="AI245" s="692">
        <v>0</v>
      </c>
      <c r="AJ245" s="692">
        <v>0</v>
      </c>
      <c r="AK245" s="692">
        <v>0</v>
      </c>
      <c r="AL245" s="692">
        <v>0</v>
      </c>
      <c r="AM245" s="692">
        <v>0</v>
      </c>
      <c r="AN245" s="692">
        <v>0</v>
      </c>
      <c r="AO245" s="692">
        <v>0</v>
      </c>
      <c r="AP245" s="498">
        <v>0</v>
      </c>
      <c r="AQ245" s="498">
        <v>0</v>
      </c>
      <c r="AR245" s="692">
        <v>3.3785097554010401</v>
      </c>
      <c r="AS245" s="692">
        <v>0.24376192274292199</v>
      </c>
      <c r="AT245" s="498">
        <v>568715070.35376406</v>
      </c>
      <c r="AU245" s="695">
        <v>41033203.713763997</v>
      </c>
    </row>
    <row r="246" spans="1:47" ht="12" thickBot="1">
      <c r="A246" s="937"/>
      <c r="B246" s="936" t="s">
        <v>466</v>
      </c>
      <c r="C246" s="936" t="s">
        <v>467</v>
      </c>
      <c r="D246" s="690" t="s">
        <v>468</v>
      </c>
      <c r="E246" s="690" t="s">
        <v>468</v>
      </c>
      <c r="F246" s="690" t="s">
        <v>468</v>
      </c>
      <c r="G246" s="690" t="s">
        <v>2730</v>
      </c>
      <c r="H246" s="691">
        <v>471002</v>
      </c>
      <c r="I246" s="692">
        <v>21355450000</v>
      </c>
      <c r="J246" s="692">
        <v>2.3825828535572899</v>
      </c>
      <c r="K246" s="692">
        <v>0</v>
      </c>
      <c r="L246" s="693"/>
      <c r="M246" s="692">
        <v>206809121.78999999</v>
      </c>
      <c r="N246" s="694">
        <v>0</v>
      </c>
      <c r="O246" s="693"/>
      <c r="P246" s="693"/>
      <c r="Q246" s="693"/>
      <c r="R246" s="693"/>
      <c r="S246" s="498">
        <v>3.14080674945528</v>
      </c>
      <c r="T246" s="692">
        <v>1.1348244917102399</v>
      </c>
      <c r="U246" s="692">
        <v>-2.0059822577450501</v>
      </c>
      <c r="V246" s="498">
        <v>107782588.086841</v>
      </c>
      <c r="W246" s="692">
        <v>-190522817.38315901</v>
      </c>
      <c r="X246" s="692">
        <v>0</v>
      </c>
      <c r="Y246" s="692">
        <v>0</v>
      </c>
      <c r="Z246" s="692">
        <v>0</v>
      </c>
      <c r="AA246" s="692">
        <v>0</v>
      </c>
      <c r="AB246" s="692">
        <v>0</v>
      </c>
      <c r="AC246" s="692">
        <v>0</v>
      </c>
      <c r="AD246" s="692">
        <v>0</v>
      </c>
      <c r="AE246" s="692">
        <v>0</v>
      </c>
      <c r="AF246" s="692">
        <v>0</v>
      </c>
      <c r="AG246" s="692">
        <v>0</v>
      </c>
      <c r="AH246" s="692">
        <v>0</v>
      </c>
      <c r="AI246" s="692">
        <v>0</v>
      </c>
      <c r="AJ246" s="692">
        <v>0</v>
      </c>
      <c r="AK246" s="692">
        <v>0</v>
      </c>
      <c r="AL246" s="692">
        <v>0</v>
      </c>
      <c r="AM246" s="692">
        <v>0</v>
      </c>
      <c r="AN246" s="692">
        <v>0</v>
      </c>
      <c r="AO246" s="692">
        <v>0</v>
      </c>
      <c r="AP246" s="498">
        <v>0</v>
      </c>
      <c r="AQ246" s="498">
        <v>0</v>
      </c>
      <c r="AR246" s="692">
        <v>1.1348244917102399</v>
      </c>
      <c r="AS246" s="692">
        <v>-2.0059822577450501</v>
      </c>
      <c r="AT246" s="498">
        <v>107782588.086841</v>
      </c>
      <c r="AU246" s="695">
        <v>-190522817.38315901</v>
      </c>
    </row>
    <row r="247" spans="1:47" ht="12" thickBot="1">
      <c r="A247" s="937"/>
      <c r="B247" s="937"/>
      <c r="C247" s="938"/>
      <c r="D247" s="690" t="s">
        <v>469</v>
      </c>
      <c r="E247" s="690" t="s">
        <v>469</v>
      </c>
      <c r="F247" s="690" t="s">
        <v>469</v>
      </c>
      <c r="G247" s="690" t="s">
        <v>2731</v>
      </c>
      <c r="H247" s="691">
        <v>471012</v>
      </c>
      <c r="I247" s="692">
        <v>16948903600</v>
      </c>
      <c r="J247" s="692">
        <v>2.7713302168996901</v>
      </c>
      <c r="K247" s="692">
        <v>0</v>
      </c>
      <c r="L247" s="693"/>
      <c r="M247" s="692">
        <v>0</v>
      </c>
      <c r="N247" s="694">
        <v>47298071.850000001</v>
      </c>
      <c r="O247" s="693"/>
      <c r="P247" s="693"/>
      <c r="Q247" s="693"/>
      <c r="R247" s="693"/>
      <c r="S247" s="498">
        <v>2.89485301427132</v>
      </c>
      <c r="T247" s="692">
        <v>1.71427593974953</v>
      </c>
      <c r="U247" s="692">
        <v>1.1805770745218001</v>
      </c>
      <c r="V247" s="498">
        <v>72301884.574880004</v>
      </c>
      <c r="W247" s="692">
        <v>49792419.875119999</v>
      </c>
      <c r="X247" s="692">
        <v>0</v>
      </c>
      <c r="Y247" s="692">
        <v>0</v>
      </c>
      <c r="Z247" s="692">
        <v>0</v>
      </c>
      <c r="AA247" s="692">
        <v>0</v>
      </c>
      <c r="AB247" s="692">
        <v>0</v>
      </c>
      <c r="AC247" s="692">
        <v>0</v>
      </c>
      <c r="AD247" s="692">
        <v>0</v>
      </c>
      <c r="AE247" s="692">
        <v>0</v>
      </c>
      <c r="AF247" s="692">
        <v>0</v>
      </c>
      <c r="AG247" s="692">
        <v>0</v>
      </c>
      <c r="AH247" s="692">
        <v>0</v>
      </c>
      <c r="AI247" s="692">
        <v>0</v>
      </c>
      <c r="AJ247" s="692">
        <v>0</v>
      </c>
      <c r="AK247" s="692">
        <v>0</v>
      </c>
      <c r="AL247" s="692">
        <v>0</v>
      </c>
      <c r="AM247" s="692">
        <v>0</v>
      </c>
      <c r="AN247" s="692">
        <v>0</v>
      </c>
      <c r="AO247" s="692">
        <v>0</v>
      </c>
      <c r="AP247" s="498">
        <v>0</v>
      </c>
      <c r="AQ247" s="498">
        <v>0</v>
      </c>
      <c r="AR247" s="692">
        <v>1.71427593974953</v>
      </c>
      <c r="AS247" s="692">
        <v>1.1805770745218001</v>
      </c>
      <c r="AT247" s="498">
        <v>72301884.574880004</v>
      </c>
      <c r="AU247" s="695">
        <v>49792419.875119999</v>
      </c>
    </row>
    <row r="248" spans="1:47" ht="12" thickBot="1">
      <c r="A248" s="937"/>
      <c r="B248" s="937"/>
      <c r="C248" s="936" t="s">
        <v>2732</v>
      </c>
      <c r="D248" s="936" t="s">
        <v>2733</v>
      </c>
      <c r="E248" s="936" t="s">
        <v>2733</v>
      </c>
      <c r="F248" s="936" t="s">
        <v>2733</v>
      </c>
      <c r="G248" s="690" t="s">
        <v>3948</v>
      </c>
      <c r="H248" s="691">
        <v>471021</v>
      </c>
      <c r="I248" s="692">
        <v>0</v>
      </c>
      <c r="J248" s="692">
        <v>0</v>
      </c>
      <c r="K248" s="692">
        <v>0</v>
      </c>
      <c r="L248" s="693"/>
      <c r="M248" s="692">
        <v>6680641.21</v>
      </c>
      <c r="N248" s="694">
        <v>0</v>
      </c>
      <c r="O248" s="693"/>
      <c r="P248" s="693"/>
      <c r="Q248" s="693"/>
      <c r="R248" s="693"/>
      <c r="S248" s="498">
        <v>3.1395067126587901</v>
      </c>
      <c r="T248" s="692">
        <v>0.97012280083187197</v>
      </c>
      <c r="U248" s="692">
        <v>-2.1693839118269098</v>
      </c>
      <c r="V248" s="498">
        <v>2064350.5350269999</v>
      </c>
      <c r="W248" s="692">
        <v>-4616290.6749729998</v>
      </c>
      <c r="X248" s="692">
        <v>0</v>
      </c>
      <c r="Y248" s="692">
        <v>0</v>
      </c>
      <c r="Z248" s="692">
        <v>0</v>
      </c>
      <c r="AA248" s="692">
        <v>0</v>
      </c>
      <c r="AB248" s="692">
        <v>0</v>
      </c>
      <c r="AC248" s="692">
        <v>0</v>
      </c>
      <c r="AD248" s="692">
        <v>0</v>
      </c>
      <c r="AE248" s="692">
        <v>0</v>
      </c>
      <c r="AF248" s="692">
        <v>0</v>
      </c>
      <c r="AG248" s="692">
        <v>0</v>
      </c>
      <c r="AH248" s="692">
        <v>0</v>
      </c>
      <c r="AI248" s="692">
        <v>0</v>
      </c>
      <c r="AJ248" s="692">
        <v>0</v>
      </c>
      <c r="AK248" s="692">
        <v>0</v>
      </c>
      <c r="AL248" s="692">
        <v>0</v>
      </c>
      <c r="AM248" s="692">
        <v>0</v>
      </c>
      <c r="AN248" s="692">
        <v>0</v>
      </c>
      <c r="AO248" s="692">
        <v>0</v>
      </c>
      <c r="AP248" s="498">
        <v>0</v>
      </c>
      <c r="AQ248" s="498">
        <v>0</v>
      </c>
      <c r="AR248" s="692">
        <v>0.97012280083187197</v>
      </c>
      <c r="AS248" s="692">
        <v>-2.1693839118269098</v>
      </c>
      <c r="AT248" s="498">
        <v>2064350.5350269999</v>
      </c>
      <c r="AU248" s="695">
        <v>-4616290.6749729998</v>
      </c>
    </row>
    <row r="249" spans="1:47" ht="12" thickBot="1">
      <c r="A249" s="937"/>
      <c r="B249" s="937"/>
      <c r="C249" s="937"/>
      <c r="D249" s="937"/>
      <c r="E249" s="937"/>
      <c r="F249" s="937"/>
      <c r="G249" s="690" t="s">
        <v>3403</v>
      </c>
      <c r="H249" s="691">
        <v>471023</v>
      </c>
      <c r="I249" s="692">
        <v>0</v>
      </c>
      <c r="J249" s="692">
        <v>0</v>
      </c>
      <c r="K249" s="692">
        <v>0</v>
      </c>
      <c r="L249" s="693"/>
      <c r="M249" s="692">
        <v>-5820380.7199999997</v>
      </c>
      <c r="N249" s="694">
        <v>0</v>
      </c>
      <c r="O249" s="693"/>
      <c r="P249" s="693"/>
      <c r="Q249" s="693"/>
      <c r="R249" s="693"/>
      <c r="S249" s="498">
        <v>-497.187692220261</v>
      </c>
      <c r="T249" s="692">
        <v>0</v>
      </c>
      <c r="U249" s="692">
        <v>497.18769222030102</v>
      </c>
      <c r="V249" s="498">
        <v>0</v>
      </c>
      <c r="W249" s="692">
        <v>5820380.7199999997</v>
      </c>
      <c r="X249" s="692">
        <v>0</v>
      </c>
      <c r="Y249" s="692">
        <v>0</v>
      </c>
      <c r="Z249" s="692">
        <v>0</v>
      </c>
      <c r="AA249" s="692">
        <v>0</v>
      </c>
      <c r="AB249" s="692">
        <v>0</v>
      </c>
      <c r="AC249" s="692">
        <v>0</v>
      </c>
      <c r="AD249" s="692">
        <v>0</v>
      </c>
      <c r="AE249" s="692">
        <v>0</v>
      </c>
      <c r="AF249" s="692">
        <v>0</v>
      </c>
      <c r="AG249" s="692">
        <v>0</v>
      </c>
      <c r="AH249" s="692">
        <v>0</v>
      </c>
      <c r="AI249" s="692">
        <v>0</v>
      </c>
      <c r="AJ249" s="692">
        <v>0</v>
      </c>
      <c r="AK249" s="692">
        <v>0</v>
      </c>
      <c r="AL249" s="692">
        <v>0</v>
      </c>
      <c r="AM249" s="692">
        <v>0</v>
      </c>
      <c r="AN249" s="692">
        <v>0</v>
      </c>
      <c r="AO249" s="692">
        <v>0</v>
      </c>
      <c r="AP249" s="498">
        <v>0</v>
      </c>
      <c r="AQ249" s="498">
        <v>0</v>
      </c>
      <c r="AR249" s="692">
        <v>0</v>
      </c>
      <c r="AS249" s="692">
        <v>497.18769222030102</v>
      </c>
      <c r="AT249" s="498">
        <v>0</v>
      </c>
      <c r="AU249" s="695">
        <v>5820380.7199999997</v>
      </c>
    </row>
    <row r="250" spans="1:47" ht="12" thickBot="1">
      <c r="A250" s="937"/>
      <c r="B250" s="937"/>
      <c r="C250" s="937"/>
      <c r="D250" s="938"/>
      <c r="E250" s="938"/>
      <c r="F250" s="938"/>
      <c r="G250" s="690" t="s">
        <v>2734</v>
      </c>
      <c r="H250" s="691">
        <v>471027</v>
      </c>
      <c r="I250" s="692">
        <v>0</v>
      </c>
      <c r="J250" s="692">
        <v>0</v>
      </c>
      <c r="K250" s="692">
        <v>0</v>
      </c>
      <c r="L250" s="693"/>
      <c r="M250" s="692">
        <v>11472818.59</v>
      </c>
      <c r="N250" s="694">
        <v>0</v>
      </c>
      <c r="O250" s="693"/>
      <c r="P250" s="693"/>
      <c r="Q250" s="693"/>
      <c r="R250" s="693"/>
      <c r="S250" s="498">
        <v>3.1539849954681798</v>
      </c>
      <c r="T250" s="692">
        <v>2.0124282232191901</v>
      </c>
      <c r="U250" s="692">
        <v>-1.1415567722489901</v>
      </c>
      <c r="V250" s="498">
        <v>7118878.0818309998</v>
      </c>
      <c r="W250" s="692">
        <v>-4038207.8681689999</v>
      </c>
      <c r="X250" s="692">
        <v>0</v>
      </c>
      <c r="Y250" s="692">
        <v>0</v>
      </c>
      <c r="Z250" s="692">
        <v>0</v>
      </c>
      <c r="AA250" s="692">
        <v>0</v>
      </c>
      <c r="AB250" s="692">
        <v>0</v>
      </c>
      <c r="AC250" s="692">
        <v>0</v>
      </c>
      <c r="AD250" s="692">
        <v>0</v>
      </c>
      <c r="AE250" s="692">
        <v>0</v>
      </c>
      <c r="AF250" s="692">
        <v>0</v>
      </c>
      <c r="AG250" s="692">
        <v>0</v>
      </c>
      <c r="AH250" s="692">
        <v>0</v>
      </c>
      <c r="AI250" s="692">
        <v>0</v>
      </c>
      <c r="AJ250" s="692">
        <v>0</v>
      </c>
      <c r="AK250" s="692">
        <v>0</v>
      </c>
      <c r="AL250" s="692">
        <v>0</v>
      </c>
      <c r="AM250" s="692">
        <v>0</v>
      </c>
      <c r="AN250" s="692">
        <v>0</v>
      </c>
      <c r="AO250" s="692">
        <v>0</v>
      </c>
      <c r="AP250" s="498">
        <v>0</v>
      </c>
      <c r="AQ250" s="498">
        <v>0</v>
      </c>
      <c r="AR250" s="692">
        <v>2.0124282232191901</v>
      </c>
      <c r="AS250" s="692">
        <v>-1.1415567722489901</v>
      </c>
      <c r="AT250" s="498">
        <v>7118878.0818309998</v>
      </c>
      <c r="AU250" s="695">
        <v>-4038207.8681689999</v>
      </c>
    </row>
    <row r="251" spans="1:47" ht="12" thickBot="1">
      <c r="A251" s="937"/>
      <c r="B251" s="937"/>
      <c r="C251" s="937"/>
      <c r="D251" s="936" t="s">
        <v>470</v>
      </c>
      <c r="E251" s="936" t="s">
        <v>470</v>
      </c>
      <c r="F251" s="936" t="s">
        <v>470</v>
      </c>
      <c r="G251" s="690" t="s">
        <v>2735</v>
      </c>
      <c r="H251" s="691">
        <v>471051</v>
      </c>
      <c r="I251" s="692">
        <v>4496594835.5799999</v>
      </c>
      <c r="J251" s="692">
        <v>3.06794979859046</v>
      </c>
      <c r="K251" s="692">
        <v>0</v>
      </c>
      <c r="L251" s="693"/>
      <c r="M251" s="692">
        <v>0</v>
      </c>
      <c r="N251" s="694">
        <v>129561745.81</v>
      </c>
      <c r="O251" s="693"/>
      <c r="P251" s="693"/>
      <c r="Q251" s="693"/>
      <c r="R251" s="693"/>
      <c r="S251" s="498">
        <v>3.3687186465390102</v>
      </c>
      <c r="T251" s="692">
        <v>2.4999812949019802</v>
      </c>
      <c r="U251" s="692">
        <v>0.86873735163703403</v>
      </c>
      <c r="V251" s="498">
        <v>116558436.392259</v>
      </c>
      <c r="W251" s="692">
        <v>40503769.987741001</v>
      </c>
      <c r="X251" s="692">
        <v>0</v>
      </c>
      <c r="Y251" s="692">
        <v>0</v>
      </c>
      <c r="Z251" s="692">
        <v>0</v>
      </c>
      <c r="AA251" s="692">
        <v>0</v>
      </c>
      <c r="AB251" s="692">
        <v>0</v>
      </c>
      <c r="AC251" s="692">
        <v>0</v>
      </c>
      <c r="AD251" s="692">
        <v>0</v>
      </c>
      <c r="AE251" s="692">
        <v>0</v>
      </c>
      <c r="AF251" s="692">
        <v>0</v>
      </c>
      <c r="AG251" s="692">
        <v>0</v>
      </c>
      <c r="AH251" s="692">
        <v>0</v>
      </c>
      <c r="AI251" s="692">
        <v>0</v>
      </c>
      <c r="AJ251" s="692">
        <v>0</v>
      </c>
      <c r="AK251" s="692">
        <v>0</v>
      </c>
      <c r="AL251" s="692">
        <v>0</v>
      </c>
      <c r="AM251" s="692">
        <v>0</v>
      </c>
      <c r="AN251" s="692">
        <v>0</v>
      </c>
      <c r="AO251" s="692">
        <v>0</v>
      </c>
      <c r="AP251" s="498">
        <v>0</v>
      </c>
      <c r="AQ251" s="498">
        <v>0</v>
      </c>
      <c r="AR251" s="692">
        <v>2.4999812949019802</v>
      </c>
      <c r="AS251" s="692">
        <v>0.86873735163703403</v>
      </c>
      <c r="AT251" s="498">
        <v>116558436.392259</v>
      </c>
      <c r="AU251" s="695">
        <v>40503769.987741001</v>
      </c>
    </row>
    <row r="252" spans="1:47" ht="12" thickBot="1">
      <c r="A252" s="937"/>
      <c r="B252" s="937"/>
      <c r="C252" s="937"/>
      <c r="D252" s="937"/>
      <c r="E252" s="937"/>
      <c r="F252" s="937"/>
      <c r="G252" s="690" t="s">
        <v>3404</v>
      </c>
      <c r="H252" s="691">
        <v>471052</v>
      </c>
      <c r="I252" s="692">
        <v>1298399761.1400001</v>
      </c>
      <c r="J252" s="692">
        <v>2.5007355345068998</v>
      </c>
      <c r="K252" s="692">
        <v>0</v>
      </c>
      <c r="L252" s="693"/>
      <c r="M252" s="692">
        <v>0</v>
      </c>
      <c r="N252" s="694">
        <v>5689860.2599999998</v>
      </c>
      <c r="O252" s="693"/>
      <c r="P252" s="693"/>
      <c r="Q252" s="693"/>
      <c r="R252" s="693"/>
      <c r="S252" s="498">
        <v>6.4054499219551904</v>
      </c>
      <c r="T252" s="692">
        <v>1.1629224086750101</v>
      </c>
      <c r="U252" s="692">
        <v>5.2425275132801703</v>
      </c>
      <c r="V252" s="498">
        <v>670279.36539799999</v>
      </c>
      <c r="W252" s="692">
        <v>3021661.6246020002</v>
      </c>
      <c r="X252" s="692">
        <v>0</v>
      </c>
      <c r="Y252" s="692">
        <v>0</v>
      </c>
      <c r="Z252" s="692">
        <v>0</v>
      </c>
      <c r="AA252" s="692">
        <v>0</v>
      </c>
      <c r="AB252" s="692">
        <v>0</v>
      </c>
      <c r="AC252" s="692">
        <v>0</v>
      </c>
      <c r="AD252" s="692">
        <v>0</v>
      </c>
      <c r="AE252" s="692">
        <v>0</v>
      </c>
      <c r="AF252" s="692">
        <v>0</v>
      </c>
      <c r="AG252" s="692">
        <v>0</v>
      </c>
      <c r="AH252" s="692">
        <v>0</v>
      </c>
      <c r="AI252" s="692">
        <v>0</v>
      </c>
      <c r="AJ252" s="692">
        <v>0</v>
      </c>
      <c r="AK252" s="692">
        <v>0</v>
      </c>
      <c r="AL252" s="692">
        <v>0</v>
      </c>
      <c r="AM252" s="692">
        <v>0</v>
      </c>
      <c r="AN252" s="692">
        <v>0</v>
      </c>
      <c r="AO252" s="692">
        <v>0</v>
      </c>
      <c r="AP252" s="498">
        <v>0</v>
      </c>
      <c r="AQ252" s="498">
        <v>0</v>
      </c>
      <c r="AR252" s="692">
        <v>1.1629224086750101</v>
      </c>
      <c r="AS252" s="692">
        <v>5.2425275132801703</v>
      </c>
      <c r="AT252" s="498">
        <v>670279.36539799999</v>
      </c>
      <c r="AU252" s="695">
        <v>3021661.6246020002</v>
      </c>
    </row>
    <row r="253" spans="1:47" ht="12" thickBot="1">
      <c r="A253" s="937"/>
      <c r="B253" s="937"/>
      <c r="C253" s="937"/>
      <c r="D253" s="937"/>
      <c r="E253" s="937"/>
      <c r="F253" s="937"/>
      <c r="G253" s="690" t="s">
        <v>3405</v>
      </c>
      <c r="H253" s="691">
        <v>471053</v>
      </c>
      <c r="I253" s="692">
        <v>10814748790.639999</v>
      </c>
      <c r="J253" s="692">
        <v>2.6047238938509798</v>
      </c>
      <c r="K253" s="692">
        <v>0</v>
      </c>
      <c r="L253" s="693"/>
      <c r="M253" s="692">
        <v>0</v>
      </c>
      <c r="N253" s="694">
        <v>14016509.248299999</v>
      </c>
      <c r="O253" s="693"/>
      <c r="P253" s="693"/>
      <c r="Q253" s="693"/>
      <c r="R253" s="693"/>
      <c r="S253" s="498">
        <v>4.6935131884032097</v>
      </c>
      <c r="T253" s="692">
        <v>1.11134914461342</v>
      </c>
      <c r="U253" s="692">
        <v>3.5821640437897999</v>
      </c>
      <c r="V253" s="498">
        <v>13261591.383462001</v>
      </c>
      <c r="W253" s="692">
        <v>42745518.856537998</v>
      </c>
      <c r="X253" s="692">
        <v>0</v>
      </c>
      <c r="Y253" s="692">
        <v>0</v>
      </c>
      <c r="Z253" s="692">
        <v>0</v>
      </c>
      <c r="AA253" s="692">
        <v>0</v>
      </c>
      <c r="AB253" s="692">
        <v>0</v>
      </c>
      <c r="AC253" s="692">
        <v>0</v>
      </c>
      <c r="AD253" s="692">
        <v>0</v>
      </c>
      <c r="AE253" s="692">
        <v>0</v>
      </c>
      <c r="AF253" s="692">
        <v>0</v>
      </c>
      <c r="AG253" s="692">
        <v>0</v>
      </c>
      <c r="AH253" s="692">
        <v>0</v>
      </c>
      <c r="AI253" s="692">
        <v>0</v>
      </c>
      <c r="AJ253" s="692">
        <v>0</v>
      </c>
      <c r="AK253" s="692">
        <v>0</v>
      </c>
      <c r="AL253" s="692">
        <v>0</v>
      </c>
      <c r="AM253" s="692">
        <v>0</v>
      </c>
      <c r="AN253" s="692">
        <v>0</v>
      </c>
      <c r="AO253" s="692">
        <v>0</v>
      </c>
      <c r="AP253" s="498">
        <v>0</v>
      </c>
      <c r="AQ253" s="498">
        <v>0</v>
      </c>
      <c r="AR253" s="692">
        <v>1.11134914461342</v>
      </c>
      <c r="AS253" s="692">
        <v>3.5821640437897999</v>
      </c>
      <c r="AT253" s="498">
        <v>13261591.383462001</v>
      </c>
      <c r="AU253" s="695">
        <v>42745518.856537998</v>
      </c>
    </row>
    <row r="254" spans="1:47" ht="12" thickBot="1">
      <c r="A254" s="937"/>
      <c r="B254" s="937"/>
      <c r="C254" s="937"/>
      <c r="D254" s="937"/>
      <c r="E254" s="937"/>
      <c r="F254" s="937"/>
      <c r="G254" s="690" t="s">
        <v>3406</v>
      </c>
      <c r="H254" s="691">
        <v>471054</v>
      </c>
      <c r="I254" s="692">
        <v>0</v>
      </c>
      <c r="J254" s="692">
        <v>0</v>
      </c>
      <c r="K254" s="692">
        <v>0</v>
      </c>
      <c r="L254" s="693"/>
      <c r="M254" s="692">
        <v>0</v>
      </c>
      <c r="N254" s="694">
        <v>7896960.1816999996</v>
      </c>
      <c r="O254" s="693"/>
      <c r="P254" s="693"/>
      <c r="Q254" s="693"/>
      <c r="R254" s="693"/>
      <c r="S254" s="498">
        <v>4.8971250109785398</v>
      </c>
      <c r="T254" s="692">
        <v>1.2020782469965801</v>
      </c>
      <c r="U254" s="692">
        <v>3.6950467639819702</v>
      </c>
      <c r="V254" s="498">
        <v>9853540.5912730005</v>
      </c>
      <c r="W254" s="692">
        <v>30288621.698727001</v>
      </c>
      <c r="X254" s="692">
        <v>0</v>
      </c>
      <c r="Y254" s="692">
        <v>0</v>
      </c>
      <c r="Z254" s="692">
        <v>0</v>
      </c>
      <c r="AA254" s="692">
        <v>0</v>
      </c>
      <c r="AB254" s="692">
        <v>0</v>
      </c>
      <c r="AC254" s="692">
        <v>0</v>
      </c>
      <c r="AD254" s="692">
        <v>0</v>
      </c>
      <c r="AE254" s="692">
        <v>0</v>
      </c>
      <c r="AF254" s="692">
        <v>0</v>
      </c>
      <c r="AG254" s="692">
        <v>0</v>
      </c>
      <c r="AH254" s="692">
        <v>0</v>
      </c>
      <c r="AI254" s="692">
        <v>0</v>
      </c>
      <c r="AJ254" s="692">
        <v>0</v>
      </c>
      <c r="AK254" s="692">
        <v>0</v>
      </c>
      <c r="AL254" s="692">
        <v>0</v>
      </c>
      <c r="AM254" s="692">
        <v>0</v>
      </c>
      <c r="AN254" s="692">
        <v>0</v>
      </c>
      <c r="AO254" s="692">
        <v>0</v>
      </c>
      <c r="AP254" s="498">
        <v>0</v>
      </c>
      <c r="AQ254" s="498">
        <v>0</v>
      </c>
      <c r="AR254" s="692">
        <v>1.2020782469965801</v>
      </c>
      <c r="AS254" s="692">
        <v>3.6950467639819702</v>
      </c>
      <c r="AT254" s="498">
        <v>9853540.5912730005</v>
      </c>
      <c r="AU254" s="695">
        <v>30288621.698727001</v>
      </c>
    </row>
    <row r="255" spans="1:47" ht="12" thickBot="1">
      <c r="A255" s="937"/>
      <c r="B255" s="938"/>
      <c r="C255" s="938"/>
      <c r="D255" s="938"/>
      <c r="E255" s="938"/>
      <c r="F255" s="938"/>
      <c r="G255" s="690" t="s">
        <v>2736</v>
      </c>
      <c r="H255" s="691">
        <v>471057</v>
      </c>
      <c r="I255" s="692">
        <v>0</v>
      </c>
      <c r="J255" s="692">
        <v>0</v>
      </c>
      <c r="K255" s="692">
        <v>0</v>
      </c>
      <c r="L255" s="693"/>
      <c r="M255" s="692">
        <v>0</v>
      </c>
      <c r="N255" s="694">
        <v>75224913.010000005</v>
      </c>
      <c r="O255" s="693"/>
      <c r="P255" s="693"/>
      <c r="Q255" s="693"/>
      <c r="R255" s="693"/>
      <c r="S255" s="498">
        <v>2.4534459491875702</v>
      </c>
      <c r="T255" s="692">
        <v>1.97909379567179</v>
      </c>
      <c r="U255" s="692">
        <v>0.47435215351578502</v>
      </c>
      <c r="V255" s="498">
        <v>60713190.027462997</v>
      </c>
      <c r="W255" s="692">
        <v>14551827.962537</v>
      </c>
      <c r="X255" s="692">
        <v>0</v>
      </c>
      <c r="Y255" s="692">
        <v>0</v>
      </c>
      <c r="Z255" s="692">
        <v>0</v>
      </c>
      <c r="AA255" s="692">
        <v>0</v>
      </c>
      <c r="AB255" s="692">
        <v>0</v>
      </c>
      <c r="AC255" s="692">
        <v>0</v>
      </c>
      <c r="AD255" s="692">
        <v>0</v>
      </c>
      <c r="AE255" s="692">
        <v>0</v>
      </c>
      <c r="AF255" s="692">
        <v>0</v>
      </c>
      <c r="AG255" s="692">
        <v>0</v>
      </c>
      <c r="AH255" s="692">
        <v>0</v>
      </c>
      <c r="AI255" s="692">
        <v>0</v>
      </c>
      <c r="AJ255" s="692">
        <v>0</v>
      </c>
      <c r="AK255" s="692">
        <v>0</v>
      </c>
      <c r="AL255" s="692">
        <v>0</v>
      </c>
      <c r="AM255" s="692">
        <v>0</v>
      </c>
      <c r="AN255" s="692">
        <v>0</v>
      </c>
      <c r="AO255" s="692">
        <v>0</v>
      </c>
      <c r="AP255" s="498">
        <v>0</v>
      </c>
      <c r="AQ255" s="498">
        <v>0</v>
      </c>
      <c r="AR255" s="692">
        <v>1.97909379567179</v>
      </c>
      <c r="AS255" s="692">
        <v>0.47435215351578502</v>
      </c>
      <c r="AT255" s="498">
        <v>60713190.027462997</v>
      </c>
      <c r="AU255" s="695">
        <v>14551827.962537</v>
      </c>
    </row>
    <row r="256" spans="1:47" ht="12" thickBot="1">
      <c r="A256" s="937"/>
      <c r="B256" s="936" t="s">
        <v>2737</v>
      </c>
      <c r="C256" s="936" t="s">
        <v>2737</v>
      </c>
      <c r="D256" s="936" t="s">
        <v>2737</v>
      </c>
      <c r="E256" s="936" t="s">
        <v>2737</v>
      </c>
      <c r="F256" s="690" t="s">
        <v>2738</v>
      </c>
      <c r="G256" s="690" t="s">
        <v>2738</v>
      </c>
      <c r="H256" s="691">
        <v>471512</v>
      </c>
      <c r="I256" s="692">
        <v>0</v>
      </c>
      <c r="J256" s="692">
        <v>0</v>
      </c>
      <c r="K256" s="692">
        <v>0</v>
      </c>
      <c r="L256" s="693"/>
      <c r="M256" s="692">
        <v>0</v>
      </c>
      <c r="N256" s="694">
        <v>2138784.5699999998</v>
      </c>
      <c r="O256" s="693"/>
      <c r="P256" s="693"/>
      <c r="Q256" s="693"/>
      <c r="R256" s="693"/>
      <c r="S256" s="498">
        <v>2.0442481768831202</v>
      </c>
      <c r="T256" s="692">
        <v>3.4314471893034799</v>
      </c>
      <c r="U256" s="692">
        <v>-1.3871990124203599</v>
      </c>
      <c r="V256" s="498">
        <v>2165749.455544</v>
      </c>
      <c r="W256" s="692">
        <v>-875527.24554399995</v>
      </c>
      <c r="X256" s="692">
        <v>0</v>
      </c>
      <c r="Y256" s="692">
        <v>0</v>
      </c>
      <c r="Z256" s="692">
        <v>0</v>
      </c>
      <c r="AA256" s="692">
        <v>0</v>
      </c>
      <c r="AB256" s="692">
        <v>0</v>
      </c>
      <c r="AC256" s="692">
        <v>0</v>
      </c>
      <c r="AD256" s="692">
        <v>0</v>
      </c>
      <c r="AE256" s="692">
        <v>0</v>
      </c>
      <c r="AF256" s="692">
        <v>0</v>
      </c>
      <c r="AG256" s="692">
        <v>0</v>
      </c>
      <c r="AH256" s="692">
        <v>0</v>
      </c>
      <c r="AI256" s="692">
        <v>0</v>
      </c>
      <c r="AJ256" s="692">
        <v>0</v>
      </c>
      <c r="AK256" s="692">
        <v>0</v>
      </c>
      <c r="AL256" s="692">
        <v>0</v>
      </c>
      <c r="AM256" s="692">
        <v>0</v>
      </c>
      <c r="AN256" s="692">
        <v>0</v>
      </c>
      <c r="AO256" s="692">
        <v>0</v>
      </c>
      <c r="AP256" s="498">
        <v>0</v>
      </c>
      <c r="AQ256" s="498">
        <v>0</v>
      </c>
      <c r="AR256" s="692">
        <v>3.4314471893034799</v>
      </c>
      <c r="AS256" s="692">
        <v>-1.3871990124203599</v>
      </c>
      <c r="AT256" s="498">
        <v>2165749.455544</v>
      </c>
      <c r="AU256" s="695">
        <v>-875527.24554399995</v>
      </c>
    </row>
    <row r="257" spans="1:47" ht="12" thickBot="1">
      <c r="A257" s="937"/>
      <c r="B257" s="937"/>
      <c r="C257" s="937"/>
      <c r="D257" s="937"/>
      <c r="E257" s="937"/>
      <c r="F257" s="936" t="s">
        <v>2585</v>
      </c>
      <c r="G257" s="690" t="s">
        <v>2585</v>
      </c>
      <c r="H257" s="691">
        <v>471592</v>
      </c>
      <c r="I257" s="692">
        <v>550000000</v>
      </c>
      <c r="J257" s="692">
        <v>1.88636363636364</v>
      </c>
      <c r="K257" s="692">
        <v>0</v>
      </c>
      <c r="L257" s="693"/>
      <c r="M257" s="692">
        <v>0</v>
      </c>
      <c r="N257" s="694">
        <v>9143278.4299999997</v>
      </c>
      <c r="O257" s="693"/>
      <c r="P257" s="693"/>
      <c r="Q257" s="693"/>
      <c r="R257" s="693"/>
      <c r="S257" s="498">
        <v>2.5615089615731499</v>
      </c>
      <c r="T257" s="692">
        <v>1.9955631928825801</v>
      </c>
      <c r="U257" s="692">
        <v>0.56594576869056401</v>
      </c>
      <c r="V257" s="498">
        <v>12229268.524382999</v>
      </c>
      <c r="W257" s="692">
        <v>3468245.3556169998</v>
      </c>
      <c r="X257" s="692">
        <v>0</v>
      </c>
      <c r="Y257" s="692">
        <v>0</v>
      </c>
      <c r="Z257" s="692">
        <v>0</v>
      </c>
      <c r="AA257" s="692">
        <v>0</v>
      </c>
      <c r="AB257" s="692">
        <v>0</v>
      </c>
      <c r="AC257" s="692">
        <v>0</v>
      </c>
      <c r="AD257" s="692">
        <v>0</v>
      </c>
      <c r="AE257" s="692">
        <v>0</v>
      </c>
      <c r="AF257" s="692">
        <v>0</v>
      </c>
      <c r="AG257" s="692">
        <v>0</v>
      </c>
      <c r="AH257" s="692">
        <v>0</v>
      </c>
      <c r="AI257" s="692">
        <v>0</v>
      </c>
      <c r="AJ257" s="692">
        <v>0</v>
      </c>
      <c r="AK257" s="692">
        <v>0</v>
      </c>
      <c r="AL257" s="692">
        <v>0</v>
      </c>
      <c r="AM257" s="692">
        <v>0</v>
      </c>
      <c r="AN257" s="692">
        <v>0</v>
      </c>
      <c r="AO257" s="692">
        <v>0</v>
      </c>
      <c r="AP257" s="498">
        <v>0</v>
      </c>
      <c r="AQ257" s="498">
        <v>0</v>
      </c>
      <c r="AR257" s="692">
        <v>1.9955631928825801</v>
      </c>
      <c r="AS257" s="692">
        <v>0.56594576869056401</v>
      </c>
      <c r="AT257" s="498">
        <v>12229268.524382999</v>
      </c>
      <c r="AU257" s="695">
        <v>3468245.3556169998</v>
      </c>
    </row>
    <row r="258" spans="1:47" ht="12" thickBot="1">
      <c r="A258" s="937"/>
      <c r="B258" s="938"/>
      <c r="C258" s="938"/>
      <c r="D258" s="938"/>
      <c r="E258" s="938"/>
      <c r="F258" s="938"/>
      <c r="G258" s="690" t="s">
        <v>3949</v>
      </c>
      <c r="H258" s="691">
        <v>471593</v>
      </c>
      <c r="I258" s="692">
        <v>513135100</v>
      </c>
      <c r="J258" s="692">
        <v>0</v>
      </c>
      <c r="K258" s="692">
        <v>0</v>
      </c>
      <c r="L258" s="693"/>
      <c r="M258" s="692">
        <v>0</v>
      </c>
      <c r="N258" s="694">
        <v>0</v>
      </c>
      <c r="O258" s="693"/>
      <c r="P258" s="693"/>
      <c r="Q258" s="693"/>
      <c r="R258" s="693"/>
      <c r="S258" s="498">
        <v>0</v>
      </c>
      <c r="T258" s="692">
        <v>3.1516666666587398</v>
      </c>
      <c r="U258" s="692">
        <v>-3.1516666666587398</v>
      </c>
      <c r="V258" s="498">
        <v>5037276.2316539995</v>
      </c>
      <c r="W258" s="692">
        <v>-5037276.2316539995</v>
      </c>
      <c r="X258" s="692">
        <v>0</v>
      </c>
      <c r="Y258" s="692">
        <v>0</v>
      </c>
      <c r="Z258" s="692">
        <v>0</v>
      </c>
      <c r="AA258" s="692">
        <v>0</v>
      </c>
      <c r="AB258" s="692">
        <v>0</v>
      </c>
      <c r="AC258" s="692">
        <v>0</v>
      </c>
      <c r="AD258" s="692">
        <v>0</v>
      </c>
      <c r="AE258" s="692">
        <v>0</v>
      </c>
      <c r="AF258" s="692">
        <v>0</v>
      </c>
      <c r="AG258" s="692">
        <v>0</v>
      </c>
      <c r="AH258" s="692">
        <v>0</v>
      </c>
      <c r="AI258" s="692">
        <v>0</v>
      </c>
      <c r="AJ258" s="692">
        <v>0</v>
      </c>
      <c r="AK258" s="692">
        <v>0</v>
      </c>
      <c r="AL258" s="692">
        <v>0</v>
      </c>
      <c r="AM258" s="692">
        <v>0</v>
      </c>
      <c r="AN258" s="692">
        <v>0</v>
      </c>
      <c r="AO258" s="692">
        <v>0</v>
      </c>
      <c r="AP258" s="498">
        <v>0</v>
      </c>
      <c r="AQ258" s="498">
        <v>0</v>
      </c>
      <c r="AR258" s="692">
        <v>3.1516666666587398</v>
      </c>
      <c r="AS258" s="692">
        <v>-3.1516666666587398</v>
      </c>
      <c r="AT258" s="498">
        <v>5037276.2316539995</v>
      </c>
      <c r="AU258" s="695">
        <v>-5037276.2316539995</v>
      </c>
    </row>
    <row r="259" spans="1:47" ht="12" thickBot="1">
      <c r="A259" s="937"/>
      <c r="B259" s="936" t="s">
        <v>2739</v>
      </c>
      <c r="C259" s="936" t="s">
        <v>2739</v>
      </c>
      <c r="D259" s="936" t="s">
        <v>2739</v>
      </c>
      <c r="E259" s="936" t="s">
        <v>2739</v>
      </c>
      <c r="F259" s="690" t="s">
        <v>2740</v>
      </c>
      <c r="G259" s="690" t="s">
        <v>2740</v>
      </c>
      <c r="H259" s="691">
        <v>472501</v>
      </c>
      <c r="I259" s="692">
        <v>1000000000</v>
      </c>
      <c r="J259" s="692">
        <v>2.08</v>
      </c>
      <c r="K259" s="692">
        <v>0</v>
      </c>
      <c r="L259" s="693"/>
      <c r="M259" s="692">
        <v>12807738.93</v>
      </c>
      <c r="N259" s="694">
        <v>0</v>
      </c>
      <c r="O259" s="693"/>
      <c r="P259" s="693"/>
      <c r="Q259" s="693"/>
      <c r="R259" s="693"/>
      <c r="S259" s="498">
        <v>2.1356331508153898</v>
      </c>
      <c r="T259" s="692">
        <v>2.1288232228650998</v>
      </c>
      <c r="U259" s="692">
        <v>-6.8099279502889997E-3</v>
      </c>
      <c r="V259" s="498">
        <v>10236382.486121001</v>
      </c>
      <c r="W259" s="692">
        <v>-32745.333879000002</v>
      </c>
      <c r="X259" s="692">
        <v>0</v>
      </c>
      <c r="Y259" s="692">
        <v>0</v>
      </c>
      <c r="Z259" s="692">
        <v>0</v>
      </c>
      <c r="AA259" s="692">
        <v>0</v>
      </c>
      <c r="AB259" s="692">
        <v>0</v>
      </c>
      <c r="AC259" s="692">
        <v>0</v>
      </c>
      <c r="AD259" s="692">
        <v>0</v>
      </c>
      <c r="AE259" s="692">
        <v>0</v>
      </c>
      <c r="AF259" s="692">
        <v>0</v>
      </c>
      <c r="AG259" s="692">
        <v>0</v>
      </c>
      <c r="AH259" s="692">
        <v>0</v>
      </c>
      <c r="AI259" s="692">
        <v>0</v>
      </c>
      <c r="AJ259" s="692">
        <v>0</v>
      </c>
      <c r="AK259" s="692">
        <v>0</v>
      </c>
      <c r="AL259" s="692">
        <v>0</v>
      </c>
      <c r="AM259" s="692">
        <v>0</v>
      </c>
      <c r="AN259" s="692">
        <v>0</v>
      </c>
      <c r="AO259" s="692">
        <v>0</v>
      </c>
      <c r="AP259" s="498">
        <v>0</v>
      </c>
      <c r="AQ259" s="498">
        <v>0</v>
      </c>
      <c r="AR259" s="692">
        <v>2.1288232228650998</v>
      </c>
      <c r="AS259" s="692">
        <v>-6.8099279502889997E-3</v>
      </c>
      <c r="AT259" s="498">
        <v>10236382.486121001</v>
      </c>
      <c r="AU259" s="695">
        <v>-32745.333879000002</v>
      </c>
    </row>
    <row r="260" spans="1:47" ht="12" thickBot="1">
      <c r="A260" s="937"/>
      <c r="B260" s="938"/>
      <c r="C260" s="938"/>
      <c r="D260" s="938"/>
      <c r="E260" s="938"/>
      <c r="F260" s="690" t="s">
        <v>2741</v>
      </c>
      <c r="G260" s="690" t="s">
        <v>2741</v>
      </c>
      <c r="H260" s="691">
        <v>472512</v>
      </c>
      <c r="I260" s="692">
        <v>0</v>
      </c>
      <c r="J260" s="692">
        <v>0</v>
      </c>
      <c r="K260" s="692">
        <v>0</v>
      </c>
      <c r="L260" s="693"/>
      <c r="M260" s="692">
        <v>40274641.719999999</v>
      </c>
      <c r="N260" s="694">
        <v>0</v>
      </c>
      <c r="O260" s="693"/>
      <c r="P260" s="693"/>
      <c r="Q260" s="693"/>
      <c r="R260" s="693"/>
      <c r="S260" s="498">
        <v>1.99773877478304</v>
      </c>
      <c r="T260" s="692">
        <v>2.0706791566667202</v>
      </c>
      <c r="U260" s="692">
        <v>7.2940381883676006E-2</v>
      </c>
      <c r="V260" s="498">
        <v>39702161.152755998</v>
      </c>
      <c r="W260" s="692">
        <v>1398522.212756</v>
      </c>
      <c r="X260" s="692">
        <v>0</v>
      </c>
      <c r="Y260" s="692">
        <v>0</v>
      </c>
      <c r="Z260" s="692">
        <v>0</v>
      </c>
      <c r="AA260" s="692">
        <v>0</v>
      </c>
      <c r="AB260" s="692">
        <v>0</v>
      </c>
      <c r="AC260" s="692">
        <v>0</v>
      </c>
      <c r="AD260" s="692">
        <v>0</v>
      </c>
      <c r="AE260" s="692">
        <v>0</v>
      </c>
      <c r="AF260" s="692">
        <v>0</v>
      </c>
      <c r="AG260" s="692">
        <v>0</v>
      </c>
      <c r="AH260" s="692">
        <v>0</v>
      </c>
      <c r="AI260" s="692">
        <v>0</v>
      </c>
      <c r="AJ260" s="692">
        <v>0</v>
      </c>
      <c r="AK260" s="692">
        <v>0</v>
      </c>
      <c r="AL260" s="692">
        <v>0</v>
      </c>
      <c r="AM260" s="692">
        <v>0</v>
      </c>
      <c r="AN260" s="692">
        <v>0</v>
      </c>
      <c r="AO260" s="692">
        <v>0</v>
      </c>
      <c r="AP260" s="498">
        <v>0</v>
      </c>
      <c r="AQ260" s="498">
        <v>0</v>
      </c>
      <c r="AR260" s="692">
        <v>2.0706791566667202</v>
      </c>
      <c r="AS260" s="692">
        <v>7.2940381883676006E-2</v>
      </c>
      <c r="AT260" s="498">
        <v>39702161.152755998</v>
      </c>
      <c r="AU260" s="695">
        <v>1398522.212756</v>
      </c>
    </row>
    <row r="261" spans="1:47" ht="12" thickBot="1">
      <c r="A261" s="937"/>
      <c r="B261" s="936" t="s">
        <v>471</v>
      </c>
      <c r="C261" s="936" t="s">
        <v>472</v>
      </c>
      <c r="D261" s="936" t="s">
        <v>472</v>
      </c>
      <c r="E261" s="936" t="s">
        <v>472</v>
      </c>
      <c r="F261" s="936" t="s">
        <v>472</v>
      </c>
      <c r="G261" s="690" t="s">
        <v>473</v>
      </c>
      <c r="H261" s="691">
        <v>472001</v>
      </c>
      <c r="I261" s="692">
        <v>30328203331.799999</v>
      </c>
      <c r="J261" s="692">
        <v>3.2010708141761599</v>
      </c>
      <c r="K261" s="692">
        <v>22619829314.049</v>
      </c>
      <c r="L261" s="693"/>
      <c r="M261" s="692">
        <v>4591492.51</v>
      </c>
      <c r="N261" s="694">
        <v>165527455.63999999</v>
      </c>
      <c r="O261" s="693"/>
      <c r="P261" s="693"/>
      <c r="Q261" s="693"/>
      <c r="R261" s="693"/>
      <c r="S261" s="498">
        <v>3.3515764995520998</v>
      </c>
      <c r="T261" s="692">
        <v>2.0166349293071799</v>
      </c>
      <c r="U261" s="692">
        <v>1.3349415702449201</v>
      </c>
      <c r="V261" s="498">
        <v>226833352.34757701</v>
      </c>
      <c r="W261" s="692">
        <v>150155720.88242301</v>
      </c>
      <c r="X261" s="692">
        <v>0</v>
      </c>
      <c r="Y261" s="692">
        <v>0</v>
      </c>
      <c r="Z261" s="692">
        <v>0</v>
      </c>
      <c r="AA261" s="692">
        <v>0</v>
      </c>
      <c r="AB261" s="692">
        <v>0</v>
      </c>
      <c r="AC261" s="692">
        <v>0</v>
      </c>
      <c r="AD261" s="692">
        <v>0</v>
      </c>
      <c r="AE261" s="692">
        <v>0</v>
      </c>
      <c r="AF261" s="692">
        <v>0</v>
      </c>
      <c r="AG261" s="692">
        <v>0</v>
      </c>
      <c r="AH261" s="692">
        <v>0</v>
      </c>
      <c r="AI261" s="692">
        <v>0</v>
      </c>
      <c r="AJ261" s="692">
        <v>0</v>
      </c>
      <c r="AK261" s="692">
        <v>0</v>
      </c>
      <c r="AL261" s="692">
        <v>0</v>
      </c>
      <c r="AM261" s="692">
        <v>0</v>
      </c>
      <c r="AN261" s="692">
        <v>0</v>
      </c>
      <c r="AO261" s="692">
        <v>0</v>
      </c>
      <c r="AP261" s="498">
        <v>0</v>
      </c>
      <c r="AQ261" s="498">
        <v>0</v>
      </c>
      <c r="AR261" s="692">
        <v>2.0166349293071799</v>
      </c>
      <c r="AS261" s="692">
        <v>1.3349415702449201</v>
      </c>
      <c r="AT261" s="498">
        <v>226833352.34757701</v>
      </c>
      <c r="AU261" s="695">
        <v>150155720.88242301</v>
      </c>
    </row>
    <row r="262" spans="1:47" ht="12" thickBot="1">
      <c r="A262" s="937"/>
      <c r="B262" s="937"/>
      <c r="C262" s="938"/>
      <c r="D262" s="938"/>
      <c r="E262" s="938"/>
      <c r="F262" s="938"/>
      <c r="G262" s="690" t="s">
        <v>474</v>
      </c>
      <c r="H262" s="691">
        <v>472011</v>
      </c>
      <c r="I262" s="692">
        <v>1811860000</v>
      </c>
      <c r="J262" s="692">
        <v>3.4638571412802301</v>
      </c>
      <c r="K262" s="692">
        <v>2150832857.1429</v>
      </c>
      <c r="L262" s="693"/>
      <c r="M262" s="692">
        <v>0</v>
      </c>
      <c r="N262" s="694">
        <v>35302322.979999997</v>
      </c>
      <c r="O262" s="693"/>
      <c r="P262" s="693"/>
      <c r="Q262" s="693"/>
      <c r="R262" s="693"/>
      <c r="S262" s="498">
        <v>4.6248628552220898</v>
      </c>
      <c r="T262" s="692">
        <v>2.5171690200713002</v>
      </c>
      <c r="U262" s="692">
        <v>2.1076938351507901</v>
      </c>
      <c r="V262" s="498">
        <v>26922125.410764001</v>
      </c>
      <c r="W262" s="692">
        <v>22542625.189236</v>
      </c>
      <c r="X262" s="692">
        <v>0</v>
      </c>
      <c r="Y262" s="692">
        <v>0</v>
      </c>
      <c r="Z262" s="692">
        <v>0</v>
      </c>
      <c r="AA262" s="692">
        <v>0</v>
      </c>
      <c r="AB262" s="692">
        <v>0</v>
      </c>
      <c r="AC262" s="692">
        <v>0</v>
      </c>
      <c r="AD262" s="692">
        <v>0</v>
      </c>
      <c r="AE262" s="692">
        <v>0</v>
      </c>
      <c r="AF262" s="692">
        <v>0</v>
      </c>
      <c r="AG262" s="692">
        <v>0</v>
      </c>
      <c r="AH262" s="692">
        <v>0</v>
      </c>
      <c r="AI262" s="692">
        <v>0</v>
      </c>
      <c r="AJ262" s="692">
        <v>0</v>
      </c>
      <c r="AK262" s="692">
        <v>0</v>
      </c>
      <c r="AL262" s="692">
        <v>0</v>
      </c>
      <c r="AM262" s="692">
        <v>0</v>
      </c>
      <c r="AN262" s="692">
        <v>0</v>
      </c>
      <c r="AO262" s="692">
        <v>0</v>
      </c>
      <c r="AP262" s="498">
        <v>0</v>
      </c>
      <c r="AQ262" s="498">
        <v>0</v>
      </c>
      <c r="AR262" s="692">
        <v>2.5171690200713002</v>
      </c>
      <c r="AS262" s="692">
        <v>2.1076938351507901</v>
      </c>
      <c r="AT262" s="498">
        <v>26922125.410764001</v>
      </c>
      <c r="AU262" s="695">
        <v>22542625.189236</v>
      </c>
    </row>
    <row r="263" spans="1:47" ht="12" thickBot="1">
      <c r="A263" s="937"/>
      <c r="B263" s="937"/>
      <c r="C263" s="936" t="s">
        <v>475</v>
      </c>
      <c r="D263" s="936" t="s">
        <v>475</v>
      </c>
      <c r="E263" s="936" t="s">
        <v>475</v>
      </c>
      <c r="F263" s="936" t="s">
        <v>475</v>
      </c>
      <c r="G263" s="690" t="s">
        <v>476</v>
      </c>
      <c r="H263" s="691">
        <v>472021</v>
      </c>
      <c r="I263" s="692">
        <v>185350804.91</v>
      </c>
      <c r="J263" s="692">
        <v>3.7270705913823101</v>
      </c>
      <c r="K263" s="692">
        <v>139181811.20739999</v>
      </c>
      <c r="L263" s="693"/>
      <c r="M263" s="692">
        <v>0</v>
      </c>
      <c r="N263" s="694">
        <v>1719274.71</v>
      </c>
      <c r="O263" s="693"/>
      <c r="P263" s="693"/>
      <c r="Q263" s="693"/>
      <c r="R263" s="693"/>
      <c r="S263" s="498">
        <v>3.91813939658778</v>
      </c>
      <c r="T263" s="692">
        <v>1.94137517406895</v>
      </c>
      <c r="U263" s="692">
        <v>1.97676422251879</v>
      </c>
      <c r="V263" s="498">
        <v>1343637.9387630001</v>
      </c>
      <c r="W263" s="692">
        <v>1368130.921237</v>
      </c>
      <c r="X263" s="692">
        <v>0</v>
      </c>
      <c r="Y263" s="692">
        <v>0</v>
      </c>
      <c r="Z263" s="692">
        <v>0</v>
      </c>
      <c r="AA263" s="692">
        <v>0</v>
      </c>
      <c r="AB263" s="692">
        <v>0</v>
      </c>
      <c r="AC263" s="692">
        <v>0</v>
      </c>
      <c r="AD263" s="692">
        <v>0</v>
      </c>
      <c r="AE263" s="692">
        <v>0</v>
      </c>
      <c r="AF263" s="692">
        <v>0</v>
      </c>
      <c r="AG263" s="692">
        <v>0</v>
      </c>
      <c r="AH263" s="692">
        <v>0</v>
      </c>
      <c r="AI263" s="692">
        <v>0</v>
      </c>
      <c r="AJ263" s="692">
        <v>0</v>
      </c>
      <c r="AK263" s="692">
        <v>0</v>
      </c>
      <c r="AL263" s="692">
        <v>0</v>
      </c>
      <c r="AM263" s="692">
        <v>0</v>
      </c>
      <c r="AN263" s="692">
        <v>0</v>
      </c>
      <c r="AO263" s="692">
        <v>0</v>
      </c>
      <c r="AP263" s="498">
        <v>0</v>
      </c>
      <c r="AQ263" s="498">
        <v>0</v>
      </c>
      <c r="AR263" s="692">
        <v>1.94137517406895</v>
      </c>
      <c r="AS263" s="692">
        <v>1.97676422251879</v>
      </c>
      <c r="AT263" s="498">
        <v>1343637.9387630001</v>
      </c>
      <c r="AU263" s="695">
        <v>1368130.921237</v>
      </c>
    </row>
    <row r="264" spans="1:47" ht="12" thickBot="1">
      <c r="A264" s="937"/>
      <c r="B264" s="938"/>
      <c r="C264" s="938"/>
      <c r="D264" s="938"/>
      <c r="E264" s="938"/>
      <c r="F264" s="938"/>
      <c r="G264" s="690" t="s">
        <v>477</v>
      </c>
      <c r="H264" s="691">
        <v>472031</v>
      </c>
      <c r="I264" s="692">
        <v>872207500</v>
      </c>
      <c r="J264" s="692">
        <v>5.6371010625338602</v>
      </c>
      <c r="K264" s="692">
        <v>541335192.30770004</v>
      </c>
      <c r="L264" s="693"/>
      <c r="M264" s="692">
        <v>11750</v>
      </c>
      <c r="N264" s="694">
        <v>10742917.43</v>
      </c>
      <c r="O264" s="693"/>
      <c r="P264" s="693"/>
      <c r="Q264" s="693"/>
      <c r="R264" s="693"/>
      <c r="S264" s="498">
        <v>5.4622447209359803</v>
      </c>
      <c r="T264" s="692">
        <v>2.7324424693656799</v>
      </c>
      <c r="U264" s="692">
        <v>2.7298022515703102</v>
      </c>
      <c r="V264" s="498">
        <v>7355421.9418449998</v>
      </c>
      <c r="W264" s="692">
        <v>7348314.7781549999</v>
      </c>
      <c r="X264" s="692">
        <v>0</v>
      </c>
      <c r="Y264" s="692">
        <v>0</v>
      </c>
      <c r="Z264" s="692">
        <v>0</v>
      </c>
      <c r="AA264" s="692">
        <v>0</v>
      </c>
      <c r="AB264" s="692">
        <v>0</v>
      </c>
      <c r="AC264" s="692">
        <v>0</v>
      </c>
      <c r="AD264" s="692">
        <v>0</v>
      </c>
      <c r="AE264" s="692">
        <v>0</v>
      </c>
      <c r="AF264" s="692">
        <v>0</v>
      </c>
      <c r="AG264" s="692">
        <v>0</v>
      </c>
      <c r="AH264" s="692">
        <v>0</v>
      </c>
      <c r="AI264" s="692">
        <v>0</v>
      </c>
      <c r="AJ264" s="692">
        <v>0</v>
      </c>
      <c r="AK264" s="692">
        <v>0</v>
      </c>
      <c r="AL264" s="692">
        <v>0</v>
      </c>
      <c r="AM264" s="692">
        <v>0</v>
      </c>
      <c r="AN264" s="692">
        <v>0</v>
      </c>
      <c r="AO264" s="692">
        <v>0</v>
      </c>
      <c r="AP264" s="498">
        <v>0</v>
      </c>
      <c r="AQ264" s="498">
        <v>0</v>
      </c>
      <c r="AR264" s="692">
        <v>2.7324424693656799</v>
      </c>
      <c r="AS264" s="692">
        <v>2.7298022515703102</v>
      </c>
      <c r="AT264" s="498">
        <v>7355421.9418449998</v>
      </c>
      <c r="AU264" s="695">
        <v>7348314.7781549999</v>
      </c>
    </row>
    <row r="265" spans="1:47" ht="12" thickBot="1">
      <c r="A265" s="937"/>
      <c r="B265" s="936" t="s">
        <v>2742</v>
      </c>
      <c r="C265" s="936" t="s">
        <v>2743</v>
      </c>
      <c r="D265" s="936" t="s">
        <v>478</v>
      </c>
      <c r="E265" s="936" t="s">
        <v>2743</v>
      </c>
      <c r="F265" s="936" t="s">
        <v>2743</v>
      </c>
      <c r="G265" s="690" t="s">
        <v>479</v>
      </c>
      <c r="H265" s="691">
        <v>472311</v>
      </c>
      <c r="I265" s="692">
        <v>79743730</v>
      </c>
      <c r="J265" s="692">
        <v>2.6143410550414399</v>
      </c>
      <c r="K265" s="692">
        <v>0</v>
      </c>
      <c r="L265" s="693"/>
      <c r="M265" s="692">
        <v>0</v>
      </c>
      <c r="N265" s="694">
        <v>8868848.1624999996</v>
      </c>
      <c r="O265" s="693"/>
      <c r="P265" s="693"/>
      <c r="Q265" s="693"/>
      <c r="R265" s="693"/>
      <c r="S265" s="498">
        <v>3.0086558989410799</v>
      </c>
      <c r="T265" s="692">
        <v>2.3447409940596602</v>
      </c>
      <c r="U265" s="692">
        <v>0.66391490488140803</v>
      </c>
      <c r="V265" s="498">
        <v>7280952.4574039998</v>
      </c>
      <c r="W265" s="692">
        <v>2061606.322596</v>
      </c>
      <c r="X265" s="692">
        <v>0</v>
      </c>
      <c r="Y265" s="692">
        <v>0</v>
      </c>
      <c r="Z265" s="692">
        <v>0</v>
      </c>
      <c r="AA265" s="692">
        <v>0</v>
      </c>
      <c r="AB265" s="692">
        <v>0</v>
      </c>
      <c r="AC265" s="692">
        <v>0</v>
      </c>
      <c r="AD265" s="692">
        <v>0</v>
      </c>
      <c r="AE265" s="692">
        <v>0</v>
      </c>
      <c r="AF265" s="692">
        <v>0</v>
      </c>
      <c r="AG265" s="692">
        <v>0</v>
      </c>
      <c r="AH265" s="692">
        <v>0</v>
      </c>
      <c r="AI265" s="692">
        <v>0</v>
      </c>
      <c r="AJ265" s="692">
        <v>0</v>
      </c>
      <c r="AK265" s="692">
        <v>0</v>
      </c>
      <c r="AL265" s="692">
        <v>0</v>
      </c>
      <c r="AM265" s="692">
        <v>0</v>
      </c>
      <c r="AN265" s="692">
        <v>0</v>
      </c>
      <c r="AO265" s="692">
        <v>0</v>
      </c>
      <c r="AP265" s="498">
        <v>0</v>
      </c>
      <c r="AQ265" s="498">
        <v>0</v>
      </c>
      <c r="AR265" s="692">
        <v>2.3447409940596602</v>
      </c>
      <c r="AS265" s="692">
        <v>0.66391490488140803</v>
      </c>
      <c r="AT265" s="498">
        <v>7280952.4574039998</v>
      </c>
      <c r="AU265" s="695">
        <v>2061606.322596</v>
      </c>
    </row>
    <row r="266" spans="1:47" ht="12" thickBot="1">
      <c r="A266" s="937"/>
      <c r="B266" s="937"/>
      <c r="C266" s="937"/>
      <c r="D266" s="937"/>
      <c r="E266" s="937"/>
      <c r="F266" s="937"/>
      <c r="G266" s="690" t="s">
        <v>480</v>
      </c>
      <c r="H266" s="691">
        <v>472312</v>
      </c>
      <c r="I266" s="692">
        <v>1715296465.6300001</v>
      </c>
      <c r="J266" s="692">
        <v>0.81619486082991</v>
      </c>
      <c r="K266" s="692">
        <v>0</v>
      </c>
      <c r="L266" s="693"/>
      <c r="M266" s="692">
        <v>0</v>
      </c>
      <c r="N266" s="694">
        <v>164520586.95460001</v>
      </c>
      <c r="O266" s="693"/>
      <c r="P266" s="693"/>
      <c r="Q266" s="693"/>
      <c r="R266" s="693"/>
      <c r="S266" s="498">
        <v>3.3707886792117701</v>
      </c>
      <c r="T266" s="692">
        <v>2.36053719330681</v>
      </c>
      <c r="U266" s="692">
        <v>1.0102514859049601</v>
      </c>
      <c r="V266" s="498">
        <v>156195774.57726601</v>
      </c>
      <c r="W266" s="692">
        <v>66847925.042733997</v>
      </c>
      <c r="X266" s="692">
        <v>0</v>
      </c>
      <c r="Y266" s="692">
        <v>0</v>
      </c>
      <c r="Z266" s="692">
        <v>0</v>
      </c>
      <c r="AA266" s="692">
        <v>0</v>
      </c>
      <c r="AB266" s="692">
        <v>0</v>
      </c>
      <c r="AC266" s="692">
        <v>0</v>
      </c>
      <c r="AD266" s="692">
        <v>0</v>
      </c>
      <c r="AE266" s="692">
        <v>0</v>
      </c>
      <c r="AF266" s="692">
        <v>0</v>
      </c>
      <c r="AG266" s="692">
        <v>0</v>
      </c>
      <c r="AH266" s="692">
        <v>0</v>
      </c>
      <c r="AI266" s="692">
        <v>0</v>
      </c>
      <c r="AJ266" s="692">
        <v>0</v>
      </c>
      <c r="AK266" s="692">
        <v>0</v>
      </c>
      <c r="AL266" s="692">
        <v>0</v>
      </c>
      <c r="AM266" s="692">
        <v>0</v>
      </c>
      <c r="AN266" s="692">
        <v>0</v>
      </c>
      <c r="AO266" s="692">
        <v>0</v>
      </c>
      <c r="AP266" s="498">
        <v>0</v>
      </c>
      <c r="AQ266" s="498">
        <v>0</v>
      </c>
      <c r="AR266" s="692">
        <v>2.36053719330681</v>
      </c>
      <c r="AS266" s="692">
        <v>1.0102514859049601</v>
      </c>
      <c r="AT266" s="498">
        <v>156195774.57726601</v>
      </c>
      <c r="AU266" s="695">
        <v>66847925.042733997</v>
      </c>
    </row>
    <row r="267" spans="1:47" ht="12" thickBot="1">
      <c r="A267" s="937"/>
      <c r="B267" s="937"/>
      <c r="C267" s="937"/>
      <c r="D267" s="937"/>
      <c r="E267" s="937"/>
      <c r="F267" s="937"/>
      <c r="G267" s="690" t="s">
        <v>2747</v>
      </c>
      <c r="H267" s="691">
        <v>472315</v>
      </c>
      <c r="I267" s="692">
        <v>0</v>
      </c>
      <c r="J267" s="692">
        <v>0</v>
      </c>
      <c r="K267" s="692">
        <v>0</v>
      </c>
      <c r="L267" s="693"/>
      <c r="M267" s="692">
        <v>0</v>
      </c>
      <c r="N267" s="694">
        <v>5161195.5997000001</v>
      </c>
      <c r="O267" s="693"/>
      <c r="P267" s="693"/>
      <c r="Q267" s="693"/>
      <c r="R267" s="693"/>
      <c r="S267" s="498">
        <v>3.3874547286842498</v>
      </c>
      <c r="T267" s="692">
        <v>2.33325437486572</v>
      </c>
      <c r="U267" s="692">
        <v>1.0542003538185201</v>
      </c>
      <c r="V267" s="498">
        <v>3755915.6466140002</v>
      </c>
      <c r="W267" s="692">
        <v>1696980.6833860001</v>
      </c>
      <c r="X267" s="692">
        <v>0</v>
      </c>
      <c r="Y267" s="692">
        <v>0</v>
      </c>
      <c r="Z267" s="692">
        <v>0</v>
      </c>
      <c r="AA267" s="692">
        <v>0</v>
      </c>
      <c r="AB267" s="692">
        <v>0</v>
      </c>
      <c r="AC267" s="692">
        <v>0</v>
      </c>
      <c r="AD267" s="692">
        <v>0</v>
      </c>
      <c r="AE267" s="692">
        <v>0</v>
      </c>
      <c r="AF267" s="692">
        <v>0</v>
      </c>
      <c r="AG267" s="692">
        <v>0</v>
      </c>
      <c r="AH267" s="692">
        <v>0</v>
      </c>
      <c r="AI267" s="692">
        <v>0</v>
      </c>
      <c r="AJ267" s="692">
        <v>0</v>
      </c>
      <c r="AK267" s="692">
        <v>0</v>
      </c>
      <c r="AL267" s="692">
        <v>0</v>
      </c>
      <c r="AM267" s="692">
        <v>0</v>
      </c>
      <c r="AN267" s="692">
        <v>0</v>
      </c>
      <c r="AO267" s="692">
        <v>0</v>
      </c>
      <c r="AP267" s="498">
        <v>0</v>
      </c>
      <c r="AQ267" s="498">
        <v>0</v>
      </c>
      <c r="AR267" s="692">
        <v>2.33325437486572</v>
      </c>
      <c r="AS267" s="692">
        <v>1.0542003538185201</v>
      </c>
      <c r="AT267" s="498">
        <v>3755915.6466140002</v>
      </c>
      <c r="AU267" s="695">
        <v>1696980.6833860001</v>
      </c>
    </row>
    <row r="268" spans="1:47" ht="12" thickBot="1">
      <c r="A268" s="937"/>
      <c r="B268" s="937"/>
      <c r="C268" s="937"/>
      <c r="D268" s="937"/>
      <c r="E268" s="937"/>
      <c r="F268" s="937"/>
      <c r="G268" s="690" t="s">
        <v>481</v>
      </c>
      <c r="H268" s="691">
        <v>472317</v>
      </c>
      <c r="I268" s="692">
        <v>5118989052.7399998</v>
      </c>
      <c r="J268" s="692">
        <v>3.0299175480456202</v>
      </c>
      <c r="K268" s="692">
        <v>0</v>
      </c>
      <c r="L268" s="693"/>
      <c r="M268" s="692">
        <v>0</v>
      </c>
      <c r="N268" s="694">
        <v>67892609.777500004</v>
      </c>
      <c r="O268" s="693"/>
      <c r="P268" s="693"/>
      <c r="Q268" s="693"/>
      <c r="R268" s="693"/>
      <c r="S268" s="498">
        <v>3.9914797603959</v>
      </c>
      <c r="T268" s="692">
        <v>2.3270274290551298</v>
      </c>
      <c r="U268" s="692">
        <v>1.66445233134078</v>
      </c>
      <c r="V268" s="498">
        <v>55638812.872631997</v>
      </c>
      <c r="W268" s="692">
        <v>39796759.867367998</v>
      </c>
      <c r="X268" s="692">
        <v>0</v>
      </c>
      <c r="Y268" s="692">
        <v>0</v>
      </c>
      <c r="Z268" s="692">
        <v>0</v>
      </c>
      <c r="AA268" s="692">
        <v>0</v>
      </c>
      <c r="AB268" s="692">
        <v>0</v>
      </c>
      <c r="AC268" s="692">
        <v>0</v>
      </c>
      <c r="AD268" s="692">
        <v>0</v>
      </c>
      <c r="AE268" s="692">
        <v>0</v>
      </c>
      <c r="AF268" s="692">
        <v>0</v>
      </c>
      <c r="AG268" s="692">
        <v>0</v>
      </c>
      <c r="AH268" s="692">
        <v>0</v>
      </c>
      <c r="AI268" s="692">
        <v>0</v>
      </c>
      <c r="AJ268" s="692">
        <v>0</v>
      </c>
      <c r="AK268" s="692">
        <v>0</v>
      </c>
      <c r="AL268" s="692">
        <v>0</v>
      </c>
      <c r="AM268" s="692">
        <v>0</v>
      </c>
      <c r="AN268" s="692">
        <v>0</v>
      </c>
      <c r="AO268" s="692">
        <v>0</v>
      </c>
      <c r="AP268" s="498">
        <v>0</v>
      </c>
      <c r="AQ268" s="498">
        <v>0</v>
      </c>
      <c r="AR268" s="692">
        <v>2.3270274290551298</v>
      </c>
      <c r="AS268" s="692">
        <v>1.66445233134078</v>
      </c>
      <c r="AT268" s="498">
        <v>55638812.872631997</v>
      </c>
      <c r="AU268" s="695">
        <v>39796759.867367998</v>
      </c>
    </row>
    <row r="269" spans="1:47" ht="12" thickBot="1">
      <c r="A269" s="937"/>
      <c r="B269" s="937"/>
      <c r="C269" s="938"/>
      <c r="D269" s="938"/>
      <c r="E269" s="938"/>
      <c r="F269" s="938"/>
      <c r="G269" s="690" t="s">
        <v>485</v>
      </c>
      <c r="H269" s="691">
        <v>472318</v>
      </c>
      <c r="I269" s="692">
        <v>20969114420</v>
      </c>
      <c r="J269" s="692">
        <v>3.0199954811421601</v>
      </c>
      <c r="K269" s="692">
        <v>0</v>
      </c>
      <c r="L269" s="693"/>
      <c r="M269" s="692">
        <v>37.29</v>
      </c>
      <c r="N269" s="694">
        <v>67940331.525700003</v>
      </c>
      <c r="O269" s="693"/>
      <c r="P269" s="693"/>
      <c r="Q269" s="693"/>
      <c r="R269" s="693"/>
      <c r="S269" s="498">
        <v>3.13390135729033</v>
      </c>
      <c r="T269" s="692">
        <v>2.3553526686341399</v>
      </c>
      <c r="U269" s="692">
        <v>0.77854868865619997</v>
      </c>
      <c r="V269" s="498">
        <v>134365107.45426601</v>
      </c>
      <c r="W269" s="692">
        <v>44413636.905734003</v>
      </c>
      <c r="X269" s="692">
        <v>0</v>
      </c>
      <c r="Y269" s="692">
        <v>0</v>
      </c>
      <c r="Z269" s="692">
        <v>0</v>
      </c>
      <c r="AA269" s="692">
        <v>0</v>
      </c>
      <c r="AB269" s="692">
        <v>0</v>
      </c>
      <c r="AC269" s="692">
        <v>0</v>
      </c>
      <c r="AD269" s="692">
        <v>-0.19120127287340699</v>
      </c>
      <c r="AE269" s="692">
        <v>-10907402.495239001</v>
      </c>
      <c r="AF269" s="692">
        <v>0</v>
      </c>
      <c r="AG269" s="692">
        <v>0</v>
      </c>
      <c r="AH269" s="692">
        <v>0</v>
      </c>
      <c r="AI269" s="692">
        <v>0</v>
      </c>
      <c r="AJ269" s="692">
        <v>0</v>
      </c>
      <c r="AK269" s="692">
        <v>0</v>
      </c>
      <c r="AL269" s="692">
        <v>0</v>
      </c>
      <c r="AM269" s="692">
        <v>0</v>
      </c>
      <c r="AN269" s="692">
        <v>0</v>
      </c>
      <c r="AO269" s="692">
        <v>0</v>
      </c>
      <c r="AP269" s="498">
        <v>0</v>
      </c>
      <c r="AQ269" s="498">
        <v>0</v>
      </c>
      <c r="AR269" s="692">
        <v>2.1641513957701402</v>
      </c>
      <c r="AS269" s="692">
        <v>0.96974996152019399</v>
      </c>
      <c r="AT269" s="498">
        <v>123457704.959564</v>
      </c>
      <c r="AU269" s="695">
        <v>55321039.400435999</v>
      </c>
    </row>
    <row r="270" spans="1:47" ht="12" thickBot="1">
      <c r="A270" s="937"/>
      <c r="B270" s="937"/>
      <c r="C270" s="936" t="s">
        <v>2744</v>
      </c>
      <c r="D270" s="936" t="s">
        <v>2744</v>
      </c>
      <c r="E270" s="936" t="s">
        <v>2744</v>
      </c>
      <c r="F270" s="936" t="s">
        <v>2744</v>
      </c>
      <c r="G270" s="690" t="s">
        <v>479</v>
      </c>
      <c r="H270" s="691">
        <v>472611</v>
      </c>
      <c r="I270" s="692">
        <v>11035000000</v>
      </c>
      <c r="J270" s="692">
        <v>0.13736135296783</v>
      </c>
      <c r="K270" s="692">
        <v>0</v>
      </c>
      <c r="L270" s="693"/>
      <c r="M270" s="692">
        <v>0</v>
      </c>
      <c r="N270" s="694">
        <v>8868848.1624999996</v>
      </c>
      <c r="O270" s="693"/>
      <c r="P270" s="693"/>
      <c r="Q270" s="693"/>
      <c r="R270" s="693"/>
      <c r="S270" s="498">
        <v>3.1534996317106301</v>
      </c>
      <c r="T270" s="692">
        <v>2.7524714712557499</v>
      </c>
      <c r="U270" s="692">
        <v>0.40102816045488199</v>
      </c>
      <c r="V270" s="498">
        <v>189118855.399609</v>
      </c>
      <c r="W270" s="692">
        <v>27554140.880391002</v>
      </c>
      <c r="X270" s="692">
        <v>0</v>
      </c>
      <c r="Y270" s="692">
        <v>0</v>
      </c>
      <c r="Z270" s="692">
        <v>0</v>
      </c>
      <c r="AA270" s="692">
        <v>0</v>
      </c>
      <c r="AB270" s="692">
        <v>0</v>
      </c>
      <c r="AC270" s="692">
        <v>0</v>
      </c>
      <c r="AD270" s="692">
        <v>0</v>
      </c>
      <c r="AE270" s="692">
        <v>0</v>
      </c>
      <c r="AF270" s="692">
        <v>0</v>
      </c>
      <c r="AG270" s="692">
        <v>0</v>
      </c>
      <c r="AH270" s="692">
        <v>0</v>
      </c>
      <c r="AI270" s="692">
        <v>0</v>
      </c>
      <c r="AJ270" s="692">
        <v>0</v>
      </c>
      <c r="AK270" s="692">
        <v>0</v>
      </c>
      <c r="AL270" s="692">
        <v>0</v>
      </c>
      <c r="AM270" s="692">
        <v>0</v>
      </c>
      <c r="AN270" s="692">
        <v>0</v>
      </c>
      <c r="AO270" s="692">
        <v>0</v>
      </c>
      <c r="AP270" s="498">
        <v>0</v>
      </c>
      <c r="AQ270" s="498">
        <v>0</v>
      </c>
      <c r="AR270" s="692">
        <v>2.7524714712557499</v>
      </c>
      <c r="AS270" s="692">
        <v>0.40102816045488199</v>
      </c>
      <c r="AT270" s="498">
        <v>189118855.399609</v>
      </c>
      <c r="AU270" s="695">
        <v>27554140.880391002</v>
      </c>
    </row>
    <row r="271" spans="1:47" ht="12" thickBot="1">
      <c r="A271" s="937"/>
      <c r="B271" s="937"/>
      <c r="C271" s="937"/>
      <c r="D271" s="937"/>
      <c r="E271" s="937"/>
      <c r="F271" s="937"/>
      <c r="G271" s="690" t="s">
        <v>480</v>
      </c>
      <c r="H271" s="691">
        <v>472612</v>
      </c>
      <c r="I271" s="692">
        <v>36084000000</v>
      </c>
      <c r="J271" s="692">
        <v>1.30624238227469</v>
      </c>
      <c r="K271" s="692">
        <v>0</v>
      </c>
      <c r="L271" s="693"/>
      <c r="M271" s="692">
        <v>0</v>
      </c>
      <c r="N271" s="694">
        <v>164520586.95460001</v>
      </c>
      <c r="O271" s="693"/>
      <c r="P271" s="693"/>
      <c r="Q271" s="693"/>
      <c r="R271" s="693"/>
      <c r="S271" s="498">
        <v>3.7272153177109901</v>
      </c>
      <c r="T271" s="692">
        <v>2.9046336880585999</v>
      </c>
      <c r="U271" s="692">
        <v>0.822581629652399</v>
      </c>
      <c r="V271" s="498">
        <v>399024290.98177803</v>
      </c>
      <c r="W271" s="692">
        <v>113002218.79822201</v>
      </c>
      <c r="X271" s="692">
        <v>0</v>
      </c>
      <c r="Y271" s="692">
        <v>0</v>
      </c>
      <c r="Z271" s="692">
        <v>0</v>
      </c>
      <c r="AA271" s="692">
        <v>0</v>
      </c>
      <c r="AB271" s="692">
        <v>0</v>
      </c>
      <c r="AC271" s="692">
        <v>0</v>
      </c>
      <c r="AD271" s="692">
        <v>0</v>
      </c>
      <c r="AE271" s="692">
        <v>0</v>
      </c>
      <c r="AF271" s="692">
        <v>0</v>
      </c>
      <c r="AG271" s="692">
        <v>0</v>
      </c>
      <c r="AH271" s="692">
        <v>0</v>
      </c>
      <c r="AI271" s="692">
        <v>0</v>
      </c>
      <c r="AJ271" s="692">
        <v>0</v>
      </c>
      <c r="AK271" s="692">
        <v>0</v>
      </c>
      <c r="AL271" s="692">
        <v>0</v>
      </c>
      <c r="AM271" s="692">
        <v>0</v>
      </c>
      <c r="AN271" s="692">
        <v>0</v>
      </c>
      <c r="AO271" s="692">
        <v>0</v>
      </c>
      <c r="AP271" s="498">
        <v>0</v>
      </c>
      <c r="AQ271" s="498">
        <v>0</v>
      </c>
      <c r="AR271" s="692">
        <v>2.9046336880585999</v>
      </c>
      <c r="AS271" s="692">
        <v>0.822581629652399</v>
      </c>
      <c r="AT271" s="498">
        <v>399024290.98177803</v>
      </c>
      <c r="AU271" s="695">
        <v>113002218.79822201</v>
      </c>
    </row>
    <row r="272" spans="1:47" ht="12" thickBot="1">
      <c r="A272" s="937"/>
      <c r="B272" s="937"/>
      <c r="C272" s="937"/>
      <c r="D272" s="937"/>
      <c r="E272" s="937"/>
      <c r="F272" s="937"/>
      <c r="G272" s="690" t="s">
        <v>2745</v>
      </c>
      <c r="H272" s="691">
        <v>472614</v>
      </c>
      <c r="I272" s="692">
        <v>4653060000</v>
      </c>
      <c r="J272" s="692">
        <v>2.3704575698572601</v>
      </c>
      <c r="K272" s="692">
        <v>0</v>
      </c>
      <c r="L272" s="693"/>
      <c r="M272" s="692">
        <v>0</v>
      </c>
      <c r="N272" s="694">
        <v>30671335.0986</v>
      </c>
      <c r="O272" s="693"/>
      <c r="P272" s="693"/>
      <c r="Q272" s="693"/>
      <c r="R272" s="693"/>
      <c r="S272" s="498">
        <v>3.1288209723229299</v>
      </c>
      <c r="T272" s="692">
        <v>3.0146144133365498</v>
      </c>
      <c r="U272" s="692">
        <v>0.11420655898638001</v>
      </c>
      <c r="V272" s="498">
        <v>42863326.335300997</v>
      </c>
      <c r="W272" s="692">
        <v>1623847.1446990001</v>
      </c>
      <c r="X272" s="692">
        <v>0</v>
      </c>
      <c r="Y272" s="692">
        <v>0</v>
      </c>
      <c r="Z272" s="692">
        <v>0</v>
      </c>
      <c r="AA272" s="692">
        <v>0</v>
      </c>
      <c r="AB272" s="692">
        <v>0</v>
      </c>
      <c r="AC272" s="692">
        <v>0</v>
      </c>
      <c r="AD272" s="692">
        <v>0</v>
      </c>
      <c r="AE272" s="692">
        <v>0</v>
      </c>
      <c r="AF272" s="692">
        <v>0</v>
      </c>
      <c r="AG272" s="692">
        <v>0</v>
      </c>
      <c r="AH272" s="692">
        <v>0</v>
      </c>
      <c r="AI272" s="692">
        <v>0</v>
      </c>
      <c r="AJ272" s="692">
        <v>0</v>
      </c>
      <c r="AK272" s="692">
        <v>0</v>
      </c>
      <c r="AL272" s="692">
        <v>0</v>
      </c>
      <c r="AM272" s="692">
        <v>0</v>
      </c>
      <c r="AN272" s="692">
        <v>0</v>
      </c>
      <c r="AO272" s="692">
        <v>0</v>
      </c>
      <c r="AP272" s="498">
        <v>0</v>
      </c>
      <c r="AQ272" s="498">
        <v>0</v>
      </c>
      <c r="AR272" s="692">
        <v>3.0146144133365498</v>
      </c>
      <c r="AS272" s="692">
        <v>0.11420655898638001</v>
      </c>
      <c r="AT272" s="498">
        <v>42863326.335300997</v>
      </c>
      <c r="AU272" s="695">
        <v>1623847.1446990001</v>
      </c>
    </row>
    <row r="273" spans="1:47" ht="12" thickBot="1">
      <c r="A273" s="937"/>
      <c r="B273" s="937"/>
      <c r="C273" s="937"/>
      <c r="D273" s="937"/>
      <c r="E273" s="937"/>
      <c r="F273" s="937"/>
      <c r="G273" s="690" t="s">
        <v>482</v>
      </c>
      <c r="H273" s="691">
        <v>472616</v>
      </c>
      <c r="I273" s="692">
        <v>900000000</v>
      </c>
      <c r="J273" s="692">
        <v>0</v>
      </c>
      <c r="K273" s="692">
        <v>0</v>
      </c>
      <c r="L273" s="693"/>
      <c r="M273" s="692">
        <v>0</v>
      </c>
      <c r="N273" s="694">
        <v>0</v>
      </c>
      <c r="O273" s="693"/>
      <c r="P273" s="693"/>
      <c r="Q273" s="693"/>
      <c r="R273" s="693"/>
      <c r="S273" s="498">
        <v>6.4298917158608102</v>
      </c>
      <c r="T273" s="692">
        <v>3.2320850000000001</v>
      </c>
      <c r="U273" s="692">
        <v>3.1978067158608101</v>
      </c>
      <c r="V273" s="498">
        <v>14464905</v>
      </c>
      <c r="W273" s="692">
        <v>14311495.630000001</v>
      </c>
      <c r="X273" s="692">
        <v>0</v>
      </c>
      <c r="Y273" s="692">
        <v>0</v>
      </c>
      <c r="Z273" s="692">
        <v>0</v>
      </c>
      <c r="AA273" s="692">
        <v>0</v>
      </c>
      <c r="AB273" s="692">
        <v>0</v>
      </c>
      <c r="AC273" s="692">
        <v>0</v>
      </c>
      <c r="AD273" s="692">
        <v>0</v>
      </c>
      <c r="AE273" s="692">
        <v>0</v>
      </c>
      <c r="AF273" s="692">
        <v>0</v>
      </c>
      <c r="AG273" s="692">
        <v>0</v>
      </c>
      <c r="AH273" s="692">
        <v>0</v>
      </c>
      <c r="AI273" s="692">
        <v>0</v>
      </c>
      <c r="AJ273" s="692">
        <v>0</v>
      </c>
      <c r="AK273" s="692">
        <v>0</v>
      </c>
      <c r="AL273" s="692">
        <v>0</v>
      </c>
      <c r="AM273" s="692">
        <v>0</v>
      </c>
      <c r="AN273" s="692">
        <v>0</v>
      </c>
      <c r="AO273" s="692">
        <v>0</v>
      </c>
      <c r="AP273" s="498">
        <v>0</v>
      </c>
      <c r="AQ273" s="498">
        <v>0</v>
      </c>
      <c r="AR273" s="692">
        <v>3.2320850000000001</v>
      </c>
      <c r="AS273" s="692">
        <v>3.1978067158608101</v>
      </c>
      <c r="AT273" s="498">
        <v>14464905</v>
      </c>
      <c r="AU273" s="695">
        <v>14311495.630000001</v>
      </c>
    </row>
    <row r="274" spans="1:47" ht="12" thickBot="1">
      <c r="A274" s="937"/>
      <c r="B274" s="937"/>
      <c r="C274" s="937"/>
      <c r="D274" s="937"/>
      <c r="E274" s="937"/>
      <c r="F274" s="937"/>
      <c r="G274" s="690" t="s">
        <v>481</v>
      </c>
      <c r="H274" s="691">
        <v>472617</v>
      </c>
      <c r="I274" s="692">
        <v>1468456000</v>
      </c>
      <c r="J274" s="692">
        <v>2.65083017809182</v>
      </c>
      <c r="K274" s="692">
        <v>0</v>
      </c>
      <c r="L274" s="693"/>
      <c r="M274" s="692">
        <v>0</v>
      </c>
      <c r="N274" s="694">
        <v>67892609.777500004</v>
      </c>
      <c r="O274" s="693"/>
      <c r="P274" s="693"/>
      <c r="Q274" s="693"/>
      <c r="R274" s="693"/>
      <c r="S274" s="498">
        <v>4.8842522219620097</v>
      </c>
      <c r="T274" s="692">
        <v>3.2113351879335701</v>
      </c>
      <c r="U274" s="692">
        <v>1.6729170340284401</v>
      </c>
      <c r="V274" s="498">
        <v>15360968.570772</v>
      </c>
      <c r="W274" s="692">
        <v>8002162.4892279999</v>
      </c>
      <c r="X274" s="692">
        <v>0</v>
      </c>
      <c r="Y274" s="692">
        <v>0</v>
      </c>
      <c r="Z274" s="692">
        <v>0</v>
      </c>
      <c r="AA274" s="692">
        <v>0</v>
      </c>
      <c r="AB274" s="692">
        <v>0</v>
      </c>
      <c r="AC274" s="692">
        <v>0</v>
      </c>
      <c r="AD274" s="692">
        <v>0</v>
      </c>
      <c r="AE274" s="692">
        <v>0</v>
      </c>
      <c r="AF274" s="692">
        <v>0</v>
      </c>
      <c r="AG274" s="692">
        <v>0</v>
      </c>
      <c r="AH274" s="692">
        <v>0</v>
      </c>
      <c r="AI274" s="692">
        <v>0</v>
      </c>
      <c r="AJ274" s="692">
        <v>0</v>
      </c>
      <c r="AK274" s="692">
        <v>0</v>
      </c>
      <c r="AL274" s="692">
        <v>0</v>
      </c>
      <c r="AM274" s="692">
        <v>0</v>
      </c>
      <c r="AN274" s="692">
        <v>0</v>
      </c>
      <c r="AO274" s="692">
        <v>0</v>
      </c>
      <c r="AP274" s="498">
        <v>0</v>
      </c>
      <c r="AQ274" s="498">
        <v>0</v>
      </c>
      <c r="AR274" s="692">
        <v>3.2113351879335701</v>
      </c>
      <c r="AS274" s="692">
        <v>1.6729170340284401</v>
      </c>
      <c r="AT274" s="498">
        <v>15360968.570772</v>
      </c>
      <c r="AU274" s="695">
        <v>8002162.4892279999</v>
      </c>
    </row>
    <row r="275" spans="1:47" ht="12" thickBot="1">
      <c r="A275" s="937"/>
      <c r="B275" s="937"/>
      <c r="C275" s="938"/>
      <c r="D275" s="938"/>
      <c r="E275" s="938"/>
      <c r="F275" s="938"/>
      <c r="G275" s="690" t="s">
        <v>485</v>
      </c>
      <c r="H275" s="691">
        <v>472618</v>
      </c>
      <c r="I275" s="692">
        <v>0</v>
      </c>
      <c r="J275" s="692">
        <v>0</v>
      </c>
      <c r="K275" s="692">
        <v>0</v>
      </c>
      <c r="L275" s="693"/>
      <c r="M275" s="692">
        <v>37.29</v>
      </c>
      <c r="N275" s="694">
        <v>67940331.525700003</v>
      </c>
      <c r="O275" s="693"/>
      <c r="P275" s="693"/>
      <c r="Q275" s="693"/>
      <c r="R275" s="693"/>
      <c r="S275" s="498">
        <v>5.0926504564234598</v>
      </c>
      <c r="T275" s="692">
        <v>3.1388668298943201</v>
      </c>
      <c r="U275" s="692">
        <v>1.95378362652913</v>
      </c>
      <c r="V275" s="498">
        <v>3935425.8712960002</v>
      </c>
      <c r="W275" s="692">
        <v>2449600.7787040002</v>
      </c>
      <c r="X275" s="692">
        <v>0</v>
      </c>
      <c r="Y275" s="692">
        <v>0</v>
      </c>
      <c r="Z275" s="692">
        <v>0</v>
      </c>
      <c r="AA275" s="692">
        <v>0</v>
      </c>
      <c r="AB275" s="692">
        <v>0</v>
      </c>
      <c r="AC275" s="692">
        <v>0</v>
      </c>
      <c r="AD275" s="692">
        <v>-0.18605673581552901</v>
      </c>
      <c r="AE275" s="692">
        <v>-233272.87563900001</v>
      </c>
      <c r="AF275" s="692">
        <v>0</v>
      </c>
      <c r="AG275" s="692">
        <v>0</v>
      </c>
      <c r="AH275" s="692">
        <v>0</v>
      </c>
      <c r="AI275" s="692">
        <v>0</v>
      </c>
      <c r="AJ275" s="692">
        <v>0</v>
      </c>
      <c r="AK275" s="692">
        <v>0</v>
      </c>
      <c r="AL275" s="692">
        <v>0</v>
      </c>
      <c r="AM275" s="692">
        <v>0</v>
      </c>
      <c r="AN275" s="692">
        <v>0</v>
      </c>
      <c r="AO275" s="692">
        <v>0</v>
      </c>
      <c r="AP275" s="498">
        <v>0</v>
      </c>
      <c r="AQ275" s="498">
        <v>0</v>
      </c>
      <c r="AR275" s="692">
        <v>2.9528100940165798</v>
      </c>
      <c r="AS275" s="692">
        <v>2.13984036240688</v>
      </c>
      <c r="AT275" s="498">
        <v>3702152.9955790001</v>
      </c>
      <c r="AU275" s="695">
        <v>2682873.6544209998</v>
      </c>
    </row>
    <row r="276" spans="1:47" ht="12" thickBot="1">
      <c r="A276" s="937"/>
      <c r="B276" s="937"/>
      <c r="C276" s="936" t="s">
        <v>2746</v>
      </c>
      <c r="D276" s="936" t="s">
        <v>2746</v>
      </c>
      <c r="E276" s="936" t="s">
        <v>2746</v>
      </c>
      <c r="F276" s="936" t="s">
        <v>2746</v>
      </c>
      <c r="G276" s="690" t="s">
        <v>479</v>
      </c>
      <c r="H276" s="691">
        <v>472411</v>
      </c>
      <c r="I276" s="692">
        <v>0</v>
      </c>
      <c r="J276" s="692">
        <v>0</v>
      </c>
      <c r="K276" s="692">
        <v>0</v>
      </c>
      <c r="L276" s="693"/>
      <c r="M276" s="692">
        <v>0</v>
      </c>
      <c r="N276" s="694">
        <v>8868848.1624999996</v>
      </c>
      <c r="O276" s="693"/>
      <c r="P276" s="693"/>
      <c r="Q276" s="693"/>
      <c r="R276" s="693"/>
      <c r="S276" s="498">
        <v>4.1102925647181099</v>
      </c>
      <c r="T276" s="692">
        <v>3.1615583129703202</v>
      </c>
      <c r="U276" s="692">
        <v>0.94873425174778703</v>
      </c>
      <c r="V276" s="498">
        <v>41567581.305586003</v>
      </c>
      <c r="W276" s="692">
        <v>12473781.674414</v>
      </c>
      <c r="X276" s="692">
        <v>0</v>
      </c>
      <c r="Y276" s="692">
        <v>0</v>
      </c>
      <c r="Z276" s="692">
        <v>0</v>
      </c>
      <c r="AA276" s="692">
        <v>0</v>
      </c>
      <c r="AB276" s="692">
        <v>0</v>
      </c>
      <c r="AC276" s="692">
        <v>0</v>
      </c>
      <c r="AD276" s="692">
        <v>0</v>
      </c>
      <c r="AE276" s="692">
        <v>0</v>
      </c>
      <c r="AF276" s="692">
        <v>0</v>
      </c>
      <c r="AG276" s="692">
        <v>0</v>
      </c>
      <c r="AH276" s="692">
        <v>0</v>
      </c>
      <c r="AI276" s="692">
        <v>0</v>
      </c>
      <c r="AJ276" s="692">
        <v>0</v>
      </c>
      <c r="AK276" s="692">
        <v>0</v>
      </c>
      <c r="AL276" s="692">
        <v>0</v>
      </c>
      <c r="AM276" s="692">
        <v>0</v>
      </c>
      <c r="AN276" s="692">
        <v>0</v>
      </c>
      <c r="AO276" s="692">
        <v>0</v>
      </c>
      <c r="AP276" s="498">
        <v>0</v>
      </c>
      <c r="AQ276" s="498">
        <v>0</v>
      </c>
      <c r="AR276" s="692">
        <v>3.1615583129703202</v>
      </c>
      <c r="AS276" s="692">
        <v>0.94873425174778703</v>
      </c>
      <c r="AT276" s="498">
        <v>41567581.305586003</v>
      </c>
      <c r="AU276" s="695">
        <v>12473781.674414</v>
      </c>
    </row>
    <row r="277" spans="1:47" ht="12" thickBot="1">
      <c r="A277" s="937"/>
      <c r="B277" s="937"/>
      <c r="C277" s="937"/>
      <c r="D277" s="937"/>
      <c r="E277" s="937"/>
      <c r="F277" s="937"/>
      <c r="G277" s="690" t="s">
        <v>480</v>
      </c>
      <c r="H277" s="691">
        <v>472412</v>
      </c>
      <c r="I277" s="692">
        <v>0</v>
      </c>
      <c r="J277" s="692">
        <v>0</v>
      </c>
      <c r="K277" s="692">
        <v>0</v>
      </c>
      <c r="L277" s="693"/>
      <c r="M277" s="692">
        <v>0</v>
      </c>
      <c r="N277" s="694">
        <v>164520586.95460001</v>
      </c>
      <c r="O277" s="693"/>
      <c r="P277" s="693"/>
      <c r="Q277" s="693"/>
      <c r="R277" s="693"/>
      <c r="S277" s="498">
        <v>4.6841147442728897</v>
      </c>
      <c r="T277" s="692">
        <v>3.3700382978485202</v>
      </c>
      <c r="U277" s="692">
        <v>1.3140764464243699</v>
      </c>
      <c r="V277" s="498">
        <v>106513467.27282</v>
      </c>
      <c r="W277" s="692">
        <v>41532714.527180001</v>
      </c>
      <c r="X277" s="692">
        <v>0</v>
      </c>
      <c r="Y277" s="692">
        <v>0</v>
      </c>
      <c r="Z277" s="692">
        <v>0</v>
      </c>
      <c r="AA277" s="692">
        <v>0</v>
      </c>
      <c r="AB277" s="692">
        <v>0</v>
      </c>
      <c r="AC277" s="692">
        <v>0</v>
      </c>
      <c r="AD277" s="692">
        <v>0</v>
      </c>
      <c r="AE277" s="692">
        <v>0</v>
      </c>
      <c r="AF277" s="692">
        <v>0</v>
      </c>
      <c r="AG277" s="692">
        <v>0</v>
      </c>
      <c r="AH277" s="692">
        <v>0</v>
      </c>
      <c r="AI277" s="692">
        <v>0</v>
      </c>
      <c r="AJ277" s="692">
        <v>0</v>
      </c>
      <c r="AK277" s="692">
        <v>0</v>
      </c>
      <c r="AL277" s="692">
        <v>0</v>
      </c>
      <c r="AM277" s="692">
        <v>0</v>
      </c>
      <c r="AN277" s="692">
        <v>0</v>
      </c>
      <c r="AO277" s="692">
        <v>0</v>
      </c>
      <c r="AP277" s="498">
        <v>0</v>
      </c>
      <c r="AQ277" s="498">
        <v>0</v>
      </c>
      <c r="AR277" s="692">
        <v>3.3700382978485202</v>
      </c>
      <c r="AS277" s="692">
        <v>1.3140764464243699</v>
      </c>
      <c r="AT277" s="498">
        <v>106513467.27282</v>
      </c>
      <c r="AU277" s="695">
        <v>41532714.527180001</v>
      </c>
    </row>
    <row r="278" spans="1:47" ht="12" thickBot="1">
      <c r="A278" s="937"/>
      <c r="B278" s="937"/>
      <c r="C278" s="937"/>
      <c r="D278" s="937"/>
      <c r="E278" s="937"/>
      <c r="F278" s="937"/>
      <c r="G278" s="690" t="s">
        <v>2745</v>
      </c>
      <c r="H278" s="691">
        <v>472414</v>
      </c>
      <c r="I278" s="692">
        <v>0</v>
      </c>
      <c r="J278" s="692">
        <v>0</v>
      </c>
      <c r="K278" s="692">
        <v>0</v>
      </c>
      <c r="L278" s="693"/>
      <c r="M278" s="692">
        <v>0</v>
      </c>
      <c r="N278" s="694">
        <v>30671335.0986</v>
      </c>
      <c r="O278" s="693"/>
      <c r="P278" s="693"/>
      <c r="Q278" s="693"/>
      <c r="R278" s="693"/>
      <c r="S278" s="498">
        <v>3.33579574822088</v>
      </c>
      <c r="T278" s="692">
        <v>2.8770331945182601</v>
      </c>
      <c r="U278" s="692">
        <v>0.45876255370261798</v>
      </c>
      <c r="V278" s="498">
        <v>69102028.071134001</v>
      </c>
      <c r="W278" s="692">
        <v>11018789.398866</v>
      </c>
      <c r="X278" s="692">
        <v>0</v>
      </c>
      <c r="Y278" s="692">
        <v>0</v>
      </c>
      <c r="Z278" s="692">
        <v>0</v>
      </c>
      <c r="AA278" s="692">
        <v>0</v>
      </c>
      <c r="AB278" s="692">
        <v>0</v>
      </c>
      <c r="AC278" s="692">
        <v>0</v>
      </c>
      <c r="AD278" s="692">
        <v>0</v>
      </c>
      <c r="AE278" s="692">
        <v>0</v>
      </c>
      <c r="AF278" s="692">
        <v>0</v>
      </c>
      <c r="AG278" s="692">
        <v>0</v>
      </c>
      <c r="AH278" s="692">
        <v>0</v>
      </c>
      <c r="AI278" s="692">
        <v>0</v>
      </c>
      <c r="AJ278" s="692">
        <v>0</v>
      </c>
      <c r="AK278" s="692">
        <v>0</v>
      </c>
      <c r="AL278" s="692">
        <v>0</v>
      </c>
      <c r="AM278" s="692">
        <v>0</v>
      </c>
      <c r="AN278" s="692">
        <v>0</v>
      </c>
      <c r="AO278" s="692">
        <v>0</v>
      </c>
      <c r="AP278" s="498">
        <v>0</v>
      </c>
      <c r="AQ278" s="498">
        <v>0</v>
      </c>
      <c r="AR278" s="692">
        <v>2.8770331945182601</v>
      </c>
      <c r="AS278" s="692">
        <v>0.45876255370261798</v>
      </c>
      <c r="AT278" s="498">
        <v>69102028.071134001</v>
      </c>
      <c r="AU278" s="695">
        <v>11018789.398866</v>
      </c>
    </row>
    <row r="279" spans="1:47" ht="12" thickBot="1">
      <c r="A279" s="937"/>
      <c r="B279" s="937"/>
      <c r="C279" s="937"/>
      <c r="D279" s="937"/>
      <c r="E279" s="937"/>
      <c r="F279" s="937"/>
      <c r="G279" s="690" t="s">
        <v>482</v>
      </c>
      <c r="H279" s="691">
        <v>472416</v>
      </c>
      <c r="I279" s="692">
        <v>0</v>
      </c>
      <c r="J279" s="692">
        <v>0</v>
      </c>
      <c r="K279" s="692">
        <v>0</v>
      </c>
      <c r="L279" s="693"/>
      <c r="M279" s="692">
        <v>0</v>
      </c>
      <c r="N279" s="694">
        <v>0</v>
      </c>
      <c r="O279" s="693"/>
      <c r="P279" s="693"/>
      <c r="Q279" s="693"/>
      <c r="R279" s="693"/>
      <c r="S279" s="498">
        <v>5.7076048464719804</v>
      </c>
      <c r="T279" s="692">
        <v>3.15166666667829</v>
      </c>
      <c r="U279" s="692">
        <v>2.5559381797937002</v>
      </c>
      <c r="V279" s="498">
        <v>5455138.888909</v>
      </c>
      <c r="W279" s="692">
        <v>4424007.7510909997</v>
      </c>
      <c r="X279" s="692">
        <v>0</v>
      </c>
      <c r="Y279" s="692">
        <v>0</v>
      </c>
      <c r="Z279" s="692">
        <v>0</v>
      </c>
      <c r="AA279" s="692">
        <v>0</v>
      </c>
      <c r="AB279" s="692">
        <v>0</v>
      </c>
      <c r="AC279" s="692">
        <v>0</v>
      </c>
      <c r="AD279" s="692">
        <v>0</v>
      </c>
      <c r="AE279" s="692">
        <v>0</v>
      </c>
      <c r="AF279" s="692">
        <v>0</v>
      </c>
      <c r="AG279" s="692">
        <v>0</v>
      </c>
      <c r="AH279" s="692">
        <v>0</v>
      </c>
      <c r="AI279" s="692">
        <v>0</v>
      </c>
      <c r="AJ279" s="692">
        <v>0</v>
      </c>
      <c r="AK279" s="692">
        <v>0</v>
      </c>
      <c r="AL279" s="692">
        <v>0</v>
      </c>
      <c r="AM279" s="692">
        <v>0</v>
      </c>
      <c r="AN279" s="692">
        <v>0</v>
      </c>
      <c r="AO279" s="692">
        <v>0</v>
      </c>
      <c r="AP279" s="498">
        <v>0</v>
      </c>
      <c r="AQ279" s="498">
        <v>0</v>
      </c>
      <c r="AR279" s="692">
        <v>3.15166666667829</v>
      </c>
      <c r="AS279" s="692">
        <v>2.5559381797937002</v>
      </c>
      <c r="AT279" s="498">
        <v>5455138.888909</v>
      </c>
      <c r="AU279" s="695">
        <v>4424007.7510909997</v>
      </c>
    </row>
    <row r="280" spans="1:47" ht="12" thickBot="1">
      <c r="A280" s="937"/>
      <c r="B280" s="937"/>
      <c r="C280" s="937"/>
      <c r="D280" s="937"/>
      <c r="E280" s="937"/>
      <c r="F280" s="937"/>
      <c r="G280" s="690" t="s">
        <v>481</v>
      </c>
      <c r="H280" s="691">
        <v>472417</v>
      </c>
      <c r="I280" s="692">
        <v>0</v>
      </c>
      <c r="J280" s="692">
        <v>0</v>
      </c>
      <c r="K280" s="692">
        <v>0</v>
      </c>
      <c r="L280" s="693"/>
      <c r="M280" s="692">
        <v>0</v>
      </c>
      <c r="N280" s="694">
        <v>67892609.777500004</v>
      </c>
      <c r="O280" s="693"/>
      <c r="P280" s="693"/>
      <c r="Q280" s="693"/>
      <c r="R280" s="693"/>
      <c r="S280" s="498">
        <v>4.5299234318753898</v>
      </c>
      <c r="T280" s="692">
        <v>3.1524107712312399</v>
      </c>
      <c r="U280" s="692">
        <v>1.3775126606441399</v>
      </c>
      <c r="V280" s="498">
        <v>3336861.2539249999</v>
      </c>
      <c r="W280" s="692">
        <v>1458112.2060750001</v>
      </c>
      <c r="X280" s="692">
        <v>0</v>
      </c>
      <c r="Y280" s="692">
        <v>0</v>
      </c>
      <c r="Z280" s="692">
        <v>0</v>
      </c>
      <c r="AA280" s="692">
        <v>0</v>
      </c>
      <c r="AB280" s="692">
        <v>0</v>
      </c>
      <c r="AC280" s="692">
        <v>0</v>
      </c>
      <c r="AD280" s="692">
        <v>0</v>
      </c>
      <c r="AE280" s="692">
        <v>0</v>
      </c>
      <c r="AF280" s="692">
        <v>0</v>
      </c>
      <c r="AG280" s="692">
        <v>0</v>
      </c>
      <c r="AH280" s="692">
        <v>0</v>
      </c>
      <c r="AI280" s="692">
        <v>0</v>
      </c>
      <c r="AJ280" s="692">
        <v>0</v>
      </c>
      <c r="AK280" s="692">
        <v>0</v>
      </c>
      <c r="AL280" s="692">
        <v>0</v>
      </c>
      <c r="AM280" s="692">
        <v>0</v>
      </c>
      <c r="AN280" s="692">
        <v>0</v>
      </c>
      <c r="AO280" s="692">
        <v>0</v>
      </c>
      <c r="AP280" s="498">
        <v>0</v>
      </c>
      <c r="AQ280" s="498">
        <v>0</v>
      </c>
      <c r="AR280" s="692">
        <v>3.1524107712312399</v>
      </c>
      <c r="AS280" s="692">
        <v>1.3775126606441399</v>
      </c>
      <c r="AT280" s="498">
        <v>3336861.2539249999</v>
      </c>
      <c r="AU280" s="695">
        <v>1458112.2060750001</v>
      </c>
    </row>
    <row r="281" spans="1:47" ht="12" thickBot="1">
      <c r="A281" s="937"/>
      <c r="B281" s="938"/>
      <c r="C281" s="938"/>
      <c r="D281" s="938"/>
      <c r="E281" s="938"/>
      <c r="F281" s="938"/>
      <c r="G281" s="690" t="s">
        <v>485</v>
      </c>
      <c r="H281" s="691">
        <v>472418</v>
      </c>
      <c r="I281" s="692">
        <v>0</v>
      </c>
      <c r="J281" s="692">
        <v>0</v>
      </c>
      <c r="K281" s="692">
        <v>0</v>
      </c>
      <c r="L281" s="693"/>
      <c r="M281" s="692">
        <v>37.29</v>
      </c>
      <c r="N281" s="694">
        <v>67940331.525700003</v>
      </c>
      <c r="O281" s="693"/>
      <c r="P281" s="693"/>
      <c r="Q281" s="693"/>
      <c r="R281" s="693"/>
      <c r="S281" s="498">
        <v>2.94127981695868</v>
      </c>
      <c r="T281" s="692">
        <v>3.0601170743688901</v>
      </c>
      <c r="U281" s="692">
        <v>-0.118837257410212</v>
      </c>
      <c r="V281" s="498">
        <v>5058390.2458830001</v>
      </c>
      <c r="W281" s="692">
        <v>-196438.63588300001</v>
      </c>
      <c r="X281" s="692">
        <v>0</v>
      </c>
      <c r="Y281" s="692">
        <v>0</v>
      </c>
      <c r="Z281" s="692">
        <v>0</v>
      </c>
      <c r="AA281" s="692">
        <v>0</v>
      </c>
      <c r="AB281" s="692">
        <v>0</v>
      </c>
      <c r="AC281" s="692">
        <v>0</v>
      </c>
      <c r="AD281" s="692">
        <v>-0.19999999998598</v>
      </c>
      <c r="AE281" s="692">
        <v>-330601.09287300002</v>
      </c>
      <c r="AF281" s="692">
        <v>0</v>
      </c>
      <c r="AG281" s="692">
        <v>0</v>
      </c>
      <c r="AH281" s="692">
        <v>0</v>
      </c>
      <c r="AI281" s="692">
        <v>0</v>
      </c>
      <c r="AJ281" s="692">
        <v>0</v>
      </c>
      <c r="AK281" s="692">
        <v>0</v>
      </c>
      <c r="AL281" s="692">
        <v>0</v>
      </c>
      <c r="AM281" s="692">
        <v>0</v>
      </c>
      <c r="AN281" s="692">
        <v>0</v>
      </c>
      <c r="AO281" s="692">
        <v>0</v>
      </c>
      <c r="AP281" s="498">
        <v>0</v>
      </c>
      <c r="AQ281" s="498">
        <v>0</v>
      </c>
      <c r="AR281" s="692">
        <v>2.8601170743829099</v>
      </c>
      <c r="AS281" s="692">
        <v>8.1162742575768998E-2</v>
      </c>
      <c r="AT281" s="498">
        <v>4727789.1530099995</v>
      </c>
      <c r="AU281" s="695">
        <v>134162.45699000001</v>
      </c>
    </row>
    <row r="282" spans="1:47" ht="12" thickBot="1">
      <c r="A282" s="937"/>
      <c r="B282" s="936" t="s">
        <v>2748</v>
      </c>
      <c r="C282" s="690" t="s">
        <v>2749</v>
      </c>
      <c r="D282" s="690" t="s">
        <v>2749</v>
      </c>
      <c r="E282" s="690" t="s">
        <v>2749</v>
      </c>
      <c r="F282" s="690" t="s">
        <v>2749</v>
      </c>
      <c r="G282" s="690" t="s">
        <v>2749</v>
      </c>
      <c r="H282" s="691">
        <v>472553</v>
      </c>
      <c r="I282" s="692">
        <v>93757804592.020004</v>
      </c>
      <c r="J282" s="692">
        <v>4.0603011529454003E-2</v>
      </c>
      <c r="K282" s="692">
        <v>0</v>
      </c>
      <c r="L282" s="693"/>
      <c r="M282" s="692">
        <v>0</v>
      </c>
      <c r="N282" s="694">
        <v>1411759794.9100001</v>
      </c>
      <c r="O282" s="693"/>
      <c r="P282" s="693"/>
      <c r="Q282" s="693"/>
      <c r="R282" s="693"/>
      <c r="S282" s="498">
        <v>4.2644377822999902</v>
      </c>
      <c r="T282" s="692">
        <v>3.72486941166507</v>
      </c>
      <c r="U282" s="692">
        <v>0.53956837063492102</v>
      </c>
      <c r="V282" s="498">
        <v>1647211457.67974</v>
      </c>
      <c r="W282" s="692">
        <v>238607882.34026399</v>
      </c>
      <c r="X282" s="692">
        <v>0</v>
      </c>
      <c r="Y282" s="692">
        <v>0</v>
      </c>
      <c r="Z282" s="692">
        <v>0</v>
      </c>
      <c r="AA282" s="692">
        <v>0</v>
      </c>
      <c r="AB282" s="692">
        <v>0</v>
      </c>
      <c r="AC282" s="692">
        <v>0</v>
      </c>
      <c r="AD282" s="692">
        <v>0</v>
      </c>
      <c r="AE282" s="692">
        <v>0</v>
      </c>
      <c r="AF282" s="692">
        <v>0</v>
      </c>
      <c r="AG282" s="692">
        <v>0</v>
      </c>
      <c r="AH282" s="692">
        <v>0</v>
      </c>
      <c r="AI282" s="692">
        <v>0</v>
      </c>
      <c r="AJ282" s="692">
        <v>0</v>
      </c>
      <c r="AK282" s="692">
        <v>0</v>
      </c>
      <c r="AL282" s="692">
        <v>0</v>
      </c>
      <c r="AM282" s="692">
        <v>0</v>
      </c>
      <c r="AN282" s="692">
        <v>0</v>
      </c>
      <c r="AO282" s="692">
        <v>0</v>
      </c>
      <c r="AP282" s="498">
        <v>0</v>
      </c>
      <c r="AQ282" s="498">
        <v>0</v>
      </c>
      <c r="AR282" s="692">
        <v>3.72486941166507</v>
      </c>
      <c r="AS282" s="692">
        <v>0.53956837063492102</v>
      </c>
      <c r="AT282" s="498">
        <v>1647211457.67974</v>
      </c>
      <c r="AU282" s="695">
        <v>238607882.34026399</v>
      </c>
    </row>
    <row r="283" spans="1:47" ht="12" thickBot="1">
      <c r="A283" s="937"/>
      <c r="B283" s="937"/>
      <c r="C283" s="936" t="s">
        <v>483</v>
      </c>
      <c r="D283" s="936" t="s">
        <v>483</v>
      </c>
      <c r="E283" s="936" t="s">
        <v>483</v>
      </c>
      <c r="F283" s="936" t="s">
        <v>483</v>
      </c>
      <c r="G283" s="690" t="s">
        <v>2750</v>
      </c>
      <c r="H283" s="691">
        <v>472551</v>
      </c>
      <c r="I283" s="692">
        <v>8637910000</v>
      </c>
      <c r="J283" s="692">
        <v>4.8368737345029E-2</v>
      </c>
      <c r="K283" s="692">
        <v>0</v>
      </c>
      <c r="L283" s="693"/>
      <c r="M283" s="692">
        <v>0</v>
      </c>
      <c r="N283" s="694">
        <v>0</v>
      </c>
      <c r="O283" s="693"/>
      <c r="P283" s="693"/>
      <c r="Q283" s="693"/>
      <c r="R283" s="693"/>
      <c r="S283" s="498">
        <v>0</v>
      </c>
      <c r="T283" s="692">
        <v>0</v>
      </c>
      <c r="U283" s="692">
        <v>0</v>
      </c>
      <c r="V283" s="498">
        <v>0</v>
      </c>
      <c r="W283" s="692">
        <v>0</v>
      </c>
      <c r="X283" s="692">
        <v>0</v>
      </c>
      <c r="Y283" s="692">
        <v>0</v>
      </c>
      <c r="Z283" s="692">
        <v>0</v>
      </c>
      <c r="AA283" s="692">
        <v>0</v>
      </c>
      <c r="AB283" s="692">
        <v>0</v>
      </c>
      <c r="AC283" s="692">
        <v>0</v>
      </c>
      <c r="AD283" s="692">
        <v>0</v>
      </c>
      <c r="AE283" s="692">
        <v>0</v>
      </c>
      <c r="AF283" s="692">
        <v>0</v>
      </c>
      <c r="AG283" s="692">
        <v>0</v>
      </c>
      <c r="AH283" s="692">
        <v>0</v>
      </c>
      <c r="AI283" s="692">
        <v>0</v>
      </c>
      <c r="AJ283" s="692">
        <v>0</v>
      </c>
      <c r="AK283" s="692">
        <v>0</v>
      </c>
      <c r="AL283" s="692">
        <v>0</v>
      </c>
      <c r="AM283" s="692">
        <v>0</v>
      </c>
      <c r="AN283" s="692">
        <v>0</v>
      </c>
      <c r="AO283" s="692">
        <v>0</v>
      </c>
      <c r="AP283" s="498">
        <v>0</v>
      </c>
      <c r="AQ283" s="498">
        <v>0</v>
      </c>
      <c r="AR283" s="692">
        <v>0</v>
      </c>
      <c r="AS283" s="692">
        <v>0</v>
      </c>
      <c r="AT283" s="498">
        <v>0</v>
      </c>
      <c r="AU283" s="695">
        <v>0</v>
      </c>
    </row>
    <row r="284" spans="1:47" ht="12" thickBot="1">
      <c r="A284" s="937"/>
      <c r="B284" s="937"/>
      <c r="C284" s="937"/>
      <c r="D284" s="937"/>
      <c r="E284" s="937"/>
      <c r="F284" s="937"/>
      <c r="G284" s="690" t="s">
        <v>2751</v>
      </c>
      <c r="H284" s="691">
        <v>472552</v>
      </c>
      <c r="I284" s="692">
        <v>20182430000</v>
      </c>
      <c r="J284" s="692">
        <v>4.4611875775117001E-2</v>
      </c>
      <c r="K284" s="692">
        <v>0</v>
      </c>
      <c r="L284" s="693"/>
      <c r="M284" s="692">
        <v>0</v>
      </c>
      <c r="N284" s="694">
        <v>0</v>
      </c>
      <c r="O284" s="693"/>
      <c r="P284" s="693"/>
      <c r="Q284" s="693"/>
      <c r="R284" s="693"/>
      <c r="S284" s="498">
        <v>0</v>
      </c>
      <c r="T284" s="692">
        <v>0</v>
      </c>
      <c r="U284" s="692">
        <v>0</v>
      </c>
      <c r="V284" s="498">
        <v>0</v>
      </c>
      <c r="W284" s="692">
        <v>0</v>
      </c>
      <c r="X284" s="692">
        <v>0</v>
      </c>
      <c r="Y284" s="692">
        <v>0</v>
      </c>
      <c r="Z284" s="692">
        <v>0</v>
      </c>
      <c r="AA284" s="692">
        <v>0</v>
      </c>
      <c r="AB284" s="692">
        <v>0</v>
      </c>
      <c r="AC284" s="692">
        <v>0</v>
      </c>
      <c r="AD284" s="692">
        <v>0</v>
      </c>
      <c r="AE284" s="692">
        <v>0</v>
      </c>
      <c r="AF284" s="692">
        <v>0</v>
      </c>
      <c r="AG284" s="692">
        <v>0</v>
      </c>
      <c r="AH284" s="692">
        <v>0</v>
      </c>
      <c r="AI284" s="692">
        <v>0</v>
      </c>
      <c r="AJ284" s="692">
        <v>0</v>
      </c>
      <c r="AK284" s="692">
        <v>0</v>
      </c>
      <c r="AL284" s="692">
        <v>0</v>
      </c>
      <c r="AM284" s="692">
        <v>0</v>
      </c>
      <c r="AN284" s="692">
        <v>0</v>
      </c>
      <c r="AO284" s="692">
        <v>0</v>
      </c>
      <c r="AP284" s="498">
        <v>0</v>
      </c>
      <c r="AQ284" s="498">
        <v>0</v>
      </c>
      <c r="AR284" s="692">
        <v>0</v>
      </c>
      <c r="AS284" s="692">
        <v>0</v>
      </c>
      <c r="AT284" s="498">
        <v>0</v>
      </c>
      <c r="AU284" s="695">
        <v>0</v>
      </c>
    </row>
    <row r="285" spans="1:47" ht="12" thickBot="1">
      <c r="A285" s="937"/>
      <c r="B285" s="937"/>
      <c r="C285" s="937"/>
      <c r="D285" s="937"/>
      <c r="E285" s="937"/>
      <c r="F285" s="937"/>
      <c r="G285" s="690" t="s">
        <v>2752</v>
      </c>
      <c r="H285" s="691">
        <v>472559</v>
      </c>
      <c r="I285" s="692">
        <v>85978809600</v>
      </c>
      <c r="J285" s="692">
        <v>6.61</v>
      </c>
      <c r="K285" s="692">
        <v>0</v>
      </c>
      <c r="L285" s="693"/>
      <c r="M285" s="692">
        <v>0</v>
      </c>
      <c r="N285" s="694">
        <v>0</v>
      </c>
      <c r="O285" s="693"/>
      <c r="P285" s="693"/>
      <c r="Q285" s="693"/>
      <c r="R285" s="693"/>
      <c r="S285" s="498">
        <v>0</v>
      </c>
      <c r="T285" s="692">
        <v>0</v>
      </c>
      <c r="U285" s="692">
        <v>0</v>
      </c>
      <c r="V285" s="498">
        <v>0</v>
      </c>
      <c r="W285" s="692">
        <v>0</v>
      </c>
      <c r="X285" s="692">
        <v>0</v>
      </c>
      <c r="Y285" s="692">
        <v>0</v>
      </c>
      <c r="Z285" s="692">
        <v>0</v>
      </c>
      <c r="AA285" s="692">
        <v>0</v>
      </c>
      <c r="AB285" s="692">
        <v>0</v>
      </c>
      <c r="AC285" s="692">
        <v>0</v>
      </c>
      <c r="AD285" s="692">
        <v>0</v>
      </c>
      <c r="AE285" s="692">
        <v>0</v>
      </c>
      <c r="AF285" s="692">
        <v>0</v>
      </c>
      <c r="AG285" s="692">
        <v>0</v>
      </c>
      <c r="AH285" s="692">
        <v>0</v>
      </c>
      <c r="AI285" s="692">
        <v>0</v>
      </c>
      <c r="AJ285" s="692">
        <v>0</v>
      </c>
      <c r="AK285" s="692">
        <v>0</v>
      </c>
      <c r="AL285" s="692">
        <v>0</v>
      </c>
      <c r="AM285" s="692">
        <v>0</v>
      </c>
      <c r="AN285" s="692">
        <v>0</v>
      </c>
      <c r="AO285" s="692">
        <v>0</v>
      </c>
      <c r="AP285" s="498">
        <v>0</v>
      </c>
      <c r="AQ285" s="498">
        <v>0</v>
      </c>
      <c r="AR285" s="692">
        <v>0</v>
      </c>
      <c r="AS285" s="692">
        <v>0</v>
      </c>
      <c r="AT285" s="498">
        <v>0</v>
      </c>
      <c r="AU285" s="695">
        <v>0</v>
      </c>
    </row>
    <row r="286" spans="1:47" ht="12" thickBot="1">
      <c r="A286" s="937"/>
      <c r="B286" s="937"/>
      <c r="C286" s="938"/>
      <c r="D286" s="938"/>
      <c r="E286" s="938"/>
      <c r="F286" s="938"/>
      <c r="G286" s="690" t="s">
        <v>2753</v>
      </c>
      <c r="H286" s="691">
        <v>472574</v>
      </c>
      <c r="I286" s="692">
        <v>114415995424.61</v>
      </c>
      <c r="J286" s="692">
        <v>5.9263296921040001E-2</v>
      </c>
      <c r="K286" s="692">
        <v>0</v>
      </c>
      <c r="L286" s="693"/>
      <c r="M286" s="692">
        <v>0</v>
      </c>
      <c r="N286" s="694">
        <v>334837929.81999999</v>
      </c>
      <c r="O286" s="693"/>
      <c r="P286" s="693"/>
      <c r="Q286" s="693"/>
      <c r="R286" s="693"/>
      <c r="S286" s="498">
        <v>1.9355444889195199</v>
      </c>
      <c r="T286" s="692">
        <v>0</v>
      </c>
      <c r="U286" s="692">
        <v>1.9355444889195199</v>
      </c>
      <c r="V286" s="498">
        <v>0</v>
      </c>
      <c r="W286" s="692">
        <v>752728975.27999997</v>
      </c>
      <c r="X286" s="692">
        <v>0</v>
      </c>
      <c r="Y286" s="692">
        <v>0</v>
      </c>
      <c r="Z286" s="692">
        <v>0</v>
      </c>
      <c r="AA286" s="692">
        <v>0</v>
      </c>
      <c r="AB286" s="692">
        <v>0</v>
      </c>
      <c r="AC286" s="692">
        <v>0</v>
      </c>
      <c r="AD286" s="692">
        <v>0</v>
      </c>
      <c r="AE286" s="692">
        <v>0</v>
      </c>
      <c r="AF286" s="692">
        <v>0</v>
      </c>
      <c r="AG286" s="692">
        <v>0</v>
      </c>
      <c r="AH286" s="692">
        <v>0</v>
      </c>
      <c r="AI286" s="692">
        <v>0</v>
      </c>
      <c r="AJ286" s="692">
        <v>0</v>
      </c>
      <c r="AK286" s="692">
        <v>0</v>
      </c>
      <c r="AL286" s="692">
        <v>0</v>
      </c>
      <c r="AM286" s="692">
        <v>0</v>
      </c>
      <c r="AN286" s="692">
        <v>0</v>
      </c>
      <c r="AO286" s="692">
        <v>0</v>
      </c>
      <c r="AP286" s="498">
        <v>0</v>
      </c>
      <c r="AQ286" s="498">
        <v>0</v>
      </c>
      <c r="AR286" s="692">
        <v>0</v>
      </c>
      <c r="AS286" s="692">
        <v>1.9355444889195199</v>
      </c>
      <c r="AT286" s="498">
        <v>0</v>
      </c>
      <c r="AU286" s="695">
        <v>752728975.27999997</v>
      </c>
    </row>
    <row r="287" spans="1:47" ht="12" thickBot="1">
      <c r="A287" s="937"/>
      <c r="B287" s="937"/>
      <c r="C287" s="936" t="s">
        <v>2754</v>
      </c>
      <c r="D287" s="936" t="s">
        <v>2754</v>
      </c>
      <c r="E287" s="936" t="s">
        <v>2754</v>
      </c>
      <c r="F287" s="936" t="s">
        <v>2754</v>
      </c>
      <c r="G287" s="690" t="s">
        <v>2755</v>
      </c>
      <c r="H287" s="691">
        <v>472555</v>
      </c>
      <c r="I287" s="692">
        <v>6573000000</v>
      </c>
      <c r="J287" s="692">
        <v>3.4125969876768997E-2</v>
      </c>
      <c r="K287" s="692">
        <v>0</v>
      </c>
      <c r="L287" s="693"/>
      <c r="M287" s="692">
        <v>20107213.5</v>
      </c>
      <c r="N287" s="694">
        <v>0</v>
      </c>
      <c r="O287" s="693"/>
      <c r="P287" s="693"/>
      <c r="Q287" s="693"/>
      <c r="R287" s="693"/>
      <c r="S287" s="498">
        <v>0.73522884261869703</v>
      </c>
      <c r="T287" s="692">
        <v>0</v>
      </c>
      <c r="U287" s="692">
        <v>-0.73522884261869703</v>
      </c>
      <c r="V287" s="498">
        <v>0</v>
      </c>
      <c r="W287" s="692">
        <v>-26292145</v>
      </c>
      <c r="X287" s="692">
        <v>0</v>
      </c>
      <c r="Y287" s="692">
        <v>0</v>
      </c>
      <c r="Z287" s="692">
        <v>0</v>
      </c>
      <c r="AA287" s="692">
        <v>0</v>
      </c>
      <c r="AB287" s="692">
        <v>0</v>
      </c>
      <c r="AC287" s="692">
        <v>0</v>
      </c>
      <c r="AD287" s="692">
        <v>0</v>
      </c>
      <c r="AE287" s="692">
        <v>0</v>
      </c>
      <c r="AF287" s="692">
        <v>0</v>
      </c>
      <c r="AG287" s="692">
        <v>0</v>
      </c>
      <c r="AH287" s="692">
        <v>0</v>
      </c>
      <c r="AI287" s="692">
        <v>0</v>
      </c>
      <c r="AJ287" s="692">
        <v>0</v>
      </c>
      <c r="AK287" s="692">
        <v>0</v>
      </c>
      <c r="AL287" s="692">
        <v>0</v>
      </c>
      <c r="AM287" s="692">
        <v>0</v>
      </c>
      <c r="AN287" s="692">
        <v>0</v>
      </c>
      <c r="AO287" s="692">
        <v>0</v>
      </c>
      <c r="AP287" s="498">
        <v>0</v>
      </c>
      <c r="AQ287" s="498">
        <v>0</v>
      </c>
      <c r="AR287" s="692">
        <v>0</v>
      </c>
      <c r="AS287" s="692">
        <v>-0.73522884261869703</v>
      </c>
      <c r="AT287" s="498">
        <v>0</v>
      </c>
      <c r="AU287" s="695">
        <v>-26292145</v>
      </c>
    </row>
    <row r="288" spans="1:47" ht="12" thickBot="1">
      <c r="A288" s="937"/>
      <c r="B288" s="937"/>
      <c r="C288" s="937"/>
      <c r="D288" s="937"/>
      <c r="E288" s="937"/>
      <c r="F288" s="937"/>
      <c r="G288" s="690" t="s">
        <v>2756</v>
      </c>
      <c r="H288" s="691">
        <v>472557</v>
      </c>
      <c r="I288" s="692">
        <v>18148700000</v>
      </c>
      <c r="J288" s="692">
        <v>3.481568927802E-2</v>
      </c>
      <c r="K288" s="692">
        <v>0</v>
      </c>
      <c r="L288" s="693"/>
      <c r="M288" s="692">
        <v>362451652.97000003</v>
      </c>
      <c r="N288" s="694">
        <v>0</v>
      </c>
      <c r="O288" s="693"/>
      <c r="P288" s="693"/>
      <c r="Q288" s="693"/>
      <c r="R288" s="693"/>
      <c r="S288" s="498">
        <v>0</v>
      </c>
      <c r="T288" s="692">
        <v>0</v>
      </c>
      <c r="U288" s="692">
        <v>0</v>
      </c>
      <c r="V288" s="498">
        <v>0</v>
      </c>
      <c r="W288" s="692">
        <v>0</v>
      </c>
      <c r="X288" s="692">
        <v>0</v>
      </c>
      <c r="Y288" s="692">
        <v>0</v>
      </c>
      <c r="Z288" s="692">
        <v>0</v>
      </c>
      <c r="AA288" s="692">
        <v>0</v>
      </c>
      <c r="AB288" s="692">
        <v>0</v>
      </c>
      <c r="AC288" s="692">
        <v>0</v>
      </c>
      <c r="AD288" s="692">
        <v>0</v>
      </c>
      <c r="AE288" s="692">
        <v>0</v>
      </c>
      <c r="AF288" s="692">
        <v>0</v>
      </c>
      <c r="AG288" s="692">
        <v>0</v>
      </c>
      <c r="AH288" s="692">
        <v>0</v>
      </c>
      <c r="AI288" s="692">
        <v>0</v>
      </c>
      <c r="AJ288" s="692">
        <v>0</v>
      </c>
      <c r="AK288" s="692">
        <v>0</v>
      </c>
      <c r="AL288" s="692">
        <v>0</v>
      </c>
      <c r="AM288" s="692">
        <v>0</v>
      </c>
      <c r="AN288" s="692">
        <v>0</v>
      </c>
      <c r="AO288" s="692">
        <v>0</v>
      </c>
      <c r="AP288" s="498">
        <v>0</v>
      </c>
      <c r="AQ288" s="498">
        <v>0</v>
      </c>
      <c r="AR288" s="692">
        <v>0</v>
      </c>
      <c r="AS288" s="692">
        <v>0</v>
      </c>
      <c r="AT288" s="498">
        <v>0</v>
      </c>
      <c r="AU288" s="695">
        <v>0</v>
      </c>
    </row>
    <row r="289" spans="1:47" ht="12" thickBot="1">
      <c r="A289" s="937"/>
      <c r="B289" s="937"/>
      <c r="C289" s="937"/>
      <c r="D289" s="937"/>
      <c r="E289" s="937"/>
      <c r="F289" s="937"/>
      <c r="G289" s="690" t="s">
        <v>2757</v>
      </c>
      <c r="H289" s="691">
        <v>472560</v>
      </c>
      <c r="I289" s="692">
        <v>12911237000</v>
      </c>
      <c r="J289" s="692">
        <v>3.4101408429726997E-2</v>
      </c>
      <c r="K289" s="692">
        <v>0</v>
      </c>
      <c r="L289" s="693"/>
      <c r="M289" s="692">
        <v>207549182.03999999</v>
      </c>
      <c r="N289" s="694">
        <v>0</v>
      </c>
      <c r="O289" s="693"/>
      <c r="P289" s="693"/>
      <c r="Q289" s="693"/>
      <c r="R289" s="693"/>
      <c r="S289" s="498">
        <v>0</v>
      </c>
      <c r="T289" s="692">
        <v>0</v>
      </c>
      <c r="U289" s="692">
        <v>0</v>
      </c>
      <c r="V289" s="498">
        <v>0</v>
      </c>
      <c r="W289" s="692">
        <v>0</v>
      </c>
      <c r="X289" s="692">
        <v>0</v>
      </c>
      <c r="Y289" s="692">
        <v>0</v>
      </c>
      <c r="Z289" s="692">
        <v>0</v>
      </c>
      <c r="AA289" s="692">
        <v>0</v>
      </c>
      <c r="AB289" s="692">
        <v>0</v>
      </c>
      <c r="AC289" s="692">
        <v>0</v>
      </c>
      <c r="AD289" s="692">
        <v>0</v>
      </c>
      <c r="AE289" s="692">
        <v>0</v>
      </c>
      <c r="AF289" s="692">
        <v>0</v>
      </c>
      <c r="AG289" s="692">
        <v>0</v>
      </c>
      <c r="AH289" s="692">
        <v>0</v>
      </c>
      <c r="AI289" s="692">
        <v>0</v>
      </c>
      <c r="AJ289" s="692">
        <v>0</v>
      </c>
      <c r="AK289" s="692">
        <v>0</v>
      </c>
      <c r="AL289" s="692">
        <v>0</v>
      </c>
      <c r="AM289" s="692">
        <v>0</v>
      </c>
      <c r="AN289" s="692">
        <v>0</v>
      </c>
      <c r="AO289" s="692">
        <v>0</v>
      </c>
      <c r="AP289" s="498">
        <v>0</v>
      </c>
      <c r="AQ289" s="498">
        <v>0</v>
      </c>
      <c r="AR289" s="692">
        <v>0</v>
      </c>
      <c r="AS289" s="692">
        <v>0</v>
      </c>
      <c r="AT289" s="498">
        <v>0</v>
      </c>
      <c r="AU289" s="695">
        <v>0</v>
      </c>
    </row>
    <row r="290" spans="1:47" ht="12" thickBot="1">
      <c r="A290" s="937"/>
      <c r="B290" s="938"/>
      <c r="C290" s="938"/>
      <c r="D290" s="938"/>
      <c r="E290" s="938"/>
      <c r="F290" s="938"/>
      <c r="G290" s="690" t="s">
        <v>136</v>
      </c>
      <c r="H290" s="691">
        <v>472573</v>
      </c>
      <c r="I290" s="692">
        <v>36079000000</v>
      </c>
      <c r="J290" s="692">
        <v>5.8202060755564E-2</v>
      </c>
      <c r="K290" s="692">
        <v>0</v>
      </c>
      <c r="L290" s="693"/>
      <c r="M290" s="692">
        <v>0</v>
      </c>
      <c r="N290" s="694">
        <v>179499203.41999999</v>
      </c>
      <c r="O290" s="693"/>
      <c r="P290" s="693"/>
      <c r="Q290" s="693"/>
      <c r="R290" s="693"/>
      <c r="S290" s="498">
        <v>1.1850203310632099</v>
      </c>
      <c r="T290" s="692">
        <v>0</v>
      </c>
      <c r="U290" s="692">
        <v>1.1850203310632099</v>
      </c>
      <c r="V290" s="498">
        <v>0</v>
      </c>
      <c r="W290" s="692">
        <v>227314708.93000001</v>
      </c>
      <c r="X290" s="692">
        <v>0</v>
      </c>
      <c r="Y290" s="692">
        <v>0</v>
      </c>
      <c r="Z290" s="692">
        <v>0</v>
      </c>
      <c r="AA290" s="692">
        <v>0</v>
      </c>
      <c r="AB290" s="692">
        <v>0</v>
      </c>
      <c r="AC290" s="692">
        <v>0</v>
      </c>
      <c r="AD290" s="692">
        <v>0</v>
      </c>
      <c r="AE290" s="692">
        <v>0</v>
      </c>
      <c r="AF290" s="692">
        <v>0</v>
      </c>
      <c r="AG290" s="692">
        <v>0</v>
      </c>
      <c r="AH290" s="692">
        <v>0</v>
      </c>
      <c r="AI290" s="692">
        <v>0</v>
      </c>
      <c r="AJ290" s="692">
        <v>0</v>
      </c>
      <c r="AK290" s="692">
        <v>0</v>
      </c>
      <c r="AL290" s="692">
        <v>0</v>
      </c>
      <c r="AM290" s="692">
        <v>0</v>
      </c>
      <c r="AN290" s="692">
        <v>0</v>
      </c>
      <c r="AO290" s="692">
        <v>0</v>
      </c>
      <c r="AP290" s="498">
        <v>0</v>
      </c>
      <c r="AQ290" s="498">
        <v>0</v>
      </c>
      <c r="AR290" s="692">
        <v>0</v>
      </c>
      <c r="AS290" s="692">
        <v>1.1850203310632099</v>
      </c>
      <c r="AT290" s="498">
        <v>0</v>
      </c>
      <c r="AU290" s="695">
        <v>227314708.93000001</v>
      </c>
    </row>
    <row r="291" spans="1:47" ht="12" thickBot="1">
      <c r="A291" s="937"/>
      <c r="B291" s="936" t="s">
        <v>1662</v>
      </c>
      <c r="C291" s="936" t="s">
        <v>1662</v>
      </c>
      <c r="D291" s="936" t="s">
        <v>1662</v>
      </c>
      <c r="E291" s="936" t="s">
        <v>1662</v>
      </c>
      <c r="F291" s="936" t="s">
        <v>1662</v>
      </c>
      <c r="G291" s="690" t="s">
        <v>2758</v>
      </c>
      <c r="H291" s="691">
        <v>473102</v>
      </c>
      <c r="I291" s="692">
        <v>58630000000</v>
      </c>
      <c r="J291" s="692">
        <v>0</v>
      </c>
      <c r="K291" s="692">
        <v>0</v>
      </c>
      <c r="L291" s="693"/>
      <c r="M291" s="692">
        <v>375724551.69</v>
      </c>
      <c r="N291" s="694">
        <v>0</v>
      </c>
      <c r="O291" s="693"/>
      <c r="P291" s="693"/>
      <c r="Q291" s="693"/>
      <c r="R291" s="693"/>
      <c r="S291" s="498">
        <v>0</v>
      </c>
      <c r="T291" s="692">
        <v>1.99946694074128</v>
      </c>
      <c r="U291" s="692">
        <v>1.99946694074128</v>
      </c>
      <c r="V291" s="498">
        <v>251810462.786208</v>
      </c>
      <c r="W291" s="692">
        <v>251810462.786208</v>
      </c>
      <c r="X291" s="692">
        <v>0</v>
      </c>
      <c r="Y291" s="692">
        <v>0</v>
      </c>
      <c r="Z291" s="692">
        <v>0</v>
      </c>
      <c r="AA291" s="692">
        <v>0</v>
      </c>
      <c r="AB291" s="692">
        <v>0</v>
      </c>
      <c r="AC291" s="692">
        <v>0</v>
      </c>
      <c r="AD291" s="692">
        <v>0</v>
      </c>
      <c r="AE291" s="692">
        <v>0</v>
      </c>
      <c r="AF291" s="692">
        <v>0</v>
      </c>
      <c r="AG291" s="692">
        <v>0</v>
      </c>
      <c r="AH291" s="692">
        <v>0</v>
      </c>
      <c r="AI291" s="692">
        <v>0</v>
      </c>
      <c r="AJ291" s="692">
        <v>0</v>
      </c>
      <c r="AK291" s="692">
        <v>0</v>
      </c>
      <c r="AL291" s="692">
        <v>0</v>
      </c>
      <c r="AM291" s="692">
        <v>0</v>
      </c>
      <c r="AN291" s="692">
        <v>0</v>
      </c>
      <c r="AO291" s="692">
        <v>0</v>
      </c>
      <c r="AP291" s="498">
        <v>0</v>
      </c>
      <c r="AQ291" s="498">
        <v>0</v>
      </c>
      <c r="AR291" s="692">
        <v>1.99946694074128</v>
      </c>
      <c r="AS291" s="692">
        <v>1.99946694074128</v>
      </c>
      <c r="AT291" s="498">
        <v>251810462.786208</v>
      </c>
      <c r="AU291" s="695">
        <v>251810462.786208</v>
      </c>
    </row>
    <row r="292" spans="1:47" ht="12" thickBot="1">
      <c r="A292" s="937"/>
      <c r="B292" s="938"/>
      <c r="C292" s="938"/>
      <c r="D292" s="938"/>
      <c r="E292" s="938"/>
      <c r="F292" s="938"/>
      <c r="G292" s="690" t="s">
        <v>2877</v>
      </c>
      <c r="H292" s="691">
        <v>473103</v>
      </c>
      <c r="I292" s="692">
        <v>24080000000</v>
      </c>
      <c r="J292" s="692">
        <v>0</v>
      </c>
      <c r="K292" s="692">
        <v>0</v>
      </c>
      <c r="L292" s="693"/>
      <c r="M292" s="692">
        <v>238694926.69</v>
      </c>
      <c r="N292" s="694">
        <v>0</v>
      </c>
      <c r="O292" s="693"/>
      <c r="P292" s="693"/>
      <c r="Q292" s="693"/>
      <c r="R292" s="693"/>
      <c r="S292" s="498">
        <v>0</v>
      </c>
      <c r="T292" s="692">
        <v>0</v>
      </c>
      <c r="U292" s="692">
        <v>0</v>
      </c>
      <c r="V292" s="498">
        <v>0</v>
      </c>
      <c r="W292" s="692">
        <v>0</v>
      </c>
      <c r="X292" s="692">
        <v>0</v>
      </c>
      <c r="Y292" s="692">
        <v>0</v>
      </c>
      <c r="Z292" s="692">
        <v>0</v>
      </c>
      <c r="AA292" s="692">
        <v>0</v>
      </c>
      <c r="AB292" s="692">
        <v>0</v>
      </c>
      <c r="AC292" s="692">
        <v>0</v>
      </c>
      <c r="AD292" s="692">
        <v>0</v>
      </c>
      <c r="AE292" s="692">
        <v>0</v>
      </c>
      <c r="AF292" s="692">
        <v>0</v>
      </c>
      <c r="AG292" s="692">
        <v>0</v>
      </c>
      <c r="AH292" s="692">
        <v>0</v>
      </c>
      <c r="AI292" s="692">
        <v>0</v>
      </c>
      <c r="AJ292" s="692">
        <v>0</v>
      </c>
      <c r="AK292" s="692">
        <v>0</v>
      </c>
      <c r="AL292" s="692">
        <v>0</v>
      </c>
      <c r="AM292" s="692">
        <v>0</v>
      </c>
      <c r="AN292" s="692">
        <v>0</v>
      </c>
      <c r="AO292" s="692">
        <v>0</v>
      </c>
      <c r="AP292" s="498">
        <v>0</v>
      </c>
      <c r="AQ292" s="498">
        <v>0</v>
      </c>
      <c r="AR292" s="692">
        <v>0</v>
      </c>
      <c r="AS292" s="692">
        <v>0</v>
      </c>
      <c r="AT292" s="498">
        <v>0</v>
      </c>
      <c r="AU292" s="695">
        <v>0</v>
      </c>
    </row>
    <row r="293" spans="1:47" ht="12" thickBot="1">
      <c r="A293" s="937"/>
      <c r="B293" s="690" t="s">
        <v>486</v>
      </c>
      <c r="C293" s="690" t="s">
        <v>486</v>
      </c>
      <c r="D293" s="690" t="s">
        <v>486</v>
      </c>
      <c r="E293" s="690" t="s">
        <v>486</v>
      </c>
      <c r="F293" s="690" t="s">
        <v>486</v>
      </c>
      <c r="G293" s="690" t="s">
        <v>486</v>
      </c>
      <c r="H293" s="691">
        <v>473501</v>
      </c>
      <c r="I293" s="692">
        <v>2503583810.5805702</v>
      </c>
      <c r="J293" s="692">
        <v>0</v>
      </c>
      <c r="K293" s="692">
        <v>0</v>
      </c>
      <c r="L293" s="693"/>
      <c r="M293" s="692">
        <v>0</v>
      </c>
      <c r="N293" s="694">
        <v>0</v>
      </c>
      <c r="O293" s="693"/>
      <c r="P293" s="693"/>
      <c r="Q293" s="693"/>
      <c r="R293" s="693"/>
      <c r="S293" s="498">
        <v>0</v>
      </c>
      <c r="T293" s="692">
        <v>3.4650665471337398</v>
      </c>
      <c r="U293" s="692">
        <v>-3.4650665471337398</v>
      </c>
      <c r="V293" s="498">
        <v>46286679.967988998</v>
      </c>
      <c r="W293" s="692">
        <v>-46286679.967988998</v>
      </c>
      <c r="X293" s="692">
        <v>0</v>
      </c>
      <c r="Y293" s="692">
        <v>0</v>
      </c>
      <c r="Z293" s="692">
        <v>0</v>
      </c>
      <c r="AA293" s="692">
        <v>0</v>
      </c>
      <c r="AB293" s="692">
        <v>0</v>
      </c>
      <c r="AC293" s="692">
        <v>0</v>
      </c>
      <c r="AD293" s="692">
        <v>0</v>
      </c>
      <c r="AE293" s="692">
        <v>0</v>
      </c>
      <c r="AF293" s="692">
        <v>0</v>
      </c>
      <c r="AG293" s="692">
        <v>0</v>
      </c>
      <c r="AH293" s="692">
        <v>0</v>
      </c>
      <c r="AI293" s="692">
        <v>0</v>
      </c>
      <c r="AJ293" s="692">
        <v>0</v>
      </c>
      <c r="AK293" s="692">
        <v>0</v>
      </c>
      <c r="AL293" s="692">
        <v>0</v>
      </c>
      <c r="AM293" s="692">
        <v>0</v>
      </c>
      <c r="AN293" s="692">
        <v>0</v>
      </c>
      <c r="AO293" s="692">
        <v>0</v>
      </c>
      <c r="AP293" s="498">
        <v>0</v>
      </c>
      <c r="AQ293" s="498">
        <v>0</v>
      </c>
      <c r="AR293" s="692">
        <v>3.4650665471337398</v>
      </c>
      <c r="AS293" s="692">
        <v>-3.4650665471337398</v>
      </c>
      <c r="AT293" s="498">
        <v>46286679.967988998</v>
      </c>
      <c r="AU293" s="695">
        <v>-46286679.967988998</v>
      </c>
    </row>
    <row r="294" spans="1:47" ht="12" thickBot="1">
      <c r="A294" s="937"/>
      <c r="B294" s="690" t="s">
        <v>487</v>
      </c>
      <c r="C294" s="690" t="s">
        <v>487</v>
      </c>
      <c r="D294" s="690" t="s">
        <v>487</v>
      </c>
      <c r="E294" s="690" t="s">
        <v>487</v>
      </c>
      <c r="F294" s="690" t="s">
        <v>487</v>
      </c>
      <c r="G294" s="690" t="s">
        <v>487</v>
      </c>
      <c r="H294" s="691">
        <v>474001</v>
      </c>
      <c r="I294" s="692">
        <v>64935283412.004997</v>
      </c>
      <c r="J294" s="692">
        <v>1.6174136985235099</v>
      </c>
      <c r="K294" s="692">
        <v>0</v>
      </c>
      <c r="L294" s="693"/>
      <c r="M294" s="692">
        <v>0</v>
      </c>
      <c r="N294" s="694">
        <v>281500759.82999998</v>
      </c>
      <c r="O294" s="693"/>
      <c r="P294" s="693"/>
      <c r="Q294" s="693"/>
      <c r="R294" s="693"/>
      <c r="S294" s="498">
        <v>0.67333254640840201</v>
      </c>
      <c r="T294" s="692">
        <v>3.4707222359002898</v>
      </c>
      <c r="U294" s="692">
        <v>-2.7973896894918902</v>
      </c>
      <c r="V294" s="498">
        <v>957051819.37064397</v>
      </c>
      <c r="W294" s="692">
        <v>-771380338.11064398</v>
      </c>
      <c r="X294" s="692">
        <v>0</v>
      </c>
      <c r="Y294" s="692">
        <v>0</v>
      </c>
      <c r="Z294" s="692">
        <v>0</v>
      </c>
      <c r="AA294" s="692">
        <v>0</v>
      </c>
      <c r="AB294" s="692">
        <v>0</v>
      </c>
      <c r="AC294" s="692">
        <v>0</v>
      </c>
      <c r="AD294" s="692">
        <v>0</v>
      </c>
      <c r="AE294" s="692">
        <v>0</v>
      </c>
      <c r="AF294" s="692">
        <v>0</v>
      </c>
      <c r="AG294" s="692">
        <v>0</v>
      </c>
      <c r="AH294" s="692">
        <v>0</v>
      </c>
      <c r="AI294" s="692">
        <v>0</v>
      </c>
      <c r="AJ294" s="692">
        <v>0</v>
      </c>
      <c r="AK294" s="692">
        <v>0</v>
      </c>
      <c r="AL294" s="692">
        <v>0</v>
      </c>
      <c r="AM294" s="692">
        <v>0</v>
      </c>
      <c r="AN294" s="692">
        <v>0</v>
      </c>
      <c r="AO294" s="692">
        <v>0</v>
      </c>
      <c r="AP294" s="498">
        <v>0</v>
      </c>
      <c r="AQ294" s="498">
        <v>0</v>
      </c>
      <c r="AR294" s="692">
        <v>3.4707222359002898</v>
      </c>
      <c r="AS294" s="692">
        <v>-2.7973896894918902</v>
      </c>
      <c r="AT294" s="498">
        <v>957051819.37064397</v>
      </c>
      <c r="AU294" s="695">
        <v>-771380338.11064398</v>
      </c>
    </row>
    <row r="295" spans="1:47" ht="12" thickBot="1">
      <c r="A295" s="938"/>
      <c r="B295" s="690" t="s">
        <v>488</v>
      </c>
      <c r="C295" s="690" t="s">
        <v>488</v>
      </c>
      <c r="D295" s="690" t="s">
        <v>488</v>
      </c>
      <c r="E295" s="690" t="s">
        <v>488</v>
      </c>
      <c r="F295" s="690" t="s">
        <v>488</v>
      </c>
      <c r="G295" s="690" t="s">
        <v>488</v>
      </c>
      <c r="H295" s="691">
        <v>474501</v>
      </c>
      <c r="I295" s="692">
        <v>0</v>
      </c>
      <c r="J295" s="692">
        <v>0</v>
      </c>
      <c r="K295" s="692">
        <v>0</v>
      </c>
      <c r="L295" s="693"/>
      <c r="M295" s="692">
        <v>0</v>
      </c>
      <c r="N295" s="694">
        <v>-2481743.9</v>
      </c>
      <c r="O295" s="693"/>
      <c r="P295" s="693"/>
      <c r="Q295" s="693"/>
      <c r="R295" s="693"/>
      <c r="S295" s="498">
        <v>0</v>
      </c>
      <c r="T295" s="692">
        <v>0</v>
      </c>
      <c r="U295" s="692">
        <v>0</v>
      </c>
      <c r="V295" s="498">
        <v>0</v>
      </c>
      <c r="W295" s="692">
        <v>-2698867.63</v>
      </c>
      <c r="X295" s="692">
        <v>0</v>
      </c>
      <c r="Y295" s="692">
        <v>0</v>
      </c>
      <c r="Z295" s="692">
        <v>0</v>
      </c>
      <c r="AA295" s="692">
        <v>0</v>
      </c>
      <c r="AB295" s="692">
        <v>0</v>
      </c>
      <c r="AC295" s="692">
        <v>0</v>
      </c>
      <c r="AD295" s="692">
        <v>0</v>
      </c>
      <c r="AE295" s="692">
        <v>0</v>
      </c>
      <c r="AF295" s="692">
        <v>0</v>
      </c>
      <c r="AG295" s="692">
        <v>0</v>
      </c>
      <c r="AH295" s="692">
        <v>0</v>
      </c>
      <c r="AI295" s="692">
        <v>0</v>
      </c>
      <c r="AJ295" s="692">
        <v>0</v>
      </c>
      <c r="AK295" s="692">
        <v>0</v>
      </c>
      <c r="AL295" s="692">
        <v>0</v>
      </c>
      <c r="AM295" s="692">
        <v>0</v>
      </c>
      <c r="AN295" s="692">
        <v>0</v>
      </c>
      <c r="AO295" s="692">
        <v>0</v>
      </c>
      <c r="AP295" s="498">
        <v>0</v>
      </c>
      <c r="AQ295" s="498">
        <v>0</v>
      </c>
      <c r="AR295" s="692">
        <v>0</v>
      </c>
      <c r="AS295" s="692">
        <v>0</v>
      </c>
      <c r="AT295" s="498">
        <v>0</v>
      </c>
      <c r="AU295" s="695">
        <v>-2698867.63</v>
      </c>
    </row>
    <row r="296" spans="1:47" ht="12" thickBot="1">
      <c r="A296" s="936" t="s">
        <v>493</v>
      </c>
      <c r="B296" s="936" t="s">
        <v>494</v>
      </c>
      <c r="C296" s="936" t="s">
        <v>495</v>
      </c>
      <c r="D296" s="936" t="s">
        <v>496</v>
      </c>
      <c r="E296" s="936" t="s">
        <v>491</v>
      </c>
      <c r="F296" s="690" t="s">
        <v>497</v>
      </c>
      <c r="G296" s="690" t="s">
        <v>497</v>
      </c>
      <c r="H296" s="691">
        <v>670001</v>
      </c>
      <c r="I296" s="692">
        <v>70924819.290000007</v>
      </c>
      <c r="J296" s="692">
        <v>0</v>
      </c>
      <c r="K296" s="692">
        <v>60570065.506099999</v>
      </c>
      <c r="L296" s="693"/>
      <c r="M296" s="692">
        <v>0</v>
      </c>
      <c r="N296" s="694">
        <v>6912.93</v>
      </c>
      <c r="O296" s="693"/>
      <c r="P296" s="693"/>
      <c r="Q296" s="693"/>
      <c r="R296" s="693"/>
      <c r="S296" s="498">
        <v>1.05333391012E-4</v>
      </c>
      <c r="T296" s="692">
        <v>3.1899331640742399</v>
      </c>
      <c r="U296" s="692">
        <v>-3.1898278306832299</v>
      </c>
      <c r="V296" s="498">
        <v>960916.36586699996</v>
      </c>
      <c r="W296" s="692">
        <v>-960884.63586699998</v>
      </c>
      <c r="X296" s="692">
        <v>0</v>
      </c>
      <c r="Y296" s="692">
        <v>0</v>
      </c>
      <c r="Z296" s="692">
        <v>0</v>
      </c>
      <c r="AA296" s="692">
        <v>0</v>
      </c>
      <c r="AB296" s="692">
        <v>0</v>
      </c>
      <c r="AC296" s="692">
        <v>0</v>
      </c>
      <c r="AD296" s="692">
        <v>0</v>
      </c>
      <c r="AE296" s="692">
        <v>0</v>
      </c>
      <c r="AF296" s="692">
        <v>0</v>
      </c>
      <c r="AG296" s="692">
        <v>0</v>
      </c>
      <c r="AH296" s="692">
        <v>0</v>
      </c>
      <c r="AI296" s="692">
        <v>0</v>
      </c>
      <c r="AJ296" s="692">
        <v>0</v>
      </c>
      <c r="AK296" s="692">
        <v>0</v>
      </c>
      <c r="AL296" s="692">
        <v>0</v>
      </c>
      <c r="AM296" s="692">
        <v>0</v>
      </c>
      <c r="AN296" s="692">
        <v>0</v>
      </c>
      <c r="AO296" s="692">
        <v>0</v>
      </c>
      <c r="AP296" s="498">
        <v>0</v>
      </c>
      <c r="AQ296" s="498">
        <v>0</v>
      </c>
      <c r="AR296" s="692">
        <v>3.1899331640742399</v>
      </c>
      <c r="AS296" s="692">
        <v>-3.1898278306832299</v>
      </c>
      <c r="AT296" s="498">
        <v>960916.36586699996</v>
      </c>
      <c r="AU296" s="695">
        <v>-960884.63586699998</v>
      </c>
    </row>
    <row r="297" spans="1:47" ht="12" thickBot="1">
      <c r="A297" s="937"/>
      <c r="B297" s="937"/>
      <c r="C297" s="937"/>
      <c r="D297" s="937"/>
      <c r="E297" s="938"/>
      <c r="F297" s="690" t="s">
        <v>498</v>
      </c>
      <c r="G297" s="690" t="s">
        <v>498</v>
      </c>
      <c r="H297" s="691">
        <v>670002</v>
      </c>
      <c r="I297" s="692">
        <v>329496613.25999999</v>
      </c>
      <c r="J297" s="692">
        <v>0.84746524875404206</v>
      </c>
      <c r="K297" s="692">
        <v>248213848.91</v>
      </c>
      <c r="L297" s="693"/>
      <c r="M297" s="692">
        <v>0</v>
      </c>
      <c r="N297" s="694">
        <v>5340117.91</v>
      </c>
      <c r="O297" s="693"/>
      <c r="P297" s="693"/>
      <c r="Q297" s="693"/>
      <c r="R297" s="693"/>
      <c r="S297" s="498">
        <v>6.7248620888580604</v>
      </c>
      <c r="T297" s="692">
        <v>3.1874071216962601</v>
      </c>
      <c r="U297" s="692">
        <v>3.5374549671618798</v>
      </c>
      <c r="V297" s="498">
        <v>3935057.706673</v>
      </c>
      <c r="W297" s="692">
        <v>4367214.1333269998</v>
      </c>
      <c r="X297" s="692">
        <v>0</v>
      </c>
      <c r="Y297" s="692">
        <v>0</v>
      </c>
      <c r="Z297" s="692">
        <v>0</v>
      </c>
      <c r="AA297" s="692">
        <v>0</v>
      </c>
      <c r="AB297" s="692">
        <v>0</v>
      </c>
      <c r="AC297" s="692">
        <v>0</v>
      </c>
      <c r="AD297" s="692">
        <v>0</v>
      </c>
      <c r="AE297" s="692">
        <v>0</v>
      </c>
      <c r="AF297" s="692">
        <v>0</v>
      </c>
      <c r="AG297" s="692">
        <v>0</v>
      </c>
      <c r="AH297" s="692">
        <v>0</v>
      </c>
      <c r="AI297" s="692">
        <v>0</v>
      </c>
      <c r="AJ297" s="692">
        <v>0</v>
      </c>
      <c r="AK297" s="692">
        <v>0</v>
      </c>
      <c r="AL297" s="692">
        <v>0</v>
      </c>
      <c r="AM297" s="692">
        <v>0</v>
      </c>
      <c r="AN297" s="692">
        <v>0</v>
      </c>
      <c r="AO297" s="692">
        <v>0</v>
      </c>
      <c r="AP297" s="498">
        <v>0</v>
      </c>
      <c r="AQ297" s="498">
        <v>0</v>
      </c>
      <c r="AR297" s="692">
        <v>3.1874071216962601</v>
      </c>
      <c r="AS297" s="692">
        <v>3.5374549671618798</v>
      </c>
      <c r="AT297" s="498">
        <v>3935057.706673</v>
      </c>
      <c r="AU297" s="695">
        <v>4367214.1333269998</v>
      </c>
    </row>
    <row r="298" spans="1:47" ht="12" thickBot="1">
      <c r="A298" s="937"/>
      <c r="B298" s="937"/>
      <c r="C298" s="937"/>
      <c r="D298" s="937"/>
      <c r="E298" s="936" t="s">
        <v>499</v>
      </c>
      <c r="F298" s="690" t="s">
        <v>497</v>
      </c>
      <c r="G298" s="690" t="s">
        <v>497</v>
      </c>
      <c r="H298" s="691">
        <v>670003</v>
      </c>
      <c r="I298" s="692">
        <v>307330243.06</v>
      </c>
      <c r="J298" s="692">
        <v>0</v>
      </c>
      <c r="K298" s="692">
        <v>60570065.506099999</v>
      </c>
      <c r="L298" s="693"/>
      <c r="M298" s="692">
        <v>0</v>
      </c>
      <c r="N298" s="694">
        <v>6912.93</v>
      </c>
      <c r="O298" s="693"/>
      <c r="P298" s="693"/>
      <c r="Q298" s="693"/>
      <c r="R298" s="693"/>
      <c r="S298" s="498">
        <v>1.5422978770200001E-4</v>
      </c>
      <c r="T298" s="692">
        <v>3.1927618612939002</v>
      </c>
      <c r="U298" s="692">
        <v>-3.1926076315062</v>
      </c>
      <c r="V298" s="498">
        <v>5043258.2203230001</v>
      </c>
      <c r="W298" s="692">
        <v>-5043014.600323</v>
      </c>
      <c r="X298" s="692">
        <v>0</v>
      </c>
      <c r="Y298" s="692">
        <v>0</v>
      </c>
      <c r="Z298" s="692">
        <v>0</v>
      </c>
      <c r="AA298" s="692">
        <v>0</v>
      </c>
      <c r="AB298" s="692">
        <v>0</v>
      </c>
      <c r="AC298" s="692">
        <v>0</v>
      </c>
      <c r="AD298" s="692">
        <v>0</v>
      </c>
      <c r="AE298" s="692">
        <v>0</v>
      </c>
      <c r="AF298" s="692">
        <v>0</v>
      </c>
      <c r="AG298" s="692">
        <v>0</v>
      </c>
      <c r="AH298" s="692">
        <v>0</v>
      </c>
      <c r="AI298" s="692">
        <v>0</v>
      </c>
      <c r="AJ298" s="692">
        <v>0</v>
      </c>
      <c r="AK298" s="692">
        <v>0</v>
      </c>
      <c r="AL298" s="692">
        <v>0</v>
      </c>
      <c r="AM298" s="692">
        <v>0</v>
      </c>
      <c r="AN298" s="692">
        <v>0</v>
      </c>
      <c r="AO298" s="692">
        <v>0</v>
      </c>
      <c r="AP298" s="498">
        <v>0</v>
      </c>
      <c r="AQ298" s="498">
        <v>0</v>
      </c>
      <c r="AR298" s="692">
        <v>3.1927618612939002</v>
      </c>
      <c r="AS298" s="692">
        <v>-3.1926076315062</v>
      </c>
      <c r="AT298" s="498">
        <v>5043258.2203230001</v>
      </c>
      <c r="AU298" s="695">
        <v>-5043014.600323</v>
      </c>
    </row>
    <row r="299" spans="1:47" ht="12" thickBot="1">
      <c r="A299" s="937"/>
      <c r="B299" s="937"/>
      <c r="C299" s="937"/>
      <c r="D299" s="938"/>
      <c r="E299" s="938"/>
      <c r="F299" s="690" t="s">
        <v>498</v>
      </c>
      <c r="G299" s="690" t="s">
        <v>498</v>
      </c>
      <c r="H299" s="691">
        <v>670004</v>
      </c>
      <c r="I299" s="692">
        <v>875066240.39999998</v>
      </c>
      <c r="J299" s="692">
        <v>2.10975170990038</v>
      </c>
      <c r="K299" s="692">
        <v>248213848.91</v>
      </c>
      <c r="L299" s="693"/>
      <c r="M299" s="692">
        <v>0</v>
      </c>
      <c r="N299" s="694">
        <v>5340117.91</v>
      </c>
      <c r="O299" s="693"/>
      <c r="P299" s="693"/>
      <c r="Q299" s="693"/>
      <c r="R299" s="693"/>
      <c r="S299" s="498">
        <v>5.6013303392280402</v>
      </c>
      <c r="T299" s="692">
        <v>3.1904932042444401</v>
      </c>
      <c r="U299" s="692">
        <v>2.4108371349836002</v>
      </c>
      <c r="V299" s="498">
        <v>12522441.064889999</v>
      </c>
      <c r="W299" s="692">
        <v>9462350.8051100001</v>
      </c>
      <c r="X299" s="692">
        <v>0</v>
      </c>
      <c r="Y299" s="692">
        <v>0</v>
      </c>
      <c r="Z299" s="692">
        <v>0</v>
      </c>
      <c r="AA299" s="692">
        <v>0</v>
      </c>
      <c r="AB299" s="692">
        <v>0</v>
      </c>
      <c r="AC299" s="692">
        <v>0</v>
      </c>
      <c r="AD299" s="692">
        <v>0</v>
      </c>
      <c r="AE299" s="692">
        <v>0</v>
      </c>
      <c r="AF299" s="692">
        <v>0</v>
      </c>
      <c r="AG299" s="692">
        <v>0</v>
      </c>
      <c r="AH299" s="692">
        <v>0</v>
      </c>
      <c r="AI299" s="692">
        <v>0</v>
      </c>
      <c r="AJ299" s="692">
        <v>0</v>
      </c>
      <c r="AK299" s="692">
        <v>0</v>
      </c>
      <c r="AL299" s="692">
        <v>0</v>
      </c>
      <c r="AM299" s="692">
        <v>0</v>
      </c>
      <c r="AN299" s="692">
        <v>0</v>
      </c>
      <c r="AO299" s="692">
        <v>0</v>
      </c>
      <c r="AP299" s="498">
        <v>0</v>
      </c>
      <c r="AQ299" s="498">
        <v>0</v>
      </c>
      <c r="AR299" s="692">
        <v>3.1904932042444401</v>
      </c>
      <c r="AS299" s="692">
        <v>2.4108371349836002</v>
      </c>
      <c r="AT299" s="498">
        <v>12522441.064889999</v>
      </c>
      <c r="AU299" s="695">
        <v>9462350.8051100001</v>
      </c>
    </row>
    <row r="300" spans="1:47" ht="12" thickBot="1">
      <c r="A300" s="937"/>
      <c r="B300" s="937"/>
      <c r="C300" s="937"/>
      <c r="D300" s="936" t="s">
        <v>500</v>
      </c>
      <c r="E300" s="936" t="s">
        <v>501</v>
      </c>
      <c r="F300" s="690" t="s">
        <v>497</v>
      </c>
      <c r="G300" s="690" t="s">
        <v>497</v>
      </c>
      <c r="H300" s="691">
        <v>670013</v>
      </c>
      <c r="I300" s="692">
        <v>9195936.2599999998</v>
      </c>
      <c r="J300" s="692">
        <v>0</v>
      </c>
      <c r="K300" s="692">
        <v>60570065.506099999</v>
      </c>
      <c r="L300" s="693"/>
      <c r="M300" s="692">
        <v>0</v>
      </c>
      <c r="N300" s="694">
        <v>6912.93</v>
      </c>
      <c r="O300" s="693"/>
      <c r="P300" s="693"/>
      <c r="Q300" s="693"/>
      <c r="R300" s="693"/>
      <c r="S300" s="498">
        <v>7.2659343521E-5</v>
      </c>
      <c r="T300" s="692">
        <v>3.1940667253349999</v>
      </c>
      <c r="U300" s="692">
        <v>-3.1939940659914798</v>
      </c>
      <c r="V300" s="498">
        <v>168364.79611900001</v>
      </c>
      <c r="W300" s="692">
        <v>-168360.96611899999</v>
      </c>
      <c r="X300" s="692">
        <v>0</v>
      </c>
      <c r="Y300" s="692">
        <v>0</v>
      </c>
      <c r="Z300" s="692">
        <v>0</v>
      </c>
      <c r="AA300" s="692">
        <v>0</v>
      </c>
      <c r="AB300" s="692">
        <v>0</v>
      </c>
      <c r="AC300" s="692">
        <v>0</v>
      </c>
      <c r="AD300" s="692">
        <v>0</v>
      </c>
      <c r="AE300" s="692">
        <v>0</v>
      </c>
      <c r="AF300" s="692">
        <v>0</v>
      </c>
      <c r="AG300" s="692">
        <v>0</v>
      </c>
      <c r="AH300" s="692">
        <v>0</v>
      </c>
      <c r="AI300" s="692">
        <v>0</v>
      </c>
      <c r="AJ300" s="692">
        <v>0</v>
      </c>
      <c r="AK300" s="692">
        <v>0</v>
      </c>
      <c r="AL300" s="692">
        <v>0</v>
      </c>
      <c r="AM300" s="692">
        <v>0</v>
      </c>
      <c r="AN300" s="692">
        <v>0</v>
      </c>
      <c r="AO300" s="692">
        <v>0</v>
      </c>
      <c r="AP300" s="498">
        <v>0</v>
      </c>
      <c r="AQ300" s="498">
        <v>0</v>
      </c>
      <c r="AR300" s="692">
        <v>3.1940667253349999</v>
      </c>
      <c r="AS300" s="692">
        <v>-3.1939940659914798</v>
      </c>
      <c r="AT300" s="498">
        <v>168364.79611900001</v>
      </c>
      <c r="AU300" s="695">
        <v>-168360.96611899999</v>
      </c>
    </row>
    <row r="301" spans="1:47" ht="12" thickBot="1">
      <c r="A301" s="937"/>
      <c r="B301" s="937"/>
      <c r="C301" s="937"/>
      <c r="D301" s="937"/>
      <c r="E301" s="938"/>
      <c r="F301" s="690" t="s">
        <v>498</v>
      </c>
      <c r="G301" s="690" t="s">
        <v>498</v>
      </c>
      <c r="H301" s="691">
        <v>670014</v>
      </c>
      <c r="I301" s="692">
        <v>35041689.770000003</v>
      </c>
      <c r="J301" s="692">
        <v>1.4956814852253599</v>
      </c>
      <c r="K301" s="692">
        <v>248213848.91</v>
      </c>
      <c r="L301" s="693"/>
      <c r="M301" s="692">
        <v>0</v>
      </c>
      <c r="N301" s="694">
        <v>5340117.91</v>
      </c>
      <c r="O301" s="693"/>
      <c r="P301" s="693"/>
      <c r="Q301" s="693"/>
      <c r="R301" s="693"/>
      <c r="S301" s="498">
        <v>6.6425018591643203</v>
      </c>
      <c r="T301" s="692">
        <v>3.1901162939749099</v>
      </c>
      <c r="U301" s="692">
        <v>3.4523855651891999</v>
      </c>
      <c r="V301" s="498">
        <v>491700.60073399998</v>
      </c>
      <c r="W301" s="692">
        <v>532124.81926599995</v>
      </c>
      <c r="X301" s="692">
        <v>0</v>
      </c>
      <c r="Y301" s="692">
        <v>0</v>
      </c>
      <c r="Z301" s="692">
        <v>0</v>
      </c>
      <c r="AA301" s="692">
        <v>0</v>
      </c>
      <c r="AB301" s="692">
        <v>0</v>
      </c>
      <c r="AC301" s="692">
        <v>0</v>
      </c>
      <c r="AD301" s="692">
        <v>0</v>
      </c>
      <c r="AE301" s="692">
        <v>0</v>
      </c>
      <c r="AF301" s="692">
        <v>0</v>
      </c>
      <c r="AG301" s="692">
        <v>0</v>
      </c>
      <c r="AH301" s="692">
        <v>0</v>
      </c>
      <c r="AI301" s="692">
        <v>0</v>
      </c>
      <c r="AJ301" s="692">
        <v>0</v>
      </c>
      <c r="AK301" s="692">
        <v>0</v>
      </c>
      <c r="AL301" s="692">
        <v>0</v>
      </c>
      <c r="AM301" s="692">
        <v>0</v>
      </c>
      <c r="AN301" s="692">
        <v>0</v>
      </c>
      <c r="AO301" s="692">
        <v>0</v>
      </c>
      <c r="AP301" s="498">
        <v>0</v>
      </c>
      <c r="AQ301" s="498">
        <v>0</v>
      </c>
      <c r="AR301" s="692">
        <v>3.1901162939749099</v>
      </c>
      <c r="AS301" s="692">
        <v>3.4523855651891999</v>
      </c>
      <c r="AT301" s="498">
        <v>491700.60073399998</v>
      </c>
      <c r="AU301" s="695">
        <v>532124.81926599995</v>
      </c>
    </row>
    <row r="302" spans="1:47" ht="12" thickBot="1">
      <c r="A302" s="937"/>
      <c r="B302" s="937"/>
      <c r="C302" s="937"/>
      <c r="D302" s="937"/>
      <c r="E302" s="936" t="s">
        <v>502</v>
      </c>
      <c r="F302" s="690" t="s">
        <v>497</v>
      </c>
      <c r="G302" s="690" t="s">
        <v>497</v>
      </c>
      <c r="H302" s="691">
        <v>670015</v>
      </c>
      <c r="I302" s="692">
        <v>52894628</v>
      </c>
      <c r="J302" s="692">
        <v>0</v>
      </c>
      <c r="K302" s="692">
        <v>60570065.506099999</v>
      </c>
      <c r="L302" s="693"/>
      <c r="M302" s="692">
        <v>0</v>
      </c>
      <c r="N302" s="694">
        <v>6912.93</v>
      </c>
      <c r="O302" s="693"/>
      <c r="P302" s="693"/>
      <c r="Q302" s="693"/>
      <c r="R302" s="693"/>
      <c r="S302" s="498">
        <v>1.00107342468E-4</v>
      </c>
      <c r="T302" s="692">
        <v>3.19221853626222</v>
      </c>
      <c r="U302" s="692">
        <v>-3.1921184289197599</v>
      </c>
      <c r="V302" s="498">
        <v>852046.18548700004</v>
      </c>
      <c r="W302" s="692">
        <v>-852019.46548699995</v>
      </c>
      <c r="X302" s="692">
        <v>0</v>
      </c>
      <c r="Y302" s="692">
        <v>0</v>
      </c>
      <c r="Z302" s="692">
        <v>0</v>
      </c>
      <c r="AA302" s="692">
        <v>0</v>
      </c>
      <c r="AB302" s="692">
        <v>0</v>
      </c>
      <c r="AC302" s="692">
        <v>0</v>
      </c>
      <c r="AD302" s="692">
        <v>0</v>
      </c>
      <c r="AE302" s="692">
        <v>0</v>
      </c>
      <c r="AF302" s="692">
        <v>0</v>
      </c>
      <c r="AG302" s="692">
        <v>0</v>
      </c>
      <c r="AH302" s="692">
        <v>0</v>
      </c>
      <c r="AI302" s="692">
        <v>0</v>
      </c>
      <c r="AJ302" s="692">
        <v>0</v>
      </c>
      <c r="AK302" s="692">
        <v>0</v>
      </c>
      <c r="AL302" s="692">
        <v>0</v>
      </c>
      <c r="AM302" s="692">
        <v>0</v>
      </c>
      <c r="AN302" s="692">
        <v>0</v>
      </c>
      <c r="AO302" s="692">
        <v>0</v>
      </c>
      <c r="AP302" s="498">
        <v>0</v>
      </c>
      <c r="AQ302" s="498">
        <v>0</v>
      </c>
      <c r="AR302" s="692">
        <v>3.19221853626222</v>
      </c>
      <c r="AS302" s="692">
        <v>-3.1921184289197599</v>
      </c>
      <c r="AT302" s="498">
        <v>852046.18548700004</v>
      </c>
      <c r="AU302" s="695">
        <v>-852019.46548699995</v>
      </c>
    </row>
    <row r="303" spans="1:47" ht="12" thickBot="1">
      <c r="A303" s="937"/>
      <c r="B303" s="937"/>
      <c r="C303" s="937"/>
      <c r="D303" s="938"/>
      <c r="E303" s="938"/>
      <c r="F303" s="690" t="s">
        <v>498</v>
      </c>
      <c r="G303" s="690" t="s">
        <v>498</v>
      </c>
      <c r="H303" s="691">
        <v>670016</v>
      </c>
      <c r="I303" s="692">
        <v>174179795.34999999</v>
      </c>
      <c r="J303" s="692">
        <v>1.43901959740131</v>
      </c>
      <c r="K303" s="692">
        <v>248213848.91</v>
      </c>
      <c r="L303" s="693"/>
      <c r="M303" s="692">
        <v>0</v>
      </c>
      <c r="N303" s="694">
        <v>5340117.91</v>
      </c>
      <c r="O303" s="693"/>
      <c r="P303" s="693"/>
      <c r="Q303" s="693"/>
      <c r="R303" s="693"/>
      <c r="S303" s="498">
        <v>5.92040710526451</v>
      </c>
      <c r="T303" s="692">
        <v>3.1895240513482399</v>
      </c>
      <c r="U303" s="692">
        <v>2.7308830539162199</v>
      </c>
      <c r="V303" s="498">
        <v>2340014.8876359998</v>
      </c>
      <c r="W303" s="692">
        <v>2003529.962364</v>
      </c>
      <c r="X303" s="692">
        <v>0</v>
      </c>
      <c r="Y303" s="692">
        <v>0</v>
      </c>
      <c r="Z303" s="692">
        <v>0</v>
      </c>
      <c r="AA303" s="692">
        <v>0</v>
      </c>
      <c r="AB303" s="692">
        <v>0</v>
      </c>
      <c r="AC303" s="692">
        <v>0</v>
      </c>
      <c r="AD303" s="692">
        <v>0</v>
      </c>
      <c r="AE303" s="692">
        <v>0</v>
      </c>
      <c r="AF303" s="692">
        <v>0</v>
      </c>
      <c r="AG303" s="692">
        <v>0</v>
      </c>
      <c r="AH303" s="692">
        <v>0</v>
      </c>
      <c r="AI303" s="692">
        <v>0</v>
      </c>
      <c r="AJ303" s="692">
        <v>0</v>
      </c>
      <c r="AK303" s="692">
        <v>0</v>
      </c>
      <c r="AL303" s="692">
        <v>0</v>
      </c>
      <c r="AM303" s="692">
        <v>0</v>
      </c>
      <c r="AN303" s="692">
        <v>0</v>
      </c>
      <c r="AO303" s="692">
        <v>0</v>
      </c>
      <c r="AP303" s="498">
        <v>0</v>
      </c>
      <c r="AQ303" s="498">
        <v>0</v>
      </c>
      <c r="AR303" s="692">
        <v>3.1895240513482399</v>
      </c>
      <c r="AS303" s="692">
        <v>2.7308830539162199</v>
      </c>
      <c r="AT303" s="498">
        <v>2340014.8876359998</v>
      </c>
      <c r="AU303" s="695">
        <v>2003529.962364</v>
      </c>
    </row>
    <row r="304" spans="1:47" ht="12" thickBot="1">
      <c r="A304" s="937"/>
      <c r="B304" s="937"/>
      <c r="C304" s="937"/>
      <c r="D304" s="936" t="s">
        <v>503</v>
      </c>
      <c r="E304" s="936" t="s">
        <v>504</v>
      </c>
      <c r="F304" s="690" t="s">
        <v>497</v>
      </c>
      <c r="G304" s="690" t="s">
        <v>497</v>
      </c>
      <c r="H304" s="691">
        <v>670025</v>
      </c>
      <c r="I304" s="692">
        <v>172015137.25999999</v>
      </c>
      <c r="J304" s="692">
        <v>0</v>
      </c>
      <c r="K304" s="692">
        <v>60570065.506099999</v>
      </c>
      <c r="L304" s="693"/>
      <c r="M304" s="692">
        <v>0</v>
      </c>
      <c r="N304" s="694">
        <v>6912.93</v>
      </c>
      <c r="O304" s="693"/>
      <c r="P304" s="693"/>
      <c r="Q304" s="693"/>
      <c r="R304" s="693"/>
      <c r="S304" s="498">
        <v>3.0396410539E-5</v>
      </c>
      <c r="T304" s="692">
        <v>3.1934814586509899</v>
      </c>
      <c r="U304" s="692">
        <v>-3.1934510622404502</v>
      </c>
      <c r="V304" s="498">
        <v>2757854.8520479999</v>
      </c>
      <c r="W304" s="692">
        <v>-2757828.6020479999</v>
      </c>
      <c r="X304" s="692">
        <v>0</v>
      </c>
      <c r="Y304" s="692">
        <v>0</v>
      </c>
      <c r="Z304" s="692">
        <v>0</v>
      </c>
      <c r="AA304" s="692">
        <v>0</v>
      </c>
      <c r="AB304" s="692">
        <v>0</v>
      </c>
      <c r="AC304" s="692">
        <v>0</v>
      </c>
      <c r="AD304" s="692">
        <v>0</v>
      </c>
      <c r="AE304" s="692">
        <v>0</v>
      </c>
      <c r="AF304" s="692">
        <v>0</v>
      </c>
      <c r="AG304" s="692">
        <v>0</v>
      </c>
      <c r="AH304" s="692">
        <v>0</v>
      </c>
      <c r="AI304" s="692">
        <v>0</v>
      </c>
      <c r="AJ304" s="692">
        <v>0</v>
      </c>
      <c r="AK304" s="692">
        <v>0</v>
      </c>
      <c r="AL304" s="692">
        <v>0</v>
      </c>
      <c r="AM304" s="692">
        <v>0</v>
      </c>
      <c r="AN304" s="692">
        <v>0</v>
      </c>
      <c r="AO304" s="692">
        <v>0</v>
      </c>
      <c r="AP304" s="498">
        <v>0</v>
      </c>
      <c r="AQ304" s="498">
        <v>0</v>
      </c>
      <c r="AR304" s="692">
        <v>3.1934814586509899</v>
      </c>
      <c r="AS304" s="692">
        <v>-3.1934510622404502</v>
      </c>
      <c r="AT304" s="498">
        <v>2757854.8520479999</v>
      </c>
      <c r="AU304" s="695">
        <v>-2757828.6020479999</v>
      </c>
    </row>
    <row r="305" spans="1:47" ht="12" thickBot="1">
      <c r="A305" s="937"/>
      <c r="B305" s="937"/>
      <c r="C305" s="937"/>
      <c r="D305" s="937"/>
      <c r="E305" s="938"/>
      <c r="F305" s="690" t="s">
        <v>498</v>
      </c>
      <c r="G305" s="690" t="s">
        <v>498</v>
      </c>
      <c r="H305" s="691">
        <v>670026</v>
      </c>
      <c r="I305" s="692">
        <v>223029847.63999999</v>
      </c>
      <c r="J305" s="692">
        <v>5.2049350182661502</v>
      </c>
      <c r="K305" s="692">
        <v>248213848.91</v>
      </c>
      <c r="L305" s="693"/>
      <c r="M305" s="692">
        <v>0</v>
      </c>
      <c r="N305" s="694">
        <v>5340117.91</v>
      </c>
      <c r="O305" s="693"/>
      <c r="P305" s="693"/>
      <c r="Q305" s="693"/>
      <c r="R305" s="693"/>
      <c r="S305" s="498">
        <v>6.1763587947325496</v>
      </c>
      <c r="T305" s="692">
        <v>3.1912195166691899</v>
      </c>
      <c r="U305" s="692">
        <v>2.98513927806319</v>
      </c>
      <c r="V305" s="498">
        <v>3582753.0782090002</v>
      </c>
      <c r="W305" s="692">
        <v>3351388.6717909998</v>
      </c>
      <c r="X305" s="692">
        <v>0</v>
      </c>
      <c r="Y305" s="692">
        <v>0</v>
      </c>
      <c r="Z305" s="692">
        <v>0</v>
      </c>
      <c r="AA305" s="692">
        <v>0</v>
      </c>
      <c r="AB305" s="692">
        <v>0</v>
      </c>
      <c r="AC305" s="692">
        <v>0</v>
      </c>
      <c r="AD305" s="692">
        <v>0</v>
      </c>
      <c r="AE305" s="692">
        <v>0</v>
      </c>
      <c r="AF305" s="692">
        <v>0</v>
      </c>
      <c r="AG305" s="692">
        <v>0</v>
      </c>
      <c r="AH305" s="692">
        <v>0</v>
      </c>
      <c r="AI305" s="692">
        <v>0</v>
      </c>
      <c r="AJ305" s="692">
        <v>0</v>
      </c>
      <c r="AK305" s="692">
        <v>0</v>
      </c>
      <c r="AL305" s="692">
        <v>0</v>
      </c>
      <c r="AM305" s="692">
        <v>0</v>
      </c>
      <c r="AN305" s="692">
        <v>0</v>
      </c>
      <c r="AO305" s="692">
        <v>0</v>
      </c>
      <c r="AP305" s="498">
        <v>0</v>
      </c>
      <c r="AQ305" s="498">
        <v>0</v>
      </c>
      <c r="AR305" s="692">
        <v>3.1912195166691899</v>
      </c>
      <c r="AS305" s="692">
        <v>2.98513927806319</v>
      </c>
      <c r="AT305" s="498">
        <v>3582753.0782090002</v>
      </c>
      <c r="AU305" s="695">
        <v>3351388.6717909998</v>
      </c>
    </row>
    <row r="306" spans="1:47" ht="12" thickBot="1">
      <c r="A306" s="937"/>
      <c r="B306" s="937"/>
      <c r="C306" s="937"/>
      <c r="D306" s="937"/>
      <c r="E306" s="936" t="s">
        <v>505</v>
      </c>
      <c r="F306" s="690" t="s">
        <v>497</v>
      </c>
      <c r="G306" s="690" t="s">
        <v>497</v>
      </c>
      <c r="H306" s="691">
        <v>670037</v>
      </c>
      <c r="I306" s="692">
        <v>7258404.9500000002</v>
      </c>
      <c r="J306" s="692">
        <v>0</v>
      </c>
      <c r="K306" s="692">
        <v>60570065.506099999</v>
      </c>
      <c r="L306" s="693"/>
      <c r="M306" s="692">
        <v>0</v>
      </c>
      <c r="N306" s="694">
        <v>6912.93</v>
      </c>
      <c r="O306" s="693"/>
      <c r="P306" s="693"/>
      <c r="Q306" s="693"/>
      <c r="R306" s="693"/>
      <c r="S306" s="498">
        <v>2.7410037350000002E-6</v>
      </c>
      <c r="T306" s="692">
        <v>3.1919735891180898</v>
      </c>
      <c r="U306" s="692">
        <v>-3.19197084811436</v>
      </c>
      <c r="V306" s="498">
        <v>116452.726715</v>
      </c>
      <c r="W306" s="692">
        <v>-116452.62671500001</v>
      </c>
      <c r="X306" s="692">
        <v>0</v>
      </c>
      <c r="Y306" s="692">
        <v>0</v>
      </c>
      <c r="Z306" s="692">
        <v>0</v>
      </c>
      <c r="AA306" s="692">
        <v>0</v>
      </c>
      <c r="AB306" s="692">
        <v>0</v>
      </c>
      <c r="AC306" s="692">
        <v>0</v>
      </c>
      <c r="AD306" s="692">
        <v>0</v>
      </c>
      <c r="AE306" s="692">
        <v>0</v>
      </c>
      <c r="AF306" s="692">
        <v>0</v>
      </c>
      <c r="AG306" s="692">
        <v>0</v>
      </c>
      <c r="AH306" s="692">
        <v>0</v>
      </c>
      <c r="AI306" s="692">
        <v>0</v>
      </c>
      <c r="AJ306" s="692">
        <v>0</v>
      </c>
      <c r="AK306" s="692">
        <v>0</v>
      </c>
      <c r="AL306" s="692">
        <v>0</v>
      </c>
      <c r="AM306" s="692">
        <v>0</v>
      </c>
      <c r="AN306" s="692">
        <v>0</v>
      </c>
      <c r="AO306" s="692">
        <v>0</v>
      </c>
      <c r="AP306" s="498">
        <v>0</v>
      </c>
      <c r="AQ306" s="498">
        <v>0</v>
      </c>
      <c r="AR306" s="692">
        <v>3.1919735891180898</v>
      </c>
      <c r="AS306" s="692">
        <v>-3.19197084811436</v>
      </c>
      <c r="AT306" s="498">
        <v>116452.726715</v>
      </c>
      <c r="AU306" s="695">
        <v>-116452.62671500001</v>
      </c>
    </row>
    <row r="307" spans="1:47" ht="12" thickBot="1">
      <c r="A307" s="937"/>
      <c r="B307" s="937"/>
      <c r="C307" s="937"/>
      <c r="D307" s="938"/>
      <c r="E307" s="938"/>
      <c r="F307" s="690" t="s">
        <v>498</v>
      </c>
      <c r="G307" s="690" t="s">
        <v>498</v>
      </c>
      <c r="H307" s="691">
        <v>670038</v>
      </c>
      <c r="I307" s="692">
        <v>14573031.34</v>
      </c>
      <c r="J307" s="692">
        <v>1.11370681372596</v>
      </c>
      <c r="K307" s="692">
        <v>248213848.91</v>
      </c>
      <c r="L307" s="693"/>
      <c r="M307" s="692">
        <v>0</v>
      </c>
      <c r="N307" s="694">
        <v>5340117.91</v>
      </c>
      <c r="O307" s="693"/>
      <c r="P307" s="693"/>
      <c r="Q307" s="693"/>
      <c r="R307" s="693"/>
      <c r="S307" s="498">
        <v>5.5046427799117197</v>
      </c>
      <c r="T307" s="692">
        <v>3.1923864525222099</v>
      </c>
      <c r="U307" s="692">
        <v>2.3122563273914798</v>
      </c>
      <c r="V307" s="498">
        <v>220850.47351400001</v>
      </c>
      <c r="W307" s="692">
        <v>159962.74648599999</v>
      </c>
      <c r="X307" s="692">
        <v>0</v>
      </c>
      <c r="Y307" s="692">
        <v>0</v>
      </c>
      <c r="Z307" s="692">
        <v>0</v>
      </c>
      <c r="AA307" s="692">
        <v>0</v>
      </c>
      <c r="AB307" s="692">
        <v>0</v>
      </c>
      <c r="AC307" s="692">
        <v>0</v>
      </c>
      <c r="AD307" s="692">
        <v>0</v>
      </c>
      <c r="AE307" s="692">
        <v>0</v>
      </c>
      <c r="AF307" s="692">
        <v>0</v>
      </c>
      <c r="AG307" s="692">
        <v>0</v>
      </c>
      <c r="AH307" s="692">
        <v>0</v>
      </c>
      <c r="AI307" s="692">
        <v>0</v>
      </c>
      <c r="AJ307" s="692">
        <v>0</v>
      </c>
      <c r="AK307" s="692">
        <v>0</v>
      </c>
      <c r="AL307" s="692">
        <v>0</v>
      </c>
      <c r="AM307" s="692">
        <v>0</v>
      </c>
      <c r="AN307" s="692">
        <v>0</v>
      </c>
      <c r="AO307" s="692">
        <v>0</v>
      </c>
      <c r="AP307" s="498">
        <v>0</v>
      </c>
      <c r="AQ307" s="498">
        <v>0</v>
      </c>
      <c r="AR307" s="692">
        <v>3.1923864525222099</v>
      </c>
      <c r="AS307" s="692">
        <v>2.3122563273914798</v>
      </c>
      <c r="AT307" s="498">
        <v>220850.47351400001</v>
      </c>
      <c r="AU307" s="695">
        <v>159962.74648599999</v>
      </c>
    </row>
    <row r="308" spans="1:47" ht="12" thickBot="1">
      <c r="A308" s="937"/>
      <c r="B308" s="937"/>
      <c r="C308" s="937"/>
      <c r="D308" s="936" t="s">
        <v>506</v>
      </c>
      <c r="E308" s="936" t="s">
        <v>506</v>
      </c>
      <c r="F308" s="690" t="s">
        <v>497</v>
      </c>
      <c r="G308" s="690" t="s">
        <v>497</v>
      </c>
      <c r="H308" s="691">
        <v>670049</v>
      </c>
      <c r="I308" s="692">
        <v>409354215.43000001</v>
      </c>
      <c r="J308" s="692">
        <v>0</v>
      </c>
      <c r="K308" s="692">
        <v>60570065.506099999</v>
      </c>
      <c r="L308" s="693"/>
      <c r="M308" s="692">
        <v>0</v>
      </c>
      <c r="N308" s="694">
        <v>6912.93</v>
      </c>
      <c r="O308" s="693"/>
      <c r="P308" s="693"/>
      <c r="Q308" s="693"/>
      <c r="R308" s="693"/>
      <c r="S308" s="498">
        <v>1.3860325595500001E-4</v>
      </c>
      <c r="T308" s="692">
        <v>3.1886807865266502</v>
      </c>
      <c r="U308" s="692">
        <v>-3.1885421832706999</v>
      </c>
      <c r="V308" s="498">
        <v>5047705.745104</v>
      </c>
      <c r="W308" s="692">
        <v>-5047486.3351039998</v>
      </c>
      <c r="X308" s="692">
        <v>0</v>
      </c>
      <c r="Y308" s="692">
        <v>0</v>
      </c>
      <c r="Z308" s="692">
        <v>0</v>
      </c>
      <c r="AA308" s="692">
        <v>0</v>
      </c>
      <c r="AB308" s="692">
        <v>0</v>
      </c>
      <c r="AC308" s="692">
        <v>0</v>
      </c>
      <c r="AD308" s="692">
        <v>0</v>
      </c>
      <c r="AE308" s="692">
        <v>0</v>
      </c>
      <c r="AF308" s="692">
        <v>0</v>
      </c>
      <c r="AG308" s="692">
        <v>0</v>
      </c>
      <c r="AH308" s="692">
        <v>0</v>
      </c>
      <c r="AI308" s="692">
        <v>0</v>
      </c>
      <c r="AJ308" s="692">
        <v>0</v>
      </c>
      <c r="AK308" s="692">
        <v>0</v>
      </c>
      <c r="AL308" s="692">
        <v>0</v>
      </c>
      <c r="AM308" s="692">
        <v>0</v>
      </c>
      <c r="AN308" s="692">
        <v>0</v>
      </c>
      <c r="AO308" s="692">
        <v>0</v>
      </c>
      <c r="AP308" s="498">
        <v>0</v>
      </c>
      <c r="AQ308" s="498">
        <v>0</v>
      </c>
      <c r="AR308" s="692">
        <v>3.1886807865266502</v>
      </c>
      <c r="AS308" s="692">
        <v>-3.1885421832706999</v>
      </c>
      <c r="AT308" s="498">
        <v>5047705.745104</v>
      </c>
      <c r="AU308" s="695">
        <v>-5047486.3351039998</v>
      </c>
    </row>
    <row r="309" spans="1:47" ht="12" thickBot="1">
      <c r="A309" s="937"/>
      <c r="B309" s="937"/>
      <c r="C309" s="937"/>
      <c r="D309" s="938"/>
      <c r="E309" s="938"/>
      <c r="F309" s="690" t="s">
        <v>498</v>
      </c>
      <c r="G309" s="690" t="s">
        <v>498</v>
      </c>
      <c r="H309" s="691">
        <v>670050</v>
      </c>
      <c r="I309" s="692">
        <v>1821950790.8699999</v>
      </c>
      <c r="J309" s="692">
        <v>0.43525568657171398</v>
      </c>
      <c r="K309" s="692">
        <v>248213848.91</v>
      </c>
      <c r="L309" s="693"/>
      <c r="M309" s="692">
        <v>0</v>
      </c>
      <c r="N309" s="694">
        <v>5340117.91</v>
      </c>
      <c r="O309" s="693"/>
      <c r="P309" s="693"/>
      <c r="Q309" s="693"/>
      <c r="R309" s="693"/>
      <c r="S309" s="498">
        <v>4.6902755251842096</v>
      </c>
      <c r="T309" s="692">
        <v>3.18814239262479</v>
      </c>
      <c r="U309" s="692">
        <v>1.50213313255942</v>
      </c>
      <c r="V309" s="498">
        <v>22106201.335368</v>
      </c>
      <c r="W309" s="692">
        <v>10415613.034631999</v>
      </c>
      <c r="X309" s="692">
        <v>0</v>
      </c>
      <c r="Y309" s="692">
        <v>0</v>
      </c>
      <c r="Z309" s="692">
        <v>0</v>
      </c>
      <c r="AA309" s="692">
        <v>0</v>
      </c>
      <c r="AB309" s="692">
        <v>0</v>
      </c>
      <c r="AC309" s="692">
        <v>0</v>
      </c>
      <c r="AD309" s="692">
        <v>0</v>
      </c>
      <c r="AE309" s="692">
        <v>0</v>
      </c>
      <c r="AF309" s="692">
        <v>0</v>
      </c>
      <c r="AG309" s="692">
        <v>0</v>
      </c>
      <c r="AH309" s="692">
        <v>0</v>
      </c>
      <c r="AI309" s="692">
        <v>0</v>
      </c>
      <c r="AJ309" s="692">
        <v>0</v>
      </c>
      <c r="AK309" s="692">
        <v>0</v>
      </c>
      <c r="AL309" s="692">
        <v>0</v>
      </c>
      <c r="AM309" s="692">
        <v>0</v>
      </c>
      <c r="AN309" s="692">
        <v>0</v>
      </c>
      <c r="AO309" s="692">
        <v>0</v>
      </c>
      <c r="AP309" s="498">
        <v>0</v>
      </c>
      <c r="AQ309" s="498">
        <v>0</v>
      </c>
      <c r="AR309" s="692">
        <v>3.18814239262479</v>
      </c>
      <c r="AS309" s="692">
        <v>1.50213313255942</v>
      </c>
      <c r="AT309" s="498">
        <v>22106201.335368</v>
      </c>
      <c r="AU309" s="695">
        <v>10415613.034631999</v>
      </c>
    </row>
    <row r="310" spans="1:47" ht="12" thickBot="1">
      <c r="A310" s="937"/>
      <c r="B310" s="937"/>
      <c r="C310" s="937"/>
      <c r="D310" s="936" t="s">
        <v>507</v>
      </c>
      <c r="E310" s="936" t="s">
        <v>507</v>
      </c>
      <c r="F310" s="690" t="s">
        <v>497</v>
      </c>
      <c r="G310" s="690" t="s">
        <v>497</v>
      </c>
      <c r="H310" s="691">
        <v>670063</v>
      </c>
      <c r="I310" s="692">
        <v>130392052.23</v>
      </c>
      <c r="J310" s="692">
        <v>0</v>
      </c>
      <c r="K310" s="692">
        <v>60570065.506099999</v>
      </c>
      <c r="L310" s="693"/>
      <c r="M310" s="692">
        <v>0</v>
      </c>
      <c r="N310" s="694">
        <v>6912.93</v>
      </c>
      <c r="O310" s="693"/>
      <c r="P310" s="693"/>
      <c r="Q310" s="693"/>
      <c r="R310" s="693"/>
      <c r="S310" s="498">
        <v>4.6483373769269702</v>
      </c>
      <c r="T310" s="692">
        <v>3.18889464694819</v>
      </c>
      <c r="U310" s="692">
        <v>1.4594427299788899</v>
      </c>
      <c r="V310" s="498">
        <v>1690297.813026</v>
      </c>
      <c r="W310" s="692">
        <v>773588.69697399903</v>
      </c>
      <c r="X310" s="692">
        <v>0</v>
      </c>
      <c r="Y310" s="692">
        <v>0</v>
      </c>
      <c r="Z310" s="692">
        <v>0</v>
      </c>
      <c r="AA310" s="692">
        <v>0</v>
      </c>
      <c r="AB310" s="692">
        <v>0</v>
      </c>
      <c r="AC310" s="692">
        <v>0</v>
      </c>
      <c r="AD310" s="692">
        <v>0</v>
      </c>
      <c r="AE310" s="692">
        <v>0</v>
      </c>
      <c r="AF310" s="692">
        <v>0</v>
      </c>
      <c r="AG310" s="692">
        <v>0</v>
      </c>
      <c r="AH310" s="692">
        <v>0</v>
      </c>
      <c r="AI310" s="692">
        <v>0</v>
      </c>
      <c r="AJ310" s="692">
        <v>0</v>
      </c>
      <c r="AK310" s="692">
        <v>0</v>
      </c>
      <c r="AL310" s="692">
        <v>0</v>
      </c>
      <c r="AM310" s="692">
        <v>0</v>
      </c>
      <c r="AN310" s="692">
        <v>0</v>
      </c>
      <c r="AO310" s="692">
        <v>0</v>
      </c>
      <c r="AP310" s="498">
        <v>0</v>
      </c>
      <c r="AQ310" s="498">
        <v>0</v>
      </c>
      <c r="AR310" s="692">
        <v>3.18889464694819</v>
      </c>
      <c r="AS310" s="692">
        <v>1.4594427299788899</v>
      </c>
      <c r="AT310" s="498">
        <v>1690297.813026</v>
      </c>
      <c r="AU310" s="695">
        <v>773588.69697399903</v>
      </c>
    </row>
    <row r="311" spans="1:47" ht="12" thickBot="1">
      <c r="A311" s="937"/>
      <c r="B311" s="937"/>
      <c r="C311" s="938"/>
      <c r="D311" s="938"/>
      <c r="E311" s="938"/>
      <c r="F311" s="690" t="s">
        <v>498</v>
      </c>
      <c r="G311" s="690" t="s">
        <v>498</v>
      </c>
      <c r="H311" s="691">
        <v>670064</v>
      </c>
      <c r="I311" s="692">
        <v>627838834.48000002</v>
      </c>
      <c r="J311" s="692">
        <v>0.59943902650065894</v>
      </c>
      <c r="K311" s="692">
        <v>248213848.91</v>
      </c>
      <c r="L311" s="693"/>
      <c r="M311" s="692">
        <v>0</v>
      </c>
      <c r="N311" s="694">
        <v>5340117.91</v>
      </c>
      <c r="O311" s="693"/>
      <c r="P311" s="693"/>
      <c r="Q311" s="693"/>
      <c r="R311" s="693"/>
      <c r="S311" s="498">
        <v>4.4576489891743796</v>
      </c>
      <c r="T311" s="692">
        <v>3.18738757825977</v>
      </c>
      <c r="U311" s="692">
        <v>1.2702614109146</v>
      </c>
      <c r="V311" s="498">
        <v>7271239.4489289997</v>
      </c>
      <c r="W311" s="692">
        <v>2897788.441071</v>
      </c>
      <c r="X311" s="692">
        <v>0</v>
      </c>
      <c r="Y311" s="692">
        <v>0</v>
      </c>
      <c r="Z311" s="692">
        <v>0</v>
      </c>
      <c r="AA311" s="692">
        <v>0</v>
      </c>
      <c r="AB311" s="692">
        <v>0</v>
      </c>
      <c r="AC311" s="692">
        <v>0</v>
      </c>
      <c r="AD311" s="692">
        <v>0</v>
      </c>
      <c r="AE311" s="692">
        <v>0</v>
      </c>
      <c r="AF311" s="692">
        <v>0</v>
      </c>
      <c r="AG311" s="692">
        <v>0</v>
      </c>
      <c r="AH311" s="692">
        <v>0</v>
      </c>
      <c r="AI311" s="692">
        <v>0</v>
      </c>
      <c r="AJ311" s="692">
        <v>0</v>
      </c>
      <c r="AK311" s="692">
        <v>0</v>
      </c>
      <c r="AL311" s="692">
        <v>0</v>
      </c>
      <c r="AM311" s="692">
        <v>0</v>
      </c>
      <c r="AN311" s="692">
        <v>0</v>
      </c>
      <c r="AO311" s="692">
        <v>0</v>
      </c>
      <c r="AP311" s="498">
        <v>0</v>
      </c>
      <c r="AQ311" s="498">
        <v>0</v>
      </c>
      <c r="AR311" s="692">
        <v>3.18738757825977</v>
      </c>
      <c r="AS311" s="692">
        <v>1.2702614109146</v>
      </c>
      <c r="AT311" s="498">
        <v>7271239.4489289997</v>
      </c>
      <c r="AU311" s="695">
        <v>2897788.441071</v>
      </c>
    </row>
    <row r="312" spans="1:47" ht="12" thickBot="1">
      <c r="A312" s="937"/>
      <c r="B312" s="938"/>
      <c r="C312" s="690" t="s">
        <v>508</v>
      </c>
      <c r="D312" s="690" t="s">
        <v>509</v>
      </c>
      <c r="E312" s="690" t="s">
        <v>509</v>
      </c>
      <c r="F312" s="690" t="s">
        <v>509</v>
      </c>
      <c r="G312" s="690" t="s">
        <v>509</v>
      </c>
      <c r="H312" s="691">
        <v>670074</v>
      </c>
      <c r="I312" s="692">
        <v>1178927.8700000001</v>
      </c>
      <c r="J312" s="692">
        <v>0.23118742625025901</v>
      </c>
      <c r="K312" s="692">
        <v>1164612.3267000001</v>
      </c>
      <c r="L312" s="693"/>
      <c r="M312" s="692">
        <v>0</v>
      </c>
      <c r="N312" s="694">
        <v>23201.48</v>
      </c>
      <c r="O312" s="693"/>
      <c r="P312" s="693"/>
      <c r="Q312" s="693"/>
      <c r="R312" s="693"/>
      <c r="S312" s="498">
        <v>5.7257376131659203</v>
      </c>
      <c r="T312" s="692">
        <v>3.1919770765157698</v>
      </c>
      <c r="U312" s="692">
        <v>2.53376053665415</v>
      </c>
      <c r="V312" s="498">
        <v>18485.510512000001</v>
      </c>
      <c r="W312" s="692">
        <v>14673.619488</v>
      </c>
      <c r="X312" s="692">
        <v>0</v>
      </c>
      <c r="Y312" s="692">
        <v>0</v>
      </c>
      <c r="Z312" s="692">
        <v>0</v>
      </c>
      <c r="AA312" s="692">
        <v>0</v>
      </c>
      <c r="AB312" s="692">
        <v>0</v>
      </c>
      <c r="AC312" s="692">
        <v>0</v>
      </c>
      <c r="AD312" s="692">
        <v>0</v>
      </c>
      <c r="AE312" s="692">
        <v>0</v>
      </c>
      <c r="AF312" s="692">
        <v>0</v>
      </c>
      <c r="AG312" s="692">
        <v>0</v>
      </c>
      <c r="AH312" s="692">
        <v>0</v>
      </c>
      <c r="AI312" s="692">
        <v>0</v>
      </c>
      <c r="AJ312" s="692">
        <v>0</v>
      </c>
      <c r="AK312" s="692">
        <v>0</v>
      </c>
      <c r="AL312" s="692">
        <v>0</v>
      </c>
      <c r="AM312" s="692">
        <v>0</v>
      </c>
      <c r="AN312" s="692">
        <v>0</v>
      </c>
      <c r="AO312" s="692">
        <v>0</v>
      </c>
      <c r="AP312" s="498">
        <v>0</v>
      </c>
      <c r="AQ312" s="498">
        <v>0</v>
      </c>
      <c r="AR312" s="692">
        <v>3.1919770765157698</v>
      </c>
      <c r="AS312" s="692">
        <v>2.53376053665415</v>
      </c>
      <c r="AT312" s="498">
        <v>18485.510512000001</v>
      </c>
      <c r="AU312" s="695">
        <v>14673.619488</v>
      </c>
    </row>
    <row r="313" spans="1:47" ht="12" thickBot="1">
      <c r="A313" s="937"/>
      <c r="B313" s="936" t="s">
        <v>510</v>
      </c>
      <c r="C313" s="936" t="s">
        <v>511</v>
      </c>
      <c r="D313" s="690" t="s">
        <v>496</v>
      </c>
      <c r="E313" s="690" t="s">
        <v>496</v>
      </c>
      <c r="F313" s="690" t="s">
        <v>496</v>
      </c>
      <c r="G313" s="690" t="s">
        <v>496</v>
      </c>
      <c r="H313" s="691">
        <v>671001</v>
      </c>
      <c r="I313" s="692">
        <v>14551373.26</v>
      </c>
      <c r="J313" s="692">
        <v>0</v>
      </c>
      <c r="K313" s="692">
        <v>0</v>
      </c>
      <c r="L313" s="693"/>
      <c r="M313" s="692">
        <v>0</v>
      </c>
      <c r="N313" s="694">
        <v>0</v>
      </c>
      <c r="O313" s="693"/>
      <c r="P313" s="693"/>
      <c r="Q313" s="693"/>
      <c r="R313" s="693"/>
      <c r="S313" s="498">
        <v>0</v>
      </c>
      <c r="T313" s="692">
        <v>3.3220364601489498</v>
      </c>
      <c r="U313" s="692">
        <v>3.3220364601489498</v>
      </c>
      <c r="V313" s="498">
        <v>258075.11905099999</v>
      </c>
      <c r="W313" s="692">
        <v>258075.11905099999</v>
      </c>
      <c r="X313" s="692">
        <v>0</v>
      </c>
      <c r="Y313" s="692">
        <v>0</v>
      </c>
      <c r="Z313" s="692">
        <v>0</v>
      </c>
      <c r="AA313" s="692">
        <v>0</v>
      </c>
      <c r="AB313" s="692">
        <v>4.4364100928130003E-3</v>
      </c>
      <c r="AC313" s="692">
        <v>344.64614599999999</v>
      </c>
      <c r="AD313" s="692">
        <v>0</v>
      </c>
      <c r="AE313" s="692">
        <v>0</v>
      </c>
      <c r="AF313" s="692">
        <v>0</v>
      </c>
      <c r="AG313" s="692">
        <v>0</v>
      </c>
      <c r="AH313" s="692">
        <v>0</v>
      </c>
      <c r="AI313" s="692">
        <v>0</v>
      </c>
      <c r="AJ313" s="692">
        <v>0</v>
      </c>
      <c r="AK313" s="692">
        <v>0</v>
      </c>
      <c r="AL313" s="692">
        <v>0</v>
      </c>
      <c r="AM313" s="692">
        <v>0</v>
      </c>
      <c r="AN313" s="692">
        <v>0</v>
      </c>
      <c r="AO313" s="692">
        <v>0</v>
      </c>
      <c r="AP313" s="498">
        <v>0</v>
      </c>
      <c r="AQ313" s="498">
        <v>0</v>
      </c>
      <c r="AR313" s="692">
        <v>3.3264728717735701</v>
      </c>
      <c r="AS313" s="692">
        <v>3.3264728717735701</v>
      </c>
      <c r="AT313" s="498">
        <v>258419.765316</v>
      </c>
      <c r="AU313" s="695">
        <v>258419.765316</v>
      </c>
    </row>
    <row r="314" spans="1:47" ht="12" thickBot="1">
      <c r="A314" s="937"/>
      <c r="B314" s="937"/>
      <c r="C314" s="937"/>
      <c r="D314" s="936" t="s">
        <v>500</v>
      </c>
      <c r="E314" s="690" t="s">
        <v>500</v>
      </c>
      <c r="F314" s="690" t="s">
        <v>500</v>
      </c>
      <c r="G314" s="690" t="s">
        <v>500</v>
      </c>
      <c r="H314" s="691">
        <v>671011</v>
      </c>
      <c r="I314" s="692">
        <v>429052</v>
      </c>
      <c r="J314" s="692">
        <v>0</v>
      </c>
      <c r="K314" s="692">
        <v>0</v>
      </c>
      <c r="L314" s="693"/>
      <c r="M314" s="692">
        <v>0</v>
      </c>
      <c r="N314" s="694">
        <v>0</v>
      </c>
      <c r="O314" s="693"/>
      <c r="P314" s="693"/>
      <c r="Q314" s="693"/>
      <c r="R314" s="693"/>
      <c r="S314" s="498">
        <v>0</v>
      </c>
      <c r="T314" s="692">
        <v>3.3222240025098202</v>
      </c>
      <c r="U314" s="692">
        <v>3.3222240025098202</v>
      </c>
      <c r="V314" s="498">
        <v>8264.4621810000008</v>
      </c>
      <c r="W314" s="692">
        <v>8264.4621810000008</v>
      </c>
      <c r="X314" s="692">
        <v>0</v>
      </c>
      <c r="Y314" s="692">
        <v>0</v>
      </c>
      <c r="Z314" s="692">
        <v>0</v>
      </c>
      <c r="AA314" s="692">
        <v>0</v>
      </c>
      <c r="AB314" s="692">
        <v>8.7145254807100003E-4</v>
      </c>
      <c r="AC314" s="692">
        <v>2.1678510000000002</v>
      </c>
      <c r="AD314" s="692">
        <v>0</v>
      </c>
      <c r="AE314" s="692">
        <v>0</v>
      </c>
      <c r="AF314" s="692">
        <v>0</v>
      </c>
      <c r="AG314" s="692">
        <v>0</v>
      </c>
      <c r="AH314" s="692">
        <v>0</v>
      </c>
      <c r="AI314" s="692">
        <v>0</v>
      </c>
      <c r="AJ314" s="692">
        <v>0</v>
      </c>
      <c r="AK314" s="692">
        <v>0</v>
      </c>
      <c r="AL314" s="692">
        <v>0</v>
      </c>
      <c r="AM314" s="692">
        <v>0</v>
      </c>
      <c r="AN314" s="692">
        <v>0</v>
      </c>
      <c r="AO314" s="692">
        <v>0</v>
      </c>
      <c r="AP314" s="498">
        <v>0</v>
      </c>
      <c r="AQ314" s="498">
        <v>0</v>
      </c>
      <c r="AR314" s="692">
        <v>3.3230953859157601</v>
      </c>
      <c r="AS314" s="692">
        <v>3.3230953859157601</v>
      </c>
      <c r="AT314" s="498">
        <v>8266.6298599999991</v>
      </c>
      <c r="AU314" s="695">
        <v>8266.6298599999991</v>
      </c>
    </row>
    <row r="315" spans="1:47" ht="12" thickBot="1">
      <c r="A315" s="937"/>
      <c r="B315" s="937"/>
      <c r="C315" s="937"/>
      <c r="D315" s="938"/>
      <c r="E315" s="690" t="s">
        <v>502</v>
      </c>
      <c r="F315" s="690" t="s">
        <v>502</v>
      </c>
      <c r="G315" s="690" t="s">
        <v>502</v>
      </c>
      <c r="H315" s="691">
        <v>671012</v>
      </c>
      <c r="I315" s="692">
        <v>1509581.31</v>
      </c>
      <c r="J315" s="692">
        <v>0</v>
      </c>
      <c r="K315" s="692">
        <v>0</v>
      </c>
      <c r="L315" s="693"/>
      <c r="M315" s="692">
        <v>0</v>
      </c>
      <c r="N315" s="694">
        <v>0</v>
      </c>
      <c r="O315" s="693"/>
      <c r="P315" s="693"/>
      <c r="Q315" s="693"/>
      <c r="R315" s="693"/>
      <c r="S315" s="498">
        <v>0</v>
      </c>
      <c r="T315" s="692">
        <v>3.3207990810947199</v>
      </c>
      <c r="U315" s="692">
        <v>3.3207990810947199</v>
      </c>
      <c r="V315" s="498">
        <v>26443.079424</v>
      </c>
      <c r="W315" s="692">
        <v>26443.079424</v>
      </c>
      <c r="X315" s="692">
        <v>0</v>
      </c>
      <c r="Y315" s="692">
        <v>0</v>
      </c>
      <c r="Z315" s="692">
        <v>0</v>
      </c>
      <c r="AA315" s="692">
        <v>0</v>
      </c>
      <c r="AB315" s="692">
        <v>1.1020484156308E-2</v>
      </c>
      <c r="AC315" s="692">
        <v>87.754643000000002</v>
      </c>
      <c r="AD315" s="692">
        <v>0</v>
      </c>
      <c r="AE315" s="692">
        <v>0</v>
      </c>
      <c r="AF315" s="692">
        <v>0</v>
      </c>
      <c r="AG315" s="692">
        <v>0</v>
      </c>
      <c r="AH315" s="692">
        <v>0</v>
      </c>
      <c r="AI315" s="692">
        <v>0</v>
      </c>
      <c r="AJ315" s="692">
        <v>0</v>
      </c>
      <c r="AK315" s="692">
        <v>0</v>
      </c>
      <c r="AL315" s="692">
        <v>0</v>
      </c>
      <c r="AM315" s="692">
        <v>0</v>
      </c>
      <c r="AN315" s="692">
        <v>0</v>
      </c>
      <c r="AO315" s="692">
        <v>0</v>
      </c>
      <c r="AP315" s="498">
        <v>0</v>
      </c>
      <c r="AQ315" s="498">
        <v>0</v>
      </c>
      <c r="AR315" s="692">
        <v>3.3318195624881999</v>
      </c>
      <c r="AS315" s="692">
        <v>3.3318195624881999</v>
      </c>
      <c r="AT315" s="498">
        <v>26530.834045</v>
      </c>
      <c r="AU315" s="695">
        <v>26530.834045</v>
      </c>
    </row>
    <row r="316" spans="1:47" ht="12" thickBot="1">
      <c r="A316" s="937"/>
      <c r="B316" s="937"/>
      <c r="C316" s="937"/>
      <c r="D316" s="936" t="s">
        <v>503</v>
      </c>
      <c r="E316" s="690" t="s">
        <v>504</v>
      </c>
      <c r="F316" s="690" t="s">
        <v>504</v>
      </c>
      <c r="G316" s="690" t="s">
        <v>504</v>
      </c>
      <c r="H316" s="691">
        <v>671061</v>
      </c>
      <c r="I316" s="692">
        <v>1247781.07</v>
      </c>
      <c r="J316" s="692">
        <v>0</v>
      </c>
      <c r="K316" s="692">
        <v>0</v>
      </c>
      <c r="L316" s="693"/>
      <c r="M316" s="692">
        <v>0</v>
      </c>
      <c r="N316" s="694">
        <v>0</v>
      </c>
      <c r="O316" s="693"/>
      <c r="P316" s="693"/>
      <c r="Q316" s="693"/>
      <c r="R316" s="693"/>
      <c r="S316" s="498">
        <v>0</v>
      </c>
      <c r="T316" s="692">
        <v>3.3227924437101599</v>
      </c>
      <c r="U316" s="692">
        <v>3.3227924437101599</v>
      </c>
      <c r="V316" s="498">
        <v>25103.988617999999</v>
      </c>
      <c r="W316" s="692">
        <v>25103.988617999999</v>
      </c>
      <c r="X316" s="692">
        <v>0</v>
      </c>
      <c r="Y316" s="692">
        <v>0</v>
      </c>
      <c r="Z316" s="692">
        <v>0</v>
      </c>
      <c r="AA316" s="692">
        <v>0</v>
      </c>
      <c r="AB316" s="692">
        <v>0</v>
      </c>
      <c r="AC316" s="692">
        <v>0</v>
      </c>
      <c r="AD316" s="692">
        <v>0</v>
      </c>
      <c r="AE316" s="692">
        <v>0</v>
      </c>
      <c r="AF316" s="692">
        <v>0</v>
      </c>
      <c r="AG316" s="692">
        <v>0</v>
      </c>
      <c r="AH316" s="692">
        <v>0</v>
      </c>
      <c r="AI316" s="692">
        <v>0</v>
      </c>
      <c r="AJ316" s="692">
        <v>0</v>
      </c>
      <c r="AK316" s="692">
        <v>0</v>
      </c>
      <c r="AL316" s="692">
        <v>0</v>
      </c>
      <c r="AM316" s="692">
        <v>0</v>
      </c>
      <c r="AN316" s="692">
        <v>0</v>
      </c>
      <c r="AO316" s="692">
        <v>0</v>
      </c>
      <c r="AP316" s="498">
        <v>0</v>
      </c>
      <c r="AQ316" s="498">
        <v>0</v>
      </c>
      <c r="AR316" s="692">
        <v>3.3227924437101599</v>
      </c>
      <c r="AS316" s="692">
        <v>3.3227924437101599</v>
      </c>
      <c r="AT316" s="498">
        <v>25103.988617999999</v>
      </c>
      <c r="AU316" s="695">
        <v>25103.988617999999</v>
      </c>
    </row>
    <row r="317" spans="1:47" ht="12" thickBot="1">
      <c r="A317" s="937"/>
      <c r="B317" s="937"/>
      <c r="C317" s="937"/>
      <c r="D317" s="938"/>
      <c r="E317" s="690" t="s">
        <v>505</v>
      </c>
      <c r="F317" s="690" t="s">
        <v>505</v>
      </c>
      <c r="G317" s="690" t="s">
        <v>505</v>
      </c>
      <c r="H317" s="691">
        <v>671021</v>
      </c>
      <c r="I317" s="692">
        <v>216264.5</v>
      </c>
      <c r="J317" s="692">
        <v>0</v>
      </c>
      <c r="K317" s="692">
        <v>0</v>
      </c>
      <c r="L317" s="693"/>
      <c r="M317" s="692">
        <v>0</v>
      </c>
      <c r="N317" s="694">
        <v>0</v>
      </c>
      <c r="O317" s="693"/>
      <c r="P317" s="693"/>
      <c r="Q317" s="693"/>
      <c r="R317" s="693"/>
      <c r="S317" s="498">
        <v>0</v>
      </c>
      <c r="T317" s="692">
        <v>3.31763686434559</v>
      </c>
      <c r="U317" s="692">
        <v>3.31763686434559</v>
      </c>
      <c r="V317" s="498">
        <v>4140.3942719999995</v>
      </c>
      <c r="W317" s="692">
        <v>4140.3942719999995</v>
      </c>
      <c r="X317" s="692">
        <v>0</v>
      </c>
      <c r="Y317" s="692">
        <v>0</v>
      </c>
      <c r="Z317" s="692">
        <v>0</v>
      </c>
      <c r="AA317" s="692">
        <v>0</v>
      </c>
      <c r="AB317" s="692">
        <v>3.3653980549999998E-6</v>
      </c>
      <c r="AC317" s="692">
        <v>4.1999999999999997E-3</v>
      </c>
      <c r="AD317" s="692">
        <v>0</v>
      </c>
      <c r="AE317" s="692">
        <v>0</v>
      </c>
      <c r="AF317" s="692">
        <v>0</v>
      </c>
      <c r="AG317" s="692">
        <v>0</v>
      </c>
      <c r="AH317" s="692">
        <v>0</v>
      </c>
      <c r="AI317" s="692">
        <v>0</v>
      </c>
      <c r="AJ317" s="692">
        <v>0</v>
      </c>
      <c r="AK317" s="692">
        <v>0</v>
      </c>
      <c r="AL317" s="692">
        <v>0</v>
      </c>
      <c r="AM317" s="692">
        <v>0</v>
      </c>
      <c r="AN317" s="692">
        <v>0</v>
      </c>
      <c r="AO317" s="692">
        <v>0</v>
      </c>
      <c r="AP317" s="498">
        <v>0</v>
      </c>
      <c r="AQ317" s="498">
        <v>0</v>
      </c>
      <c r="AR317" s="692">
        <v>3.31764022974364</v>
      </c>
      <c r="AS317" s="692">
        <v>3.31764022974364</v>
      </c>
      <c r="AT317" s="498">
        <v>4140.3984719999999</v>
      </c>
      <c r="AU317" s="695">
        <v>4140.3984719999999</v>
      </c>
    </row>
    <row r="318" spans="1:47" ht="12" thickBot="1">
      <c r="A318" s="937"/>
      <c r="B318" s="937"/>
      <c r="C318" s="938"/>
      <c r="D318" s="690" t="s">
        <v>506</v>
      </c>
      <c r="E318" s="690" t="s">
        <v>506</v>
      </c>
      <c r="F318" s="690" t="s">
        <v>506</v>
      </c>
      <c r="G318" s="690" t="s">
        <v>506</v>
      </c>
      <c r="H318" s="691">
        <v>671031</v>
      </c>
      <c r="I318" s="692">
        <v>8646386.6799999997</v>
      </c>
      <c r="J318" s="692">
        <v>0</v>
      </c>
      <c r="K318" s="692">
        <v>0</v>
      </c>
      <c r="L318" s="693"/>
      <c r="M318" s="692">
        <v>0</v>
      </c>
      <c r="N318" s="694">
        <v>0</v>
      </c>
      <c r="O318" s="693"/>
      <c r="P318" s="693"/>
      <c r="Q318" s="693"/>
      <c r="R318" s="693"/>
      <c r="S318" s="498">
        <v>0</v>
      </c>
      <c r="T318" s="692">
        <v>3.31982174040516</v>
      </c>
      <c r="U318" s="692">
        <v>3.31982174040516</v>
      </c>
      <c r="V318" s="498">
        <v>152519.40762300001</v>
      </c>
      <c r="W318" s="692">
        <v>152519.40762300001</v>
      </c>
      <c r="X318" s="692">
        <v>0</v>
      </c>
      <c r="Y318" s="692">
        <v>0</v>
      </c>
      <c r="Z318" s="692">
        <v>0</v>
      </c>
      <c r="AA318" s="692">
        <v>0</v>
      </c>
      <c r="AB318" s="692">
        <v>5.2988741902319997E-3</v>
      </c>
      <c r="AC318" s="692">
        <v>243.44112899999999</v>
      </c>
      <c r="AD318" s="692">
        <v>0</v>
      </c>
      <c r="AE318" s="692">
        <v>0</v>
      </c>
      <c r="AF318" s="692">
        <v>0</v>
      </c>
      <c r="AG318" s="692">
        <v>0</v>
      </c>
      <c r="AH318" s="692">
        <v>0</v>
      </c>
      <c r="AI318" s="692">
        <v>0</v>
      </c>
      <c r="AJ318" s="692">
        <v>0</v>
      </c>
      <c r="AK318" s="692">
        <v>0</v>
      </c>
      <c r="AL318" s="692">
        <v>0</v>
      </c>
      <c r="AM318" s="692">
        <v>0</v>
      </c>
      <c r="AN318" s="692">
        <v>0</v>
      </c>
      <c r="AO318" s="692">
        <v>0</v>
      </c>
      <c r="AP318" s="498">
        <v>0</v>
      </c>
      <c r="AQ318" s="498">
        <v>0</v>
      </c>
      <c r="AR318" s="692">
        <v>3.3251206114610001</v>
      </c>
      <c r="AS318" s="692">
        <v>3.3251206114610001</v>
      </c>
      <c r="AT318" s="498">
        <v>152762.848608</v>
      </c>
      <c r="AU318" s="695">
        <v>152762.848608</v>
      </c>
    </row>
    <row r="319" spans="1:47" ht="12" thickBot="1">
      <c r="A319" s="938"/>
      <c r="B319" s="938"/>
      <c r="C319" s="690" t="s">
        <v>512</v>
      </c>
      <c r="D319" s="690" t="s">
        <v>509</v>
      </c>
      <c r="E319" s="690" t="s">
        <v>509</v>
      </c>
      <c r="F319" s="690" t="s">
        <v>509</v>
      </c>
      <c r="G319" s="690" t="s">
        <v>509</v>
      </c>
      <c r="H319" s="691">
        <v>671051</v>
      </c>
      <c r="I319" s="692">
        <v>131874.63</v>
      </c>
      <c r="J319" s="692">
        <v>0</v>
      </c>
      <c r="K319" s="692">
        <v>1164612.3267000001</v>
      </c>
      <c r="L319" s="693"/>
      <c r="M319" s="692">
        <v>0</v>
      </c>
      <c r="N319" s="694">
        <v>23201.48</v>
      </c>
      <c r="O319" s="693"/>
      <c r="P319" s="693"/>
      <c r="Q319" s="693"/>
      <c r="R319" s="693"/>
      <c r="S319" s="498">
        <v>0</v>
      </c>
      <c r="T319" s="692">
        <v>3.3222121986073399</v>
      </c>
      <c r="U319" s="692">
        <v>3.3222121986073399</v>
      </c>
      <c r="V319" s="498">
        <v>1914.77594</v>
      </c>
      <c r="W319" s="692">
        <v>1914.77594</v>
      </c>
      <c r="X319" s="692">
        <v>0</v>
      </c>
      <c r="Y319" s="692">
        <v>0</v>
      </c>
      <c r="Z319" s="692">
        <v>0</v>
      </c>
      <c r="AA319" s="692">
        <v>0</v>
      </c>
      <c r="AB319" s="692">
        <v>0</v>
      </c>
      <c r="AC319" s="692">
        <v>0</v>
      </c>
      <c r="AD319" s="692">
        <v>0</v>
      </c>
      <c r="AE319" s="692">
        <v>0</v>
      </c>
      <c r="AF319" s="692">
        <v>0</v>
      </c>
      <c r="AG319" s="692">
        <v>0</v>
      </c>
      <c r="AH319" s="692">
        <v>0</v>
      </c>
      <c r="AI319" s="692">
        <v>0</v>
      </c>
      <c r="AJ319" s="692">
        <v>0</v>
      </c>
      <c r="AK319" s="692">
        <v>0</v>
      </c>
      <c r="AL319" s="692">
        <v>0</v>
      </c>
      <c r="AM319" s="692">
        <v>0</v>
      </c>
      <c r="AN319" s="692">
        <v>0</v>
      </c>
      <c r="AO319" s="692">
        <v>0</v>
      </c>
      <c r="AP319" s="498">
        <v>0</v>
      </c>
      <c r="AQ319" s="498">
        <v>0</v>
      </c>
      <c r="AR319" s="692">
        <v>3.3222121986073399</v>
      </c>
      <c r="AS319" s="692">
        <v>3.3222121986073399</v>
      </c>
      <c r="AT319" s="498">
        <v>1914.77594</v>
      </c>
      <c r="AU319" s="695">
        <v>1914.77594</v>
      </c>
    </row>
    <row r="320" spans="1:47" ht="12" thickBot="1">
      <c r="A320" s="936" t="s">
        <v>490</v>
      </c>
      <c r="B320" s="690" t="s">
        <v>513</v>
      </c>
      <c r="C320" s="690" t="s">
        <v>513</v>
      </c>
      <c r="D320" s="690" t="s">
        <v>513</v>
      </c>
      <c r="E320" s="690" t="s">
        <v>513</v>
      </c>
      <c r="F320" s="690" t="s">
        <v>513</v>
      </c>
      <c r="G320" s="690" t="s">
        <v>513</v>
      </c>
      <c r="H320" s="691">
        <v>770001</v>
      </c>
      <c r="I320" s="692">
        <v>2109736650</v>
      </c>
      <c r="J320" s="692">
        <v>0</v>
      </c>
      <c r="K320" s="692">
        <v>0</v>
      </c>
      <c r="L320" s="693"/>
      <c r="M320" s="692">
        <v>0</v>
      </c>
      <c r="N320" s="694">
        <v>0</v>
      </c>
      <c r="O320" s="693"/>
      <c r="P320" s="693"/>
      <c r="Q320" s="693"/>
      <c r="R320" s="693"/>
      <c r="S320" s="498">
        <v>0</v>
      </c>
      <c r="T320" s="692">
        <v>3.47398351648151</v>
      </c>
      <c r="U320" s="692">
        <v>-3.47398351648151</v>
      </c>
      <c r="V320" s="498">
        <v>36445700.628729001</v>
      </c>
      <c r="W320" s="692">
        <v>-36445700.628729001</v>
      </c>
      <c r="X320" s="692">
        <v>0</v>
      </c>
      <c r="Y320" s="692">
        <v>0</v>
      </c>
      <c r="Z320" s="692">
        <v>0</v>
      </c>
      <c r="AA320" s="692">
        <v>0</v>
      </c>
      <c r="AB320" s="692">
        <v>0</v>
      </c>
      <c r="AC320" s="692">
        <v>0</v>
      </c>
      <c r="AD320" s="692">
        <v>0</v>
      </c>
      <c r="AE320" s="692">
        <v>0</v>
      </c>
      <c r="AF320" s="692">
        <v>0</v>
      </c>
      <c r="AG320" s="692">
        <v>0</v>
      </c>
      <c r="AH320" s="692">
        <v>0</v>
      </c>
      <c r="AI320" s="692">
        <v>0</v>
      </c>
      <c r="AJ320" s="692">
        <v>0</v>
      </c>
      <c r="AK320" s="692">
        <v>0</v>
      </c>
      <c r="AL320" s="692">
        <v>0</v>
      </c>
      <c r="AM320" s="692">
        <v>0</v>
      </c>
      <c r="AN320" s="692">
        <v>0</v>
      </c>
      <c r="AO320" s="692">
        <v>0</v>
      </c>
      <c r="AP320" s="498">
        <v>0</v>
      </c>
      <c r="AQ320" s="498">
        <v>0</v>
      </c>
      <c r="AR320" s="692">
        <v>3.47398351648151</v>
      </c>
      <c r="AS320" s="692">
        <v>-3.47398351648151</v>
      </c>
      <c r="AT320" s="498">
        <v>36445700.628729001</v>
      </c>
      <c r="AU320" s="695">
        <v>-36445700.628729001</v>
      </c>
    </row>
    <row r="321" spans="1:47" ht="12" thickBot="1">
      <c r="A321" s="937"/>
      <c r="B321" s="690" t="s">
        <v>514</v>
      </c>
      <c r="C321" s="690" t="s">
        <v>515</v>
      </c>
      <c r="D321" s="690" t="s">
        <v>515</v>
      </c>
      <c r="E321" s="690" t="s">
        <v>515</v>
      </c>
      <c r="F321" s="690" t="s">
        <v>515</v>
      </c>
      <c r="G321" s="690" t="s">
        <v>515</v>
      </c>
      <c r="H321" s="691">
        <v>770521</v>
      </c>
      <c r="I321" s="692">
        <v>690661109.24000001</v>
      </c>
      <c r="J321" s="692">
        <v>0</v>
      </c>
      <c r="K321" s="692">
        <v>0</v>
      </c>
      <c r="L321" s="693"/>
      <c r="M321" s="692">
        <v>0</v>
      </c>
      <c r="N321" s="694">
        <v>0</v>
      </c>
      <c r="O321" s="693"/>
      <c r="P321" s="693"/>
      <c r="Q321" s="693"/>
      <c r="R321" s="693"/>
      <c r="S321" s="498">
        <v>0</v>
      </c>
      <c r="T321" s="692">
        <v>4.1338538079344698</v>
      </c>
      <c r="U321" s="692">
        <v>-4.1338538079344698</v>
      </c>
      <c r="V321" s="498">
        <v>13984675.8828</v>
      </c>
      <c r="W321" s="692">
        <v>-13984675.8828</v>
      </c>
      <c r="X321" s="692">
        <v>0</v>
      </c>
      <c r="Y321" s="692">
        <v>0</v>
      </c>
      <c r="Z321" s="692">
        <v>0</v>
      </c>
      <c r="AA321" s="692">
        <v>0</v>
      </c>
      <c r="AB321" s="692">
        <v>0</v>
      </c>
      <c r="AC321" s="692">
        <v>0</v>
      </c>
      <c r="AD321" s="692">
        <v>0</v>
      </c>
      <c r="AE321" s="692">
        <v>0</v>
      </c>
      <c r="AF321" s="692">
        <v>0</v>
      </c>
      <c r="AG321" s="692">
        <v>0</v>
      </c>
      <c r="AH321" s="692">
        <v>0</v>
      </c>
      <c r="AI321" s="692">
        <v>0</v>
      </c>
      <c r="AJ321" s="692">
        <v>0</v>
      </c>
      <c r="AK321" s="692">
        <v>0</v>
      </c>
      <c r="AL321" s="692">
        <v>0</v>
      </c>
      <c r="AM321" s="692">
        <v>0</v>
      </c>
      <c r="AN321" s="692">
        <v>0</v>
      </c>
      <c r="AO321" s="692">
        <v>0</v>
      </c>
      <c r="AP321" s="498">
        <v>0</v>
      </c>
      <c r="AQ321" s="498">
        <v>0</v>
      </c>
      <c r="AR321" s="692">
        <v>4.1338538079344698</v>
      </c>
      <c r="AS321" s="692">
        <v>-4.1338538079344698</v>
      </c>
      <c r="AT321" s="498">
        <v>13984675.8828</v>
      </c>
      <c r="AU321" s="695">
        <v>-13984675.8828</v>
      </c>
    </row>
    <row r="322" spans="1:47" ht="12" thickBot="1">
      <c r="A322" s="937"/>
      <c r="B322" s="690" t="s">
        <v>516</v>
      </c>
      <c r="C322" s="690" t="s">
        <v>517</v>
      </c>
      <c r="D322" s="690" t="s">
        <v>517</v>
      </c>
      <c r="E322" s="690" t="s">
        <v>517</v>
      </c>
      <c r="F322" s="690" t="s">
        <v>517</v>
      </c>
      <c r="G322" s="690" t="s">
        <v>517</v>
      </c>
      <c r="H322" s="691">
        <v>771001</v>
      </c>
      <c r="I322" s="692">
        <v>5551018258.5802002</v>
      </c>
      <c r="J322" s="692">
        <v>0</v>
      </c>
      <c r="K322" s="692">
        <v>0</v>
      </c>
      <c r="L322" s="693"/>
      <c r="M322" s="692">
        <v>-73780557.879999995</v>
      </c>
      <c r="N322" s="694">
        <v>-184847402.26750001</v>
      </c>
      <c r="O322" s="693"/>
      <c r="P322" s="693"/>
      <c r="Q322" s="693"/>
      <c r="R322" s="693"/>
      <c r="S322" s="498">
        <v>0</v>
      </c>
      <c r="T322" s="692">
        <v>2.7379905691001301</v>
      </c>
      <c r="U322" s="692">
        <v>-1.57204860258309</v>
      </c>
      <c r="V322" s="498">
        <v>62779984.743064903</v>
      </c>
      <c r="W322" s="692">
        <v>-36045846.322239101</v>
      </c>
      <c r="X322" s="692">
        <v>0</v>
      </c>
      <c r="Y322" s="692">
        <v>0</v>
      </c>
      <c r="Z322" s="692">
        <v>0</v>
      </c>
      <c r="AA322" s="692">
        <v>0</v>
      </c>
      <c r="AB322" s="692">
        <v>0</v>
      </c>
      <c r="AC322" s="692">
        <v>0</v>
      </c>
      <c r="AD322" s="692">
        <v>0</v>
      </c>
      <c r="AE322" s="692">
        <v>0</v>
      </c>
      <c r="AF322" s="692">
        <v>0</v>
      </c>
      <c r="AG322" s="692">
        <v>0</v>
      </c>
      <c r="AH322" s="692">
        <v>0</v>
      </c>
      <c r="AI322" s="692">
        <v>0</v>
      </c>
      <c r="AJ322" s="692">
        <v>0</v>
      </c>
      <c r="AK322" s="692">
        <v>0</v>
      </c>
      <c r="AL322" s="692">
        <v>0</v>
      </c>
      <c r="AM322" s="692">
        <v>0</v>
      </c>
      <c r="AN322" s="692">
        <v>0</v>
      </c>
      <c r="AO322" s="692">
        <v>0</v>
      </c>
      <c r="AP322" s="498">
        <v>0</v>
      </c>
      <c r="AQ322" s="498">
        <v>0</v>
      </c>
      <c r="AR322" s="692">
        <v>2.7379905691001301</v>
      </c>
      <c r="AS322" s="692">
        <v>-1.57204860258309</v>
      </c>
      <c r="AT322" s="498">
        <v>62779984.743064903</v>
      </c>
      <c r="AU322" s="695">
        <v>-36045846.322239101</v>
      </c>
    </row>
    <row r="323" spans="1:47" ht="12" thickBot="1">
      <c r="A323" s="937"/>
      <c r="B323" s="936" t="s">
        <v>490</v>
      </c>
      <c r="C323" s="936" t="s">
        <v>490</v>
      </c>
      <c r="D323" s="936" t="s">
        <v>490</v>
      </c>
      <c r="E323" s="936" t="s">
        <v>490</v>
      </c>
      <c r="F323" s="936" t="s">
        <v>490</v>
      </c>
      <c r="G323" s="690" t="s">
        <v>518</v>
      </c>
      <c r="H323" s="691">
        <v>999990</v>
      </c>
      <c r="I323" s="692">
        <v>0</v>
      </c>
      <c r="J323" s="692">
        <v>0</v>
      </c>
      <c r="K323" s="692">
        <v>2131.8681000000001</v>
      </c>
      <c r="L323" s="693"/>
      <c r="M323" s="692">
        <v>0</v>
      </c>
      <c r="N323" s="694">
        <v>133.27000000000001</v>
      </c>
      <c r="O323" s="693"/>
      <c r="P323" s="693"/>
      <c r="Q323" s="693"/>
      <c r="R323" s="693"/>
      <c r="S323" s="498">
        <v>20448.816184302101</v>
      </c>
      <c r="T323" s="692">
        <v>3.3470303814432998</v>
      </c>
      <c r="U323" s="692">
        <v>20445.469155185601</v>
      </c>
      <c r="V323" s="498">
        <v>35.48218</v>
      </c>
      <c r="W323" s="692">
        <v>216744.31782</v>
      </c>
      <c r="X323" s="692">
        <v>0</v>
      </c>
      <c r="Y323" s="692">
        <v>0</v>
      </c>
      <c r="Z323" s="692">
        <v>0</v>
      </c>
      <c r="AA323" s="692">
        <v>0</v>
      </c>
      <c r="AB323" s="692">
        <v>0</v>
      </c>
      <c r="AC323" s="692">
        <v>0</v>
      </c>
      <c r="AD323" s="692">
        <v>0</v>
      </c>
      <c r="AE323" s="692">
        <v>0</v>
      </c>
      <c r="AF323" s="692">
        <v>0</v>
      </c>
      <c r="AG323" s="692">
        <v>0</v>
      </c>
      <c r="AH323" s="692">
        <v>0</v>
      </c>
      <c r="AI323" s="692">
        <v>0</v>
      </c>
      <c r="AJ323" s="692">
        <v>0</v>
      </c>
      <c r="AK323" s="692">
        <v>0</v>
      </c>
      <c r="AL323" s="692">
        <v>0</v>
      </c>
      <c r="AM323" s="692">
        <v>0</v>
      </c>
      <c r="AN323" s="692">
        <v>0</v>
      </c>
      <c r="AO323" s="692">
        <v>0</v>
      </c>
      <c r="AP323" s="498">
        <v>0</v>
      </c>
      <c r="AQ323" s="498">
        <v>0</v>
      </c>
      <c r="AR323" s="692">
        <v>3.3470303814432998</v>
      </c>
      <c r="AS323" s="692">
        <v>20445.469155185601</v>
      </c>
      <c r="AT323" s="498">
        <v>35.48218</v>
      </c>
      <c r="AU323" s="695">
        <v>216744.31782</v>
      </c>
    </row>
    <row r="324" spans="1:47" ht="12" thickBot="1">
      <c r="A324" s="938"/>
      <c r="B324" s="938"/>
      <c r="C324" s="938"/>
      <c r="D324" s="938"/>
      <c r="E324" s="938"/>
      <c r="F324" s="938"/>
      <c r="G324" s="725" t="s">
        <v>490</v>
      </c>
      <c r="H324" s="726">
        <v>999999</v>
      </c>
      <c r="I324" s="727">
        <v>16109376781.76</v>
      </c>
      <c r="J324" s="727">
        <v>6.7505335408090004E-3</v>
      </c>
      <c r="K324" s="727">
        <v>0</v>
      </c>
      <c r="L324" s="728"/>
      <c r="M324" s="727">
        <v>0</v>
      </c>
      <c r="N324" s="729">
        <v>0</v>
      </c>
      <c r="O324" s="728"/>
      <c r="P324" s="728"/>
      <c r="Q324" s="728"/>
      <c r="R324" s="728"/>
      <c r="S324" s="499">
        <v>1.9391441394915201</v>
      </c>
      <c r="T324" s="727">
        <v>1.9865255332521501</v>
      </c>
      <c r="U324" s="727">
        <v>0.60520679565592805</v>
      </c>
      <c r="V324" s="499">
        <v>22119701.326567002</v>
      </c>
      <c r="W324" s="727">
        <v>6738898.3109630002</v>
      </c>
      <c r="X324" s="727">
        <v>0</v>
      </c>
      <c r="Y324" s="727">
        <v>0</v>
      </c>
      <c r="Z324" s="727">
        <v>0</v>
      </c>
      <c r="AA324" s="727">
        <v>0</v>
      </c>
      <c r="AB324" s="727">
        <v>0</v>
      </c>
      <c r="AC324" s="727">
        <v>0</v>
      </c>
      <c r="AD324" s="727">
        <v>-7.6557616096490002E-3</v>
      </c>
      <c r="AE324" s="727">
        <v>-85245.90165</v>
      </c>
      <c r="AF324" s="727">
        <v>0</v>
      </c>
      <c r="AG324" s="727">
        <v>0</v>
      </c>
      <c r="AH324" s="727">
        <v>0</v>
      </c>
      <c r="AI324" s="727">
        <v>0</v>
      </c>
      <c r="AJ324" s="727">
        <v>0</v>
      </c>
      <c r="AK324" s="727">
        <v>0</v>
      </c>
      <c r="AL324" s="727">
        <v>0</v>
      </c>
      <c r="AM324" s="727">
        <v>0</v>
      </c>
      <c r="AN324" s="727">
        <v>0</v>
      </c>
      <c r="AO324" s="727">
        <v>0</v>
      </c>
      <c r="AP324" s="499">
        <v>0</v>
      </c>
      <c r="AQ324" s="499">
        <v>0</v>
      </c>
      <c r="AR324" s="727">
        <v>1.9788697716425001</v>
      </c>
      <c r="AS324" s="727">
        <v>0.61286255726557604</v>
      </c>
      <c r="AT324" s="499">
        <v>22034455.424917001</v>
      </c>
      <c r="AU324" s="730">
        <v>6824144.2126129996</v>
      </c>
    </row>
    <row r="328" spans="1:47">
      <c r="M328" s="556"/>
      <c r="N328" s="731"/>
    </row>
    <row r="329" spans="1:47" ht="12">
      <c r="H329" s="322" t="s">
        <v>108</v>
      </c>
      <c r="I329" s="556">
        <f>SUM(I165:I177,I180:I184,I189:I196,I216,I219,I223)</f>
        <v>130342442145.0907</v>
      </c>
      <c r="K329" s="556">
        <f>SUM(K165:K177,K180:K184,K189:K196,K216,K219,K223)</f>
        <v>131537628021.64941</v>
      </c>
      <c r="L329" s="556"/>
      <c r="M329" s="556">
        <f>SUM(M165:M177,M180:M184,M189:M196,M216,M219,M223)</f>
        <v>3717209378.9729004</v>
      </c>
      <c r="N329" s="731"/>
      <c r="Q329" s="556">
        <f>SUM(Q165:Q177,Q180:Q184,Q189:Q196,Q216,Q219,Q223)</f>
        <v>3647124060.369947</v>
      </c>
    </row>
    <row r="330" spans="1:47" ht="12">
      <c r="H330" s="322" t="s">
        <v>33</v>
      </c>
      <c r="I330" s="556">
        <f>SUM(I199:I215,I222)</f>
        <v>37718718207.330002</v>
      </c>
      <c r="K330" s="556">
        <f>SUM(K199:K215,K222)</f>
        <v>35571340302.758011</v>
      </c>
      <c r="L330" s="556"/>
      <c r="M330" s="556">
        <f>SUM(M199:M215,M222)</f>
        <v>917419128.65149999</v>
      </c>
      <c r="N330" s="731"/>
      <c r="Q330" s="556">
        <f>SUM(Q199:Q215,Q222)</f>
        <v>899811823.31637347</v>
      </c>
    </row>
    <row r="331" spans="1:47" ht="12">
      <c r="H331" s="322" t="s">
        <v>32</v>
      </c>
      <c r="I331" s="556">
        <f>SUM(I178:I179,I217:I218,I220:I221,I224)</f>
        <v>20027289272.240002</v>
      </c>
      <c r="K331" s="556">
        <f>SUM(K178:K179,K217:K218,K220:K221,K224)</f>
        <v>20912437380.622002</v>
      </c>
      <c r="L331" s="556"/>
      <c r="M331" s="556">
        <f>SUM(M178:M179,M217:M218,M220:M221,M224)</f>
        <v>831555082.87839985</v>
      </c>
      <c r="N331" s="731"/>
      <c r="Q331" s="556">
        <f>SUM(Q178:Q179,Q217:Q218,Q220:Q221,Q224)</f>
        <v>817047832.02945089</v>
      </c>
    </row>
    <row r="332" spans="1:47" ht="12">
      <c r="H332" s="488" t="s">
        <v>4379</v>
      </c>
      <c r="I332" s="556">
        <f>I198</f>
        <v>895513.73</v>
      </c>
      <c r="K332" s="556">
        <f>K198</f>
        <v>895513.73</v>
      </c>
      <c r="L332" s="556"/>
      <c r="M332" s="556">
        <f>M198</f>
        <v>0</v>
      </c>
      <c r="N332" s="731"/>
      <c r="Q332" s="556">
        <f>Q198</f>
        <v>0</v>
      </c>
    </row>
    <row r="333" spans="1:47">
      <c r="H333" s="732"/>
      <c r="I333" s="733">
        <f>I329+I330+I331+I332</f>
        <v>188089345138.39072</v>
      </c>
      <c r="J333" s="363"/>
      <c r="K333" s="733">
        <f>K329+K330+K331+K332</f>
        <v>188022301218.75943</v>
      </c>
      <c r="L333" s="733"/>
      <c r="M333" s="733">
        <f>M329+M330+M331+M332</f>
        <v>5466183590.5028</v>
      </c>
      <c r="Q333" s="733">
        <f>Q329+Q330+Q331+Q332</f>
        <v>5363983715.7157707</v>
      </c>
    </row>
    <row r="334" spans="1:47">
      <c r="H334" s="732"/>
      <c r="I334" s="733"/>
      <c r="K334" s="734"/>
      <c r="L334" s="734"/>
      <c r="M334" s="734"/>
      <c r="N334" s="735"/>
    </row>
    <row r="335" spans="1:47">
      <c r="H335" s="732"/>
      <c r="I335" s="734">
        <f>SUM(I165:I184,I189:I196,I198,I199:I224)-I333</f>
        <v>0</v>
      </c>
      <c r="K335" s="734"/>
      <c r="L335" s="734"/>
      <c r="M335" s="734"/>
      <c r="N335" s="735"/>
    </row>
    <row r="336" spans="1:47">
      <c r="H336" s="732"/>
      <c r="I336" s="734"/>
      <c r="K336" s="734"/>
      <c r="L336" s="734"/>
      <c r="M336" s="734"/>
      <c r="N336" s="735"/>
    </row>
    <row r="337" spans="8:14">
      <c r="H337" s="732"/>
      <c r="I337" s="734"/>
      <c r="K337" s="734"/>
      <c r="L337" s="734"/>
      <c r="M337" s="734"/>
      <c r="N337" s="735"/>
    </row>
    <row r="339" spans="8:14">
      <c r="K339" s="556"/>
      <c r="M339" s="556"/>
      <c r="N339" s="731"/>
    </row>
    <row r="340" spans="8:14">
      <c r="K340" s="733"/>
    </row>
    <row r="341" spans="8:14">
      <c r="K341" s="734"/>
      <c r="M341" s="734"/>
      <c r="N341" s="735"/>
    </row>
    <row r="343" spans="8:14">
      <c r="K343" s="736"/>
      <c r="M343" s="736"/>
      <c r="N343" s="737"/>
    </row>
  </sheetData>
  <mergeCells count="211">
    <mergeCell ref="E225:E226"/>
    <mergeCell ref="C246:C247"/>
    <mergeCell ref="C161:C163"/>
    <mergeCell ref="D173:D174"/>
    <mergeCell ref="F96:F98"/>
    <mergeCell ref="F244:F245"/>
    <mergeCell ref="F45:F46"/>
    <mergeCell ref="D47:D54"/>
    <mergeCell ref="E244:E245"/>
    <mergeCell ref="E194:E195"/>
    <mergeCell ref="F194:F195"/>
    <mergeCell ref="E216:E217"/>
    <mergeCell ref="F216:F217"/>
    <mergeCell ref="E219:E220"/>
    <mergeCell ref="F219:F220"/>
    <mergeCell ref="D223:D224"/>
    <mergeCell ref="E223:E224"/>
    <mergeCell ref="F223:F224"/>
    <mergeCell ref="F233:F234"/>
    <mergeCell ref="E52:E54"/>
    <mergeCell ref="F52:F54"/>
    <mergeCell ref="C57:C77"/>
    <mergeCell ref="D57:D77"/>
    <mergeCell ref="E57:E77"/>
    <mergeCell ref="B291:B292"/>
    <mergeCell ref="C291:C292"/>
    <mergeCell ref="D291:D292"/>
    <mergeCell ref="F248:F250"/>
    <mergeCell ref="F251:F255"/>
    <mergeCell ref="F257:F258"/>
    <mergeCell ref="C259:C260"/>
    <mergeCell ref="D259:D260"/>
    <mergeCell ref="E259:E260"/>
    <mergeCell ref="B261:B264"/>
    <mergeCell ref="C261:C262"/>
    <mergeCell ref="D261:D262"/>
    <mergeCell ref="E261:E262"/>
    <mergeCell ref="F261:F262"/>
    <mergeCell ref="C263:C264"/>
    <mergeCell ref="D263:D264"/>
    <mergeCell ref="E263:E264"/>
    <mergeCell ref="F263:F264"/>
    <mergeCell ref="F265:F269"/>
    <mergeCell ref="F270:F275"/>
    <mergeCell ref="A2:AU2"/>
    <mergeCell ref="A3:AU3"/>
    <mergeCell ref="A4:AU4"/>
    <mergeCell ref="A5:H5"/>
    <mergeCell ref="I5:J5"/>
    <mergeCell ref="K5:S5"/>
    <mergeCell ref="T5:W5"/>
    <mergeCell ref="X5:Y5"/>
    <mergeCell ref="Z5:AA5"/>
    <mergeCell ref="AB5:AC5"/>
    <mergeCell ref="AD5:AE5"/>
    <mergeCell ref="AF5:AG5"/>
    <mergeCell ref="AH5:AI5"/>
    <mergeCell ref="AJ5:AK5"/>
    <mergeCell ref="AL5:AM5"/>
    <mergeCell ref="AN5:AO5"/>
    <mergeCell ref="AP5:AQ5"/>
    <mergeCell ref="AR5:AU5"/>
    <mergeCell ref="A7:A164"/>
    <mergeCell ref="B7:B122"/>
    <mergeCell ref="C7:C16"/>
    <mergeCell ref="D7:D15"/>
    <mergeCell ref="E7:E8"/>
    <mergeCell ref="F7:F8"/>
    <mergeCell ref="E9:E15"/>
    <mergeCell ref="C17:C56"/>
    <mergeCell ref="D17:D44"/>
    <mergeCell ref="E17:E19"/>
    <mergeCell ref="F18:F19"/>
    <mergeCell ref="E20:E25"/>
    <mergeCell ref="F21:F23"/>
    <mergeCell ref="F24:F25"/>
    <mergeCell ref="E27:E32"/>
    <mergeCell ref="F28:F31"/>
    <mergeCell ref="E33:E36"/>
    <mergeCell ref="F34:F36"/>
    <mergeCell ref="E37:E41"/>
    <mergeCell ref="F38:F41"/>
    <mergeCell ref="E42:E44"/>
    <mergeCell ref="F43:F44"/>
    <mergeCell ref="D45:D46"/>
    <mergeCell ref="E45:E46"/>
    <mergeCell ref="F57:F62"/>
    <mergeCell ref="F63:F64"/>
    <mergeCell ref="F65:F68"/>
    <mergeCell ref="F75:F76"/>
    <mergeCell ref="C79:C122"/>
    <mergeCell ref="D79:D122"/>
    <mergeCell ref="E79:E89"/>
    <mergeCell ref="F79:F83"/>
    <mergeCell ref="F85:F86"/>
    <mergeCell ref="E90:E101"/>
    <mergeCell ref="F90:F94"/>
    <mergeCell ref="E102:E113"/>
    <mergeCell ref="F102:F105"/>
    <mergeCell ref="F106:F108"/>
    <mergeCell ref="E114:E116"/>
    <mergeCell ref="E117:E122"/>
    <mergeCell ref="F117:F118"/>
    <mergeCell ref="F120:F121"/>
    <mergeCell ref="B123:B164"/>
    <mergeCell ref="C123:C129"/>
    <mergeCell ref="D123:D129"/>
    <mergeCell ref="C130:C160"/>
    <mergeCell ref="D130:D140"/>
    <mergeCell ref="D141:D143"/>
    <mergeCell ref="D148:D152"/>
    <mergeCell ref="D153:D159"/>
    <mergeCell ref="E155:E159"/>
    <mergeCell ref="D161:D163"/>
    <mergeCell ref="E161:E163"/>
    <mergeCell ref="A165:A224"/>
    <mergeCell ref="B165:B197"/>
    <mergeCell ref="C165:C172"/>
    <mergeCell ref="D165:D170"/>
    <mergeCell ref="C173:C175"/>
    <mergeCell ref="C176:C177"/>
    <mergeCell ref="C178:C179"/>
    <mergeCell ref="C180:C184"/>
    <mergeCell ref="C185:C188"/>
    <mergeCell ref="D185:D186"/>
    <mergeCell ref="C189:C193"/>
    <mergeCell ref="C194:C196"/>
    <mergeCell ref="D194:D195"/>
    <mergeCell ref="B199:B224"/>
    <mergeCell ref="C199:C208"/>
    <mergeCell ref="D199:D201"/>
    <mergeCell ref="D202:D206"/>
    <mergeCell ref="D207:D208"/>
    <mergeCell ref="C209:C215"/>
    <mergeCell ref="C216:C217"/>
    <mergeCell ref="D216:D217"/>
    <mergeCell ref="C218:C221"/>
    <mergeCell ref="D218:D221"/>
    <mergeCell ref="C222:C224"/>
    <mergeCell ref="A225:A295"/>
    <mergeCell ref="B225:B232"/>
    <mergeCell ref="C225:C232"/>
    <mergeCell ref="D225:D232"/>
    <mergeCell ref="E231:E232"/>
    <mergeCell ref="B233:B245"/>
    <mergeCell ref="C233:C245"/>
    <mergeCell ref="D233:D245"/>
    <mergeCell ref="E233:E234"/>
    <mergeCell ref="E235:E236"/>
    <mergeCell ref="E238:E239"/>
    <mergeCell ref="E240:E241"/>
    <mergeCell ref="E242:E243"/>
    <mergeCell ref="B246:B255"/>
    <mergeCell ref="C248:C255"/>
    <mergeCell ref="D248:D250"/>
    <mergeCell ref="E248:E250"/>
    <mergeCell ref="D251:D255"/>
    <mergeCell ref="E251:E255"/>
    <mergeCell ref="B256:B258"/>
    <mergeCell ref="C256:C258"/>
    <mergeCell ref="D256:D258"/>
    <mergeCell ref="E256:E258"/>
    <mergeCell ref="B259:B260"/>
    <mergeCell ref="B313:B319"/>
    <mergeCell ref="C313:C318"/>
    <mergeCell ref="D314:D315"/>
    <mergeCell ref="D316:D317"/>
    <mergeCell ref="F276:F281"/>
    <mergeCell ref="B282:B290"/>
    <mergeCell ref="C283:C286"/>
    <mergeCell ref="D283:D286"/>
    <mergeCell ref="E283:E286"/>
    <mergeCell ref="F283:F286"/>
    <mergeCell ref="C287:C290"/>
    <mergeCell ref="D287:D290"/>
    <mergeCell ref="E287:E290"/>
    <mergeCell ref="F287:F290"/>
    <mergeCell ref="B265:B281"/>
    <mergeCell ref="C265:C269"/>
    <mergeCell ref="D265:D269"/>
    <mergeCell ref="E265:E269"/>
    <mergeCell ref="C270:C275"/>
    <mergeCell ref="D270:D275"/>
    <mergeCell ref="E270:E275"/>
    <mergeCell ref="C276:C281"/>
    <mergeCell ref="D276:D281"/>
    <mergeCell ref="E276:E281"/>
    <mergeCell ref="A320:A324"/>
    <mergeCell ref="B323:B324"/>
    <mergeCell ref="C323:C324"/>
    <mergeCell ref="D323:D324"/>
    <mergeCell ref="E323:E324"/>
    <mergeCell ref="F323:F324"/>
    <mergeCell ref="E291:E292"/>
    <mergeCell ref="F291:F292"/>
    <mergeCell ref="A296:A319"/>
    <mergeCell ref="B296:B312"/>
    <mergeCell ref="C296:C311"/>
    <mergeCell ref="D296:D299"/>
    <mergeCell ref="E296:E297"/>
    <mergeCell ref="E298:E299"/>
    <mergeCell ref="D300:D303"/>
    <mergeCell ref="E300:E301"/>
    <mergeCell ref="E302:E303"/>
    <mergeCell ref="D304:D307"/>
    <mergeCell ref="E304:E305"/>
    <mergeCell ref="E306:E307"/>
    <mergeCell ref="D308:D309"/>
    <mergeCell ref="E308:E309"/>
    <mergeCell ref="D310:D311"/>
    <mergeCell ref="E310:E311"/>
  </mergeCells>
  <phoneticPr fontId="1" type="noConversion"/>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abSelected="1" workbookViewId="0">
      <pane xSplit="3" topLeftCell="D1" activePane="topRight" state="frozen"/>
      <selection pane="topRight" activeCell="B11" sqref="B11"/>
    </sheetView>
  </sheetViews>
  <sheetFormatPr defaultColWidth="8.875" defaultRowHeight="12.75"/>
  <cols>
    <col min="1" max="1" width="12.375" style="546" bestFit="1" customWidth="1"/>
    <col min="2" max="2" width="21.5" style="550" bestFit="1" customWidth="1"/>
    <col min="3" max="3" width="38" style="346" bestFit="1" customWidth="1"/>
    <col min="4" max="4" width="18.625" style="346" bestFit="1" customWidth="1"/>
    <col min="5" max="5" width="19.375" style="346" bestFit="1" customWidth="1"/>
    <col min="6" max="6" width="18.625" style="346" bestFit="1" customWidth="1"/>
    <col min="7" max="7" width="19.375" style="346" customWidth="1"/>
    <col min="8" max="8" width="16.75" style="346" customWidth="1"/>
    <col min="9" max="9" width="27.875" style="346" customWidth="1"/>
    <col min="10" max="16384" width="8.875" style="346"/>
  </cols>
  <sheetData>
    <row r="1" spans="1:9">
      <c r="C1" s="348">
        <v>42735</v>
      </c>
      <c r="D1" s="348">
        <v>42916</v>
      </c>
      <c r="E1" s="347">
        <f>D1-C1</f>
        <v>181</v>
      </c>
      <c r="G1" s="348">
        <v>42369</v>
      </c>
      <c r="H1" s="348">
        <v>42551</v>
      </c>
      <c r="I1" s="346">
        <f>H1-G1</f>
        <v>182</v>
      </c>
    </row>
    <row r="2" spans="1:9">
      <c r="A2" s="659" t="s">
        <v>4121</v>
      </c>
    </row>
    <row r="3" spans="1:9">
      <c r="A3" s="547" t="s">
        <v>3407</v>
      </c>
      <c r="B3" s="551"/>
    </row>
    <row r="4" spans="1:9">
      <c r="A4" s="548"/>
      <c r="D4" s="566" t="s">
        <v>4354</v>
      </c>
      <c r="G4" s="566" t="s">
        <v>4355</v>
      </c>
    </row>
    <row r="5" spans="1:9">
      <c r="A5" s="549">
        <v>20080101</v>
      </c>
      <c r="B5" s="552">
        <f>VLOOKUP($A$5:$A$54,[3]Sheet1!$E$4:$F$58,2,0)</f>
        <v>824900000</v>
      </c>
      <c r="C5" s="567" t="s">
        <v>3446</v>
      </c>
      <c r="D5" s="347">
        <v>4809328005.5248623</v>
      </c>
      <c r="G5" s="350">
        <v>4532417.5824175822</v>
      </c>
    </row>
    <row r="6" spans="1:9">
      <c r="A6" s="549">
        <v>20080201</v>
      </c>
      <c r="B6" s="552">
        <f>VLOOKUP($A$5:$A$54,[3]Sheet1!$E$4:$F$58,2,0)</f>
        <v>3453533900000</v>
      </c>
      <c r="C6" s="567" t="str">
        <f>VLOOKUP(A6,'日计表-2017.06.30'!A:B,2,0)</f>
        <v>单位定期结构性存款本金</v>
      </c>
      <c r="D6" s="347">
        <v>17703707955.801105</v>
      </c>
      <c r="E6" s="349" t="s">
        <v>519</v>
      </c>
      <c r="F6" s="350">
        <f>SUM(D11,D17,D28,D34,D39,D43,D47,D45)</f>
        <v>1306972718.3244753</v>
      </c>
      <c r="G6" s="350">
        <v>18975460989.01099</v>
      </c>
      <c r="H6" s="349" t="s">
        <v>519</v>
      </c>
      <c r="I6" s="350">
        <f>SUM(G11,G17,G28,G34,G39,G43,G47,G45)</f>
        <v>1977808882.0321972</v>
      </c>
    </row>
    <row r="7" spans="1:9">
      <c r="A7" s="549">
        <v>20080203</v>
      </c>
      <c r="B7" s="552">
        <f>VLOOKUP($A$5:$A$54,[3]Sheet1!$E$4:$F$58,2,0)</f>
        <v>92747500000</v>
      </c>
      <c r="C7" s="567" t="str">
        <f>VLOOKUP(A7,'日计表-2017.06.30'!A:B,2,0)</f>
        <v>其他单位定期结构性存款本金</v>
      </c>
      <c r="D7" s="347">
        <v>872430939.22651935</v>
      </c>
      <c r="E7" s="349" t="s">
        <v>520</v>
      </c>
      <c r="F7" s="350">
        <f>SUM(D12:D15,D18:D20,D25,D29:D32,D35:D37,D48:D50,D55)</f>
        <v>7699775927.3765774</v>
      </c>
      <c r="G7" s="350">
        <v>509601648.35164833</v>
      </c>
      <c r="H7" s="349" t="s">
        <v>520</v>
      </c>
      <c r="I7" s="350">
        <f>SUM(G12:G15,G18:G20,G25,G29:G32,G35:G37,G48:G50,G55)</f>
        <v>10479799596.597641</v>
      </c>
    </row>
    <row r="8" spans="1:9">
      <c r="A8" s="549">
        <v>20080301</v>
      </c>
      <c r="B8" s="552">
        <f>VLOOKUP($A$5:$A$54,[3]Sheet1!$E$4:$F$58,2,0)</f>
        <v>413380000</v>
      </c>
      <c r="C8" s="567" t="str">
        <f>VLOOKUP(A8,'日计表-2017.06.30'!A:B,2,0)</f>
        <v>个人活期结构性存款本金</v>
      </c>
      <c r="D8" s="347">
        <v>4651500773.4806633</v>
      </c>
      <c r="E8" s="349" t="s">
        <v>529</v>
      </c>
      <c r="F8" s="350">
        <f>SUM(D21,D40,D51)</f>
        <v>30651701.302044183</v>
      </c>
      <c r="G8" s="350">
        <v>2271318.6813186812</v>
      </c>
      <c r="H8" s="349" t="s">
        <v>529</v>
      </c>
      <c r="I8" s="350">
        <f>SUM(G21,G40,G51)</f>
        <v>36531243.027197845</v>
      </c>
    </row>
    <row r="9" spans="1:9">
      <c r="A9" s="549">
        <v>20080401</v>
      </c>
      <c r="B9" s="552">
        <f>VLOOKUP($A$5:$A$54,[3]Sheet1!$E$4:$F$58,2,0)</f>
        <v>2098801333000</v>
      </c>
      <c r="C9" s="567" t="str">
        <f>VLOOKUP(A9,'日计表-2017.06.30'!A:B,2,0)</f>
        <v>个人定期结构性存款本金</v>
      </c>
      <c r="D9" s="347">
        <v>14864985745.856354</v>
      </c>
      <c r="E9" s="349" t="s">
        <v>530</v>
      </c>
      <c r="F9" s="350">
        <f>SUM(D22:D24,D26,D41,D52:D54)</f>
        <v>194759624.27607742</v>
      </c>
      <c r="G9" s="350">
        <v>11531875456.043957</v>
      </c>
      <c r="H9" s="349" t="s">
        <v>530</v>
      </c>
      <c r="I9" s="350">
        <f>SUM(G22:G24,G26,G41,G52:G54)</f>
        <v>280111673.79142833</v>
      </c>
    </row>
    <row r="10" spans="1:9">
      <c r="A10" s="599">
        <v>201401</v>
      </c>
      <c r="B10" s="552">
        <f>VLOOKUP($A$5:$A$54,[3]Sheet1!$E$4:$F$58,2,0)</f>
        <v>596840575281.87</v>
      </c>
      <c r="C10" s="346" t="str">
        <f>VLOOKUP(A10,'日计表-2017.06.30'!A:B,2,0)</f>
        <v>银行承兑汇票保证金存款</v>
      </c>
      <c r="D10" s="347">
        <v>2606370788.3431487</v>
      </c>
      <c r="F10" s="350">
        <f>SUM(F6:F9)</f>
        <v>9232159971.2791748</v>
      </c>
      <c r="G10" s="350">
        <v>3279343820.2300549</v>
      </c>
      <c r="I10" s="350">
        <f>SUM(I6:I9)</f>
        <v>12774251395.448465</v>
      </c>
    </row>
    <row r="11" spans="1:9">
      <c r="A11" s="599">
        <v>20140101</v>
      </c>
      <c r="B11" s="552">
        <f>VLOOKUP($A$5:$A$54,[3]Sheet1!$E$4:$F$58,2,0)</f>
        <v>77289490651.680023</v>
      </c>
      <c r="C11" s="433" t="str">
        <f>VLOOKUP(A11,'日计表-2017.06.30'!A:B,2,0)</f>
        <v>单位活期银行承兑汇票保证金存款本金</v>
      </c>
      <c r="D11" s="347">
        <v>480524855.31917095</v>
      </c>
      <c r="G11" s="350">
        <v>424667531.05318695</v>
      </c>
    </row>
    <row r="12" spans="1:9">
      <c r="A12" s="599">
        <v>20140103</v>
      </c>
      <c r="B12" s="552">
        <f>VLOOKUP($A$5:$A$54,[3]Sheet1!$E$4:$F$58,2,0)</f>
        <v>64052402582.980057</v>
      </c>
      <c r="C12" s="434" t="str">
        <f>VLOOKUP(A12,'日计表-2017.06.30'!A:B,2,0)</f>
        <v>单位三个月银行承兑汇票保证金存款本金</v>
      </c>
      <c r="D12" s="347">
        <v>258781487.03071785</v>
      </c>
      <c r="F12" s="350">
        <f>SUM(D10:D55)-D10-D16-D27-D33-D38-D42-D44-D46-F10</f>
        <v>0</v>
      </c>
      <c r="G12" s="350">
        <v>351936277.92846185</v>
      </c>
    </row>
    <row r="13" spans="1:9">
      <c r="A13" s="599">
        <v>20140105</v>
      </c>
      <c r="B13" s="552">
        <f>VLOOKUP($A$5:$A$54,[3]Sheet1!$E$4:$F$58,2,0)</f>
        <v>303553684237.05005</v>
      </c>
      <c r="C13" s="434" t="str">
        <f>VLOOKUP(A13,'日计表-2017.06.30'!A:B,2,0)</f>
        <v>单位六个月银行承兑汇票保证金存款本金</v>
      </c>
      <c r="D13" s="347">
        <v>994526612.98662961</v>
      </c>
      <c r="G13" s="350">
        <v>1667877385.9178574</v>
      </c>
    </row>
    <row r="14" spans="1:9">
      <c r="A14" s="599">
        <v>20140107</v>
      </c>
      <c r="B14" s="552">
        <f>VLOOKUP($A$5:$A$54,[3]Sheet1!$E$4:$F$58,2,0)</f>
        <v>151744997810.16031</v>
      </c>
      <c r="C14" s="434" t="str">
        <f>VLOOKUP(A14,'日计表-2017.06.30'!A:B,2,0)</f>
        <v>单位一年银行承兑汇票保证金存款本金</v>
      </c>
      <c r="D14" s="347">
        <v>801267091.93480837</v>
      </c>
      <c r="G14" s="350">
        <v>833763724.23164999</v>
      </c>
    </row>
    <row r="15" spans="1:9">
      <c r="A15" s="599">
        <v>20140117</v>
      </c>
      <c r="B15" s="552">
        <f>VLOOKUP($A$5:$A$54,[3]Sheet1!$E$4:$F$58,2,0)</f>
        <v>200000000</v>
      </c>
      <c r="C15" s="434" t="str">
        <f>VLOOKUP(A15,'日计表-2017.06.30'!A:B,2,0)</f>
        <v>单位其他定期银行承兑汇票保证金存款本金</v>
      </c>
      <c r="D15" s="347">
        <v>71270741.07182321</v>
      </c>
      <c r="G15" s="350">
        <v>1098901.0989010988</v>
      </c>
    </row>
    <row r="16" spans="1:9">
      <c r="A16" s="599">
        <v>201402</v>
      </c>
      <c r="B16" s="552">
        <f>VLOOKUP($A$5:$A$54,[3]Sheet1!$E$4:$F$58,2,0)</f>
        <v>1406467939312.1006</v>
      </c>
      <c r="C16" s="346" t="str">
        <f>VLOOKUP(A16,'日计表-2017.06.30'!A:B,2,0)</f>
        <v>担保贷款保证金存款</v>
      </c>
      <c r="D16" s="347">
        <v>4825224107.9742546</v>
      </c>
      <c r="G16" s="350">
        <v>7727845820.3961573</v>
      </c>
    </row>
    <row r="17" spans="1:7">
      <c r="A17" s="599">
        <v>20140201</v>
      </c>
      <c r="B17" s="552">
        <f>VLOOKUP($A$5:$A$54,[3]Sheet1!$E$4:$F$58,2,0)</f>
        <v>182167718932.01993</v>
      </c>
      <c r="C17" s="433" t="str">
        <f>VLOOKUP(A17,'日计表-2017.06.30'!A:B,2,0)</f>
        <v>单位活期担保贷款保证金存款本金</v>
      </c>
      <c r="D17" s="347">
        <v>588440968.50022173</v>
      </c>
      <c r="G17" s="350">
        <v>1000921532.5935161</v>
      </c>
    </row>
    <row r="18" spans="1:7">
      <c r="A18" s="599">
        <v>20140203</v>
      </c>
      <c r="B18" s="552">
        <f>VLOOKUP($A$5:$A$54,[3]Sheet1!$E$4:$F$58,2,0)</f>
        <v>8253812872.8600006</v>
      </c>
      <c r="C18" s="434" t="str">
        <f>VLOOKUP(A18,'日计表-2017.06.30'!A:B,2,0)</f>
        <v>单位三个月担保贷款保证金存款本金</v>
      </c>
      <c r="D18" s="347">
        <v>125086608.50298315</v>
      </c>
      <c r="G18" s="350">
        <v>45350620.18054945</v>
      </c>
    </row>
    <row r="19" spans="1:7">
      <c r="A19" s="599">
        <v>20140205</v>
      </c>
      <c r="B19" s="552">
        <f>VLOOKUP($A$5:$A$54,[3]Sheet1!$E$4:$F$58,2,0)</f>
        <v>111251498363.52998</v>
      </c>
      <c r="C19" s="434" t="str">
        <f>VLOOKUP(A19,'日计表-2017.06.30'!A:B,2,0)</f>
        <v>单位六个月担保贷款保证金存款本金</v>
      </c>
      <c r="D19" s="347">
        <v>519319802.83104926</v>
      </c>
      <c r="G19" s="350">
        <v>611271969.03038454</v>
      </c>
    </row>
    <row r="20" spans="1:7">
      <c r="A20" s="599">
        <v>20140207</v>
      </c>
      <c r="B20" s="552">
        <f>VLOOKUP($A$5:$A$54,[3]Sheet1!$E$4:$F$58,2,0)</f>
        <v>1011407600966.6102</v>
      </c>
      <c r="C20" s="434" t="str">
        <f>VLOOKUP(A20,'日计表-2017.06.30'!A:B,2,0)</f>
        <v>单位一年担保贷款保证金存款本金</v>
      </c>
      <c r="D20" s="347">
        <v>3095492481.8880138</v>
      </c>
      <c r="G20" s="350">
        <v>5557184620.6956606</v>
      </c>
    </row>
    <row r="21" spans="1:7">
      <c r="A21" s="599">
        <v>20140209</v>
      </c>
      <c r="B21" s="552">
        <f>VLOOKUP($A$5:$A$54,[3]Sheet1!$E$4:$F$58,2,0)</f>
        <v>4790000760.2400064</v>
      </c>
      <c r="C21" s="435" t="str">
        <f>VLOOKUP(A21,'日计表-2017.06.30'!A:B,2,0)</f>
        <v>个人活期担保贷款保证金存款本金</v>
      </c>
      <c r="D21" s="347">
        <v>24655361.486519322</v>
      </c>
      <c r="G21" s="350">
        <v>26318685.49582421</v>
      </c>
    </row>
    <row r="22" spans="1:7">
      <c r="A22" s="599">
        <v>20140211</v>
      </c>
      <c r="B22" s="552">
        <f>VLOOKUP($A$5:$A$54,[3]Sheet1!$E$4:$F$58,2,0)</f>
        <v>2015053460.0700083</v>
      </c>
      <c r="C22" s="436" t="str">
        <f>VLOOKUP(A22,'日计表-2017.06.30'!A:B,2,0)</f>
        <v>个人三个月担保贷款保证金存款本金</v>
      </c>
      <c r="D22" s="347">
        <v>21685632.738729242</v>
      </c>
      <c r="G22" s="350">
        <v>11071722.308076968</v>
      </c>
    </row>
    <row r="23" spans="1:7">
      <c r="A23" s="599">
        <v>20140213</v>
      </c>
      <c r="B23" s="552">
        <f>VLOOKUP($A$5:$A$54,[3]Sheet1!$E$4:$F$58,2,0)</f>
        <v>13950654903.119995</v>
      </c>
      <c r="C23" s="436" t="str">
        <f>VLOOKUP(A23,'日计表-2017.06.30'!A:B,2,0)</f>
        <v>个人六个月担保贷款保证金存款本金</v>
      </c>
      <c r="D23" s="347">
        <v>50155606.930386819</v>
      </c>
      <c r="G23" s="350">
        <v>76651950.017142832</v>
      </c>
    </row>
    <row r="24" spans="1:7">
      <c r="A24" s="599">
        <v>20140215</v>
      </c>
      <c r="B24" s="552">
        <f>VLOOKUP($A$5:$A$54,[3]Sheet1!$E$4:$F$58,2,0)</f>
        <v>26000519053.649944</v>
      </c>
      <c r="C24" s="436" t="str">
        <f>VLOOKUP(A24,'日计表-2017.06.30'!A:B,2,0)</f>
        <v>个人一年担保贷款保证金存款本金</v>
      </c>
      <c r="D24" s="347">
        <v>87437015.436464056</v>
      </c>
      <c r="G24" s="350">
        <v>142859994.80027443</v>
      </c>
    </row>
    <row r="25" spans="1:7">
      <c r="A25" s="599">
        <v>20140217</v>
      </c>
      <c r="B25" s="552">
        <f>VLOOKUP($A$5:$A$54,[3]Sheet1!$E$4:$F$58,2,0)</f>
        <v>46631080000</v>
      </c>
      <c r="C25" s="434" t="str">
        <f>VLOOKUP(A25,'日计表-2017.06.30'!A:B,2,0)</f>
        <v>单位其他定期担保贷款保证金存款本金</v>
      </c>
      <c r="D25" s="347">
        <v>312424110.32287335</v>
      </c>
      <c r="G25" s="350">
        <v>256214725.27472529</v>
      </c>
    </row>
    <row r="26" spans="1:7">
      <c r="A26" s="599">
        <v>20140219</v>
      </c>
      <c r="B26" s="552" t="e">
        <f>VLOOKUP($A$5:$A$54,[3]Sheet1!$E$4:$F$58,2,0)</f>
        <v>#N/A</v>
      </c>
      <c r="C26" s="436" t="str">
        <f>VLOOKUP(A26,'日计表-2017.06.30'!A:B,2,0)</f>
        <v>个人其他定期担保贷款保证金存款本金</v>
      </c>
      <c r="D26" s="347">
        <v>526519.33701657457</v>
      </c>
      <c r="G26" s="350">
        <v>0</v>
      </c>
    </row>
    <row r="27" spans="1:7">
      <c r="A27" s="599">
        <v>201403</v>
      </c>
      <c r="B27" s="552">
        <f>VLOOKUP($A$5:$A$54,[3]Sheet1!$E$4:$F$58,2,0)</f>
        <v>33577522752.330025</v>
      </c>
      <c r="C27" s="346" t="str">
        <f>VLOOKUP(A27,'日计表-2017.06.30'!A:B,2,0)</f>
        <v>保函保证金存款</v>
      </c>
      <c r="D27" s="347">
        <v>1219644137.7274594</v>
      </c>
      <c r="G27" s="350">
        <v>184491883.25456059</v>
      </c>
    </row>
    <row r="28" spans="1:7">
      <c r="A28" s="599">
        <v>20140301</v>
      </c>
      <c r="B28" s="552">
        <f>VLOOKUP($A$5:$A$54,[3]Sheet1!$E$4:$F$58,2,0)</f>
        <v>6926473305.0500069</v>
      </c>
      <c r="C28" s="433" t="str">
        <f>VLOOKUP(A28,'日计表-2017.06.30'!A:B,2,0)</f>
        <v>单位活期保函保证金存款本金</v>
      </c>
      <c r="D28" s="347">
        <v>18201336.379668482</v>
      </c>
      <c r="G28" s="350">
        <v>38057545.632142894</v>
      </c>
    </row>
    <row r="29" spans="1:7">
      <c r="A29" s="599">
        <v>20140303</v>
      </c>
      <c r="B29" s="552">
        <f>VLOOKUP($A$5:$A$54,[3]Sheet1!$E$4:$F$58,2,0)</f>
        <v>1840554155.3200002</v>
      </c>
      <c r="C29" s="434" t="str">
        <f>VLOOKUP(A29,'日计表-2017.06.30'!A:B,2,0)</f>
        <v>单位三个月保函保证金存款本金</v>
      </c>
      <c r="D29" s="347">
        <v>15952512.817679558</v>
      </c>
      <c r="G29" s="350">
        <v>10112934.919340661</v>
      </c>
    </row>
    <row r="30" spans="1:7">
      <c r="A30" s="599">
        <v>20140305</v>
      </c>
      <c r="B30" s="552">
        <f>VLOOKUP($A$5:$A$54,[3]Sheet1!$E$4:$F$58,2,0)</f>
        <v>4187248817.5499978</v>
      </c>
      <c r="C30" s="434" t="str">
        <f>VLOOKUP(A30,'日计表-2017.06.30'!A:B,2,0)</f>
        <v>单位六个月保函保证金存款本金</v>
      </c>
      <c r="D30" s="347">
        <v>35495027.339558139</v>
      </c>
      <c r="G30" s="350">
        <v>23006861.634890098</v>
      </c>
    </row>
    <row r="31" spans="1:7">
      <c r="A31" s="599">
        <v>20140307</v>
      </c>
      <c r="B31" s="552">
        <f>VLOOKUP($A$5:$A$54,[3]Sheet1!$E$4:$F$58,2,0)</f>
        <v>19995646453.449978</v>
      </c>
      <c r="C31" s="434" t="str">
        <f>VLOOKUP(A31,'日计表-2017.06.30'!A:B,2,0)</f>
        <v>单位一年保函保证金存款本金</v>
      </c>
      <c r="D31" s="347">
        <v>792330240.20055246</v>
      </c>
      <c r="G31" s="350">
        <v>109866189.30467021</v>
      </c>
    </row>
    <row r="32" spans="1:7">
      <c r="A32" s="599">
        <v>20140317</v>
      </c>
      <c r="B32" s="552">
        <f>VLOOKUP($A$5:$A$54,[3]Sheet1!$E$4:$F$58,2,0)</f>
        <v>627600020.95999885</v>
      </c>
      <c r="C32" s="434" t="str">
        <f>VLOOKUP(A32,'日计表-2017.06.30'!A:B,2,0)</f>
        <v>单位其他定期保函保证金存款本金</v>
      </c>
      <c r="D32" s="347">
        <v>357665020.98999935</v>
      </c>
      <c r="G32" s="350">
        <v>3448351.7635164773</v>
      </c>
    </row>
    <row r="33" spans="1:7">
      <c r="A33" s="599">
        <v>201404</v>
      </c>
      <c r="B33" s="552">
        <f>VLOOKUP($A$5:$A$54,[3]Sheet1!$E$4:$F$58,2,0)</f>
        <v>16758387899.61998</v>
      </c>
      <c r="C33" s="346" t="str">
        <f>VLOOKUP(A33,'日计表-2017.06.30'!A:B,2,0)</f>
        <v>信用证保证金存款</v>
      </c>
      <c r="D33" s="347">
        <v>67965132.043425396</v>
      </c>
      <c r="G33" s="350">
        <v>92079054.393516377</v>
      </c>
    </row>
    <row r="34" spans="1:7">
      <c r="A34" s="599">
        <v>20140401</v>
      </c>
      <c r="B34" s="552">
        <f>VLOOKUP($A$5:$A$54,[3]Sheet1!$E$4:$F$58,2,0)</f>
        <v>12019662913.619978</v>
      </c>
      <c r="C34" s="433" t="str">
        <f>VLOOKUP(A34,'日计表-2017.06.30'!A:B,2,0)</f>
        <v>单位活期信用证保证金存款本金</v>
      </c>
      <c r="D34" s="347">
        <v>51563638.645635419</v>
      </c>
      <c r="G34" s="350">
        <v>66042103.920988888</v>
      </c>
    </row>
    <row r="35" spans="1:7">
      <c r="A35" s="599">
        <v>20140403</v>
      </c>
      <c r="B35" s="552">
        <f>VLOOKUP($A$5:$A$54,[3]Sheet1!$E$4:$F$58,2,0)</f>
        <v>1703601944</v>
      </c>
      <c r="C35" s="434" t="str">
        <f>VLOOKUP(A35,'日计表-2017.06.30'!A:B,2,0)</f>
        <v>单位三个月信用证保证金存款本金</v>
      </c>
      <c r="D35" s="347">
        <v>183900.55248618784</v>
      </c>
      <c r="G35" s="350">
        <v>9360450.2417582422</v>
      </c>
    </row>
    <row r="36" spans="1:7">
      <c r="A36" s="599">
        <v>20140405</v>
      </c>
      <c r="B36" s="552">
        <f>VLOOKUP($A$5:$A$54,[3]Sheet1!$E$4:$F$58,2,0)</f>
        <v>2143523042</v>
      </c>
      <c r="C36" s="434" t="str">
        <f>VLOOKUP(A36,'日计表-2017.06.30'!A:B,2,0)</f>
        <v>单位六个月信用证保证金存款本金</v>
      </c>
      <c r="D36" s="347">
        <v>13194609.419889502</v>
      </c>
      <c r="G36" s="350">
        <v>11777599.131868131</v>
      </c>
    </row>
    <row r="37" spans="1:7">
      <c r="A37" s="599">
        <v>20140407</v>
      </c>
      <c r="B37" s="552">
        <f>VLOOKUP($A$5:$A$54,[3]Sheet1!$E$4:$F$58,2,0)</f>
        <v>891600000</v>
      </c>
      <c r="C37" s="434" t="str">
        <f>VLOOKUP(A37,'日计表-2017.06.30'!A:B,2,0)</f>
        <v>单位一年信用证保证金存款本金</v>
      </c>
      <c r="D37" s="347">
        <v>3022983.4254143648</v>
      </c>
      <c r="G37" s="350">
        <v>4898901.0989010986</v>
      </c>
    </row>
    <row r="38" spans="1:7">
      <c r="A38" s="599">
        <v>201405</v>
      </c>
      <c r="B38" s="552">
        <f>VLOOKUP($A$5:$A$54,[3]Sheet1!$E$4:$F$58,2,0)</f>
        <v>3717903221.7800083</v>
      </c>
      <c r="C38" s="346" t="str">
        <f>VLOOKUP(A38,'日计表-2017.06.30'!A:B,2,0)</f>
        <v>楼宇按揭贷款保证金存款</v>
      </c>
      <c r="D38" s="347">
        <v>29482991.955414388</v>
      </c>
      <c r="G38" s="350">
        <v>20428039.680109937</v>
      </c>
    </row>
    <row r="39" spans="1:7">
      <c r="A39" s="599">
        <v>20140501</v>
      </c>
      <c r="B39" s="552">
        <f>VLOOKUP($A$5:$A$54,[3]Sheet1!$E$4:$F$58,2,0)</f>
        <v>1703569944.0400031</v>
      </c>
      <c r="C39" s="433" t="str">
        <f>VLOOKUP(A39,'日计表-2017.06.30'!A:B,2,0)</f>
        <v>单位活期楼宇按揭贷款保证金存款本金</v>
      </c>
      <c r="D39" s="347">
        <v>28197239.494972292</v>
      </c>
      <c r="G39" s="350">
        <v>9360274.4178022146</v>
      </c>
    </row>
    <row r="40" spans="1:7">
      <c r="A40" s="599">
        <v>20140509</v>
      </c>
      <c r="B40" s="552">
        <f>VLOOKUP($A$5:$A$54,[3]Sheet1!$E$4:$F$58,2,0)</f>
        <v>139277.73999999958</v>
      </c>
      <c r="C40" s="435" t="str">
        <f>VLOOKUP(A40,'日计表-2017.06.30'!A:B,2,0)</f>
        <v>个人活期楼宇按揭贷款保证金存款本金</v>
      </c>
      <c r="D40" s="347">
        <v>1735.8858563535948</v>
      </c>
      <c r="G40" s="350">
        <v>765.2623076923054</v>
      </c>
    </row>
    <row r="41" spans="1:7">
      <c r="A41" s="599">
        <v>20140513</v>
      </c>
      <c r="B41" s="552">
        <f>VLOOKUP($A$5:$A$54,[3]Sheet1!$E$4:$F$58,2,0)</f>
        <v>2014194000</v>
      </c>
      <c r="C41" s="436" t="str">
        <f>VLOOKUP(A41,'日计表-2016.06.30'!A:B,2,0)</f>
        <v>个人六个月楼宇按揭贷款保证金存款本金</v>
      </c>
      <c r="D41" s="347">
        <v>1284016.5745856354</v>
      </c>
      <c r="G41" s="350">
        <v>11067000</v>
      </c>
    </row>
    <row r="42" spans="1:7">
      <c r="A42" s="599">
        <v>201406</v>
      </c>
      <c r="B42" s="552">
        <f>VLOOKUP($A$5:$A$54,[3]Sheet1!$E$4:$F$58,2,0)</f>
        <v>897660.0600000011</v>
      </c>
      <c r="C42" s="346" t="str">
        <f>VLOOKUP(A42,'日计表-2017.06.30'!A:B,2,0)</f>
        <v>外汇交易保证金存款</v>
      </c>
      <c r="D42" s="347">
        <v>4947.2244751381231</v>
      </c>
      <c r="G42" s="350">
        <v>4932.1981318681383</v>
      </c>
    </row>
    <row r="43" spans="1:7">
      <c r="A43" s="599">
        <v>20140601</v>
      </c>
      <c r="B43" s="552">
        <f>VLOOKUP($A$5:$A$54,[3]Sheet1!$E$4:$F$58,2,0)</f>
        <v>897660.0600000011</v>
      </c>
      <c r="C43" s="433" t="str">
        <f>VLOOKUP(A43,'日计表-2017.06.30'!A:B,2,0)</f>
        <v>单位活期外汇交易保证金存款本金</v>
      </c>
      <c r="D43" s="347">
        <v>4947.2244751381231</v>
      </c>
      <c r="G43" s="350">
        <v>4932.1981318681383</v>
      </c>
    </row>
    <row r="44" spans="1:7">
      <c r="A44" s="599">
        <v>201407</v>
      </c>
      <c r="B44" s="552">
        <f>VLOOKUP($A$5:$A$54,[3]Sheet1!$E$4:$F$58,2,0)</f>
        <v>215904.54000000021</v>
      </c>
      <c r="C44" s="346" t="str">
        <f>VLOOKUP(A44,'日计表-2017.06.30'!A:B,2,0)</f>
        <v>衍生金融产品保证金存款</v>
      </c>
      <c r="D44" s="347">
        <v>1213.5641988950292</v>
      </c>
      <c r="G44" s="350">
        <v>1186.2886813186824</v>
      </c>
    </row>
    <row r="45" spans="1:7">
      <c r="A45" s="599">
        <v>20140701</v>
      </c>
      <c r="B45" s="552">
        <f>VLOOKUP($A$5:$A$54,[3]Sheet1!$E$4:$F$58,2,0)</f>
        <v>215904.54000000021</v>
      </c>
      <c r="C45" s="433" t="str">
        <f>VLOOKUP(A45,'日计表-2017.06.30'!A:B,2,0)</f>
        <v>单位活期衍生金融产品保证金存款本金</v>
      </c>
      <c r="D45" s="347">
        <v>1213.5641988950292</v>
      </c>
      <c r="G45" s="350">
        <v>1186.2886813186824</v>
      </c>
    </row>
    <row r="46" spans="1:7">
      <c r="A46" s="599">
        <v>201499</v>
      </c>
      <c r="B46" s="552">
        <f>VLOOKUP($A$5:$A$54,[3]Sheet1!$E$4:$F$58,2,0)</f>
        <v>267550311939.31995</v>
      </c>
      <c r="C46" s="346" t="str">
        <f>VLOOKUP(A46,'日计表-2017.06.30'!A:B,2,0)</f>
        <v>其他保证金存款</v>
      </c>
      <c r="D46" s="347">
        <v>483466652.44679546</v>
      </c>
      <c r="G46" s="350">
        <v>1470056659.0072525</v>
      </c>
    </row>
    <row r="47" spans="1:7">
      <c r="A47" s="599">
        <v>20149901</v>
      </c>
      <c r="B47" s="552">
        <f>VLOOKUP($A$5:$A$54,[3]Sheet1!$E$4:$F$58,2,0)</f>
        <v>79853187218.850037</v>
      </c>
      <c r="C47" s="433" t="str">
        <f>VLOOKUP(A47,'日计表-2017.06.30'!A:B,2,0)</f>
        <v>单位活期其他保证金存款本金</v>
      </c>
      <c r="D47" s="347">
        <v>140038519.19613254</v>
      </c>
      <c r="G47" s="350">
        <v>438753775.92774743</v>
      </c>
    </row>
    <row r="48" spans="1:7">
      <c r="A48" s="599">
        <v>20149903</v>
      </c>
      <c r="B48" s="552">
        <f>VLOOKUP($A$5:$A$54,[3]Sheet1!$E$4:$F$58,2,0)</f>
        <v>5901874754.5200081</v>
      </c>
      <c r="C48" s="434" t="str">
        <f>VLOOKUP(A48,'日计表-2017.06.30'!A:B,2,0)</f>
        <v>单位三个月其他保证金存款本金</v>
      </c>
      <c r="D48" s="347">
        <v>346641.66093922692</v>
      </c>
      <c r="G48" s="350">
        <v>32427883.266593453</v>
      </c>
    </row>
    <row r="49" spans="1:7">
      <c r="A49" s="599">
        <v>20149905</v>
      </c>
      <c r="B49" s="552">
        <f>VLOOKUP($A$5:$A$54,[3]Sheet1!$E$4:$F$58,2,0)</f>
        <v>9534038763.3399677</v>
      </c>
      <c r="C49" s="434" t="str">
        <f>VLOOKUP(A49,'日计表-2017.06.30'!A:B,2,0)</f>
        <v>单位六个月其他保证金存款本金</v>
      </c>
      <c r="D49" s="347">
        <v>10302433.376464101</v>
      </c>
      <c r="G49" s="350">
        <v>52384828.369999826</v>
      </c>
    </row>
    <row r="50" spans="1:7">
      <c r="A50" s="599">
        <v>20149907</v>
      </c>
      <c r="B50" s="552">
        <f>VLOOKUP($A$5:$A$54,[3]Sheet1!$E$4:$F$58,2,0)</f>
        <v>157868761796.43985</v>
      </c>
      <c r="C50" s="434" t="str">
        <f>VLOOKUP(A50,'日计表-2017.06.30'!A:B,2,0)</f>
        <v>单位一年其他保证金存款本金</v>
      </c>
      <c r="D50" s="347">
        <v>259813621.02469555</v>
      </c>
      <c r="G50" s="350">
        <v>867410779.10131788</v>
      </c>
    </row>
    <row r="51" spans="1:7">
      <c r="A51" s="599">
        <v>20149909</v>
      </c>
      <c r="B51" s="552">
        <f>VLOOKUP($A$5:$A$54,[3]Sheet1!$E$4:$F$58,2,0)</f>
        <v>1858546192.9700015</v>
      </c>
      <c r="C51" s="435" t="str">
        <f>VLOOKUP(A51,'日计表-2017.06.30'!A:B,2,0)</f>
        <v>个人活期其他保证金存款本金</v>
      </c>
      <c r="D51" s="347">
        <v>5994603.9296685085</v>
      </c>
      <c r="G51" s="350">
        <v>10211792.269065943</v>
      </c>
    </row>
    <row r="52" spans="1:7">
      <c r="A52" s="599">
        <v>20149911</v>
      </c>
      <c r="B52" s="552">
        <f>VLOOKUP($A$5:$A$54,[3]Sheet1!$E$4:$F$58,2,0)</f>
        <v>74357507.9799992</v>
      </c>
      <c r="C52" s="436" t="str">
        <f>VLOOKUP(A52,'日计表-2017.06.30'!A:B,2,0)</f>
        <v>个人三个月其他保证金存款本金</v>
      </c>
      <c r="D52" s="347">
        <v>1097765.6968508246</v>
      </c>
      <c r="G52" s="350">
        <v>408557.73615384178</v>
      </c>
    </row>
    <row r="53" spans="1:7">
      <c r="A53" s="599">
        <v>20149913</v>
      </c>
      <c r="B53" s="552">
        <f>VLOOKUP($A$5:$A$54,[3]Sheet1!$E$4:$F$58,2,0)</f>
        <v>1962243041.9100001</v>
      </c>
      <c r="C53" s="436" t="str">
        <f>VLOOKUP(A53,'日计表-2017.06.30'!A:B,2,0)</f>
        <v>个人六个月其他保证金存款本金</v>
      </c>
      <c r="D53" s="347">
        <v>17216639.796629835</v>
      </c>
      <c r="G53" s="350">
        <v>10781555.17532967</v>
      </c>
    </row>
    <row r="54" spans="1:7">
      <c r="A54" s="599">
        <v>20149915</v>
      </c>
      <c r="B54" s="552">
        <f>VLOOKUP($A$5:$A$54,[3]Sheet1!$E$4:$F$58,2,0)</f>
        <v>4963302663.3099995</v>
      </c>
      <c r="C54" s="436" t="str">
        <f>VLOOKUP(A54,'日计表-2017.06.30'!A:B,2,0)</f>
        <v>个人一年其他保证金存款本金</v>
      </c>
      <c r="D54" s="347">
        <v>15356427.765414378</v>
      </c>
      <c r="G54" s="350">
        <v>27270893.754450545</v>
      </c>
    </row>
    <row r="55" spans="1:7">
      <c r="A55" s="599">
        <v>20149917</v>
      </c>
      <c r="B55" s="552">
        <f>VLOOKUP($A$5:$A$55,[3]Sheet1!$E$4:$F$58,2,0)</f>
        <v>5534000000</v>
      </c>
      <c r="C55" s="434" t="str">
        <f>VLOOKUP(A55,'日计表-2017.06.30'!A:B,2,0)</f>
        <v>单位其他存期其他保证金存款本金</v>
      </c>
      <c r="D55" s="347">
        <v>33300000</v>
      </c>
      <c r="G55" s="350">
        <v>30406593.406593408</v>
      </c>
    </row>
    <row r="56" spans="1:7">
      <c r="A56" s="549"/>
      <c r="D56" s="347"/>
    </row>
    <row r="57" spans="1:7">
      <c r="A57" s="549"/>
      <c r="D57" s="347"/>
    </row>
    <row r="58" spans="1:7">
      <c r="A58" s="549"/>
      <c r="D58" s="347"/>
    </row>
    <row r="59" spans="1:7">
      <c r="A59" s="549"/>
      <c r="D59" s="347"/>
    </row>
    <row r="60" spans="1:7">
      <c r="A60" s="549"/>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7"/>
  <sheetViews>
    <sheetView topLeftCell="A10" workbookViewId="0">
      <selection activeCell="D13" sqref="D13"/>
    </sheetView>
  </sheetViews>
  <sheetFormatPr defaultColWidth="8.875" defaultRowHeight="13.5"/>
  <cols>
    <col min="1" max="1" width="8.875" style="295"/>
    <col min="2" max="2" width="8.875" style="306"/>
    <col min="3" max="3" width="42.125" style="306" bestFit="1" customWidth="1"/>
    <col min="4" max="4" width="18.375" style="307" bestFit="1" customWidth="1"/>
    <col min="5" max="5" width="17.375" style="306" customWidth="1"/>
    <col min="6" max="6" width="16.125" style="306" customWidth="1"/>
    <col min="7" max="16384" width="8.875" style="295"/>
  </cols>
  <sheetData>
    <row r="1" spans="2:6">
      <c r="D1" s="618" t="s">
        <v>4352</v>
      </c>
      <c r="E1" s="619" t="s">
        <v>4353</v>
      </c>
    </row>
    <row r="2" spans="2:6">
      <c r="C2" s="298" t="s">
        <v>519</v>
      </c>
      <c r="D2" s="308">
        <f>SUM(D9,D17,D25,D33,D41,D49,D57,D65)</f>
        <v>1935829.98</v>
      </c>
      <c r="E2" s="308">
        <f>SUM(E9,E17,E25,E33,E41,E49,E57,E65)</f>
        <v>11291317.460000001</v>
      </c>
    </row>
    <row r="3" spans="2:6" s="311" customFormat="1">
      <c r="B3" s="309"/>
      <c r="C3" s="298" t="s">
        <v>520</v>
      </c>
      <c r="D3" s="312">
        <f>SUM(D10:D12,D18:D20,D26:D28,D34:D36,D42:D44,D50:D52,D58:D60,D66:D68,D73:D76)</f>
        <v>62896204.589999996</v>
      </c>
      <c r="E3" s="312">
        <f>SUM(E10:E12,E18:E20,E26:E28,E34:E36,E42:E44,E50:E52,E58:E60,E66:E68,E73:E76)</f>
        <v>105890537.87000002</v>
      </c>
      <c r="F3" s="559"/>
    </row>
    <row r="4" spans="2:6">
      <c r="C4" s="298" t="s">
        <v>529</v>
      </c>
      <c r="D4" s="313">
        <f>SUM(D13,D21,D29,D37,D45,D53,D61,D69)</f>
        <v>53938.42</v>
      </c>
      <c r="E4" s="313">
        <f>SUM(E13,E21,E29,E37,E45,E53,E61,E69)</f>
        <v>64639.880000000005</v>
      </c>
    </row>
    <row r="5" spans="2:6">
      <c r="C5" s="298" t="s">
        <v>530</v>
      </c>
      <c r="D5" s="312">
        <f>SUM(D14:D16,D22:D24,D30:D32,D38:D40,D46:D48,D54:D56,D62:D64,D70:D72,D77)</f>
        <v>1660265.9999999998</v>
      </c>
      <c r="E5" s="312">
        <f>SUM(E14:E16,E22:E24,E30:E32,E38:E40,E46:E48,E54:E56,E62:E64,E70:E72,E77)</f>
        <v>2764383.67</v>
      </c>
    </row>
    <row r="6" spans="2:6" s="311" customFormat="1">
      <c r="B6" s="309"/>
      <c r="E6" s="559"/>
      <c r="F6" s="559"/>
    </row>
    <row r="7" spans="2:6" s="310" customFormat="1">
      <c r="B7" s="309"/>
      <c r="D7" s="560" t="s">
        <v>4350</v>
      </c>
      <c r="E7" s="560" t="s">
        <v>4351</v>
      </c>
      <c r="F7" s="559"/>
    </row>
    <row r="8" spans="2:6">
      <c r="B8" s="314">
        <v>641107</v>
      </c>
      <c r="C8" s="315" t="s">
        <v>531</v>
      </c>
      <c r="D8" s="307">
        <f>IFERROR(VLOOKUP(B8,'日计表-2017.06.30'!A:G,7,0),0)</f>
        <v>66546238.990000002</v>
      </c>
      <c r="E8" s="307">
        <f>IFERROR(VLOOKUP(B8,'日计表-2016.06.30'!A:G,7,0),0)</f>
        <v>120010878.88</v>
      </c>
      <c r="F8" s="561"/>
    </row>
    <row r="9" spans="2:6">
      <c r="B9" s="314">
        <v>64110701</v>
      </c>
      <c r="C9" s="315" t="s">
        <v>532</v>
      </c>
      <c r="D9" s="316">
        <f>IFERROR(VLOOKUP(B9,'日计表-2017.06.30'!A:G,7,0),0)</f>
        <v>726286.72</v>
      </c>
      <c r="E9" s="316">
        <f>IFERROR(VLOOKUP(B9,'日计表-2016.06.30'!A:G,7,0),0)</f>
        <v>645104.03</v>
      </c>
      <c r="F9" s="561"/>
    </row>
    <row r="10" spans="2:6">
      <c r="B10" s="314">
        <v>64110702</v>
      </c>
      <c r="C10" s="315" t="s">
        <v>533</v>
      </c>
      <c r="D10" s="317">
        <f>IFERROR(VLOOKUP(B10,'日计表-2017.06.30'!A:G,7,0),0)</f>
        <v>1104062.8999999999</v>
      </c>
      <c r="E10" s="317">
        <f>IFERROR(VLOOKUP(B10,'日计表-2016.06.30'!A:G,7,0),0)</f>
        <v>1396630.94</v>
      </c>
      <c r="F10" s="561"/>
    </row>
    <row r="11" spans="2:6">
      <c r="B11" s="314">
        <v>64110703</v>
      </c>
      <c r="C11" s="315" t="s">
        <v>534</v>
      </c>
      <c r="D11" s="317">
        <f>IFERROR(VLOOKUP(B11,'日计表-2017.06.30'!A:G,7,0),0)</f>
        <v>6261701.0899999999</v>
      </c>
      <c r="E11" s="317">
        <f>IFERROR(VLOOKUP(B11,'日计表-2016.06.30'!A:G,7,0),0)</f>
        <v>12415762.869999999</v>
      </c>
      <c r="F11" s="561"/>
    </row>
    <row r="12" spans="2:6">
      <c r="B12" s="314">
        <v>64110704</v>
      </c>
      <c r="C12" s="315" t="s">
        <v>535</v>
      </c>
      <c r="D12" s="317">
        <f>IFERROR(VLOOKUP(B12,'日计表-2017.06.30'!A:G,7,0),0)</f>
        <v>6509806.2999999998</v>
      </c>
      <c r="E12" s="317">
        <f>IFERROR(VLOOKUP(B12,'日计表-2016.06.30'!A:G,7,0),0)</f>
        <v>8183838.5499999998</v>
      </c>
      <c r="F12" s="561"/>
    </row>
    <row r="13" spans="2:6">
      <c r="B13" s="314">
        <v>64110705</v>
      </c>
      <c r="C13" s="315" t="s">
        <v>536</v>
      </c>
      <c r="D13" s="318">
        <f>IFERROR(VLOOKUP(B13,'日计表-2017.06.30'!A:G,7,0),0)</f>
        <v>0</v>
      </c>
      <c r="E13" s="318">
        <f>IFERROR(VLOOKUP(B13,'日计表-2016.06.30'!A:G,7,0),0)</f>
        <v>0</v>
      </c>
      <c r="F13" s="561"/>
    </row>
    <row r="14" spans="2:6">
      <c r="B14" s="314">
        <v>64110706</v>
      </c>
      <c r="C14" s="315" t="s">
        <v>537</v>
      </c>
      <c r="D14" s="319">
        <f>IFERROR(VLOOKUP(B14,'日计表-2017.06.30'!A:G,7,0),0)</f>
        <v>0</v>
      </c>
      <c r="E14" s="319">
        <f>IFERROR(VLOOKUP(B14,'日计表-2016.06.30'!A:G,7,0),0)</f>
        <v>0</v>
      </c>
      <c r="F14" s="561"/>
    </row>
    <row r="15" spans="2:6">
      <c r="B15" s="314">
        <v>64110707</v>
      </c>
      <c r="C15" s="315" t="s">
        <v>538</v>
      </c>
      <c r="D15" s="319">
        <f>IFERROR(VLOOKUP(B15,'日计表-2017.06.30'!A:G,7,0),0)</f>
        <v>0</v>
      </c>
      <c r="E15" s="319">
        <f>IFERROR(VLOOKUP(B15,'日计表-2016.06.30'!A:G,7,0),0)</f>
        <v>0</v>
      </c>
      <c r="F15" s="561"/>
    </row>
    <row r="16" spans="2:6">
      <c r="B16" s="314">
        <v>64110708</v>
      </c>
      <c r="C16" s="315" t="s">
        <v>539</v>
      </c>
      <c r="D16" s="319">
        <f>IFERROR(VLOOKUP(B16,'日计表-2017.06.30'!A:G,7,0),0)</f>
        <v>0</v>
      </c>
      <c r="E16" s="319">
        <f>IFERROR(VLOOKUP(B16,'日计表-2016.06.30'!A:G,7,0),0)</f>
        <v>0</v>
      </c>
      <c r="F16" s="561"/>
    </row>
    <row r="17" spans="2:6">
      <c r="B17" s="314">
        <v>64110709</v>
      </c>
      <c r="C17" s="315" t="s">
        <v>540</v>
      </c>
      <c r="D17" s="316">
        <f>IFERROR(VLOOKUP(B17,'日计表-2017.06.30'!A:G,7,0),0)</f>
        <v>889432.01</v>
      </c>
      <c r="E17" s="316">
        <f>IFERROR(VLOOKUP(B17,'日计表-2016.06.30'!A:G,7,0),0)</f>
        <v>8769117.9700000007</v>
      </c>
      <c r="F17" s="561"/>
    </row>
    <row r="18" spans="2:6">
      <c r="B18" s="314">
        <v>64110710</v>
      </c>
      <c r="C18" s="315" t="s">
        <v>541</v>
      </c>
      <c r="D18" s="317">
        <f>IFERROR(VLOOKUP(B18,'日计表-2017.06.30'!A:G,7,0),0)</f>
        <v>613028.6</v>
      </c>
      <c r="E18" s="317">
        <f>IFERROR(VLOOKUP(B18,'日计表-2016.06.30'!A:G,7,0),0)</f>
        <v>176786.72</v>
      </c>
      <c r="F18" s="561"/>
    </row>
    <row r="19" spans="2:6">
      <c r="B19" s="314">
        <v>64110711</v>
      </c>
      <c r="C19" s="315" t="s">
        <v>542</v>
      </c>
      <c r="D19" s="317">
        <f>IFERROR(VLOOKUP(B19,'日计表-2017.06.30'!A:G,7,0),0)</f>
        <v>3687734.91</v>
      </c>
      <c r="E19" s="317">
        <f>IFERROR(VLOOKUP(B19,'日计表-2016.06.30'!A:G,7,0),0)</f>
        <v>4461691.28</v>
      </c>
      <c r="F19" s="561"/>
    </row>
    <row r="20" spans="2:6">
      <c r="B20" s="314">
        <v>64110712</v>
      </c>
      <c r="C20" s="315" t="s">
        <v>543</v>
      </c>
      <c r="D20" s="317">
        <f>IFERROR(VLOOKUP(B20,'日计表-2017.06.30'!A:G,7,0),0)</f>
        <v>22213430.550000001</v>
      </c>
      <c r="E20" s="317">
        <f>IFERROR(VLOOKUP(B20,'日计表-2016.06.30'!A:G,7,0),0)</f>
        <v>65613182.799999997</v>
      </c>
      <c r="F20" s="561"/>
    </row>
    <row r="21" spans="2:6">
      <c r="B21" s="314">
        <v>64110713</v>
      </c>
      <c r="C21" s="315" t="s">
        <v>544</v>
      </c>
      <c r="D21" s="318">
        <f>IFERROR(VLOOKUP(B21,'日计表-2017.06.30'!A:G,7,0),0)</f>
        <v>43386.61</v>
      </c>
      <c r="E21" s="318">
        <f>IFERROR(VLOOKUP(B21,'日计表-2016.06.30'!A:G,7,0),0)</f>
        <v>46569.37</v>
      </c>
      <c r="F21" s="561"/>
    </row>
    <row r="22" spans="2:6">
      <c r="B22" s="314">
        <v>64110714</v>
      </c>
      <c r="C22" s="315" t="s">
        <v>545</v>
      </c>
      <c r="D22" s="319">
        <f>IFERROR(VLOOKUP(B22,'日计表-2017.06.30'!A:G,7,0),0)</f>
        <v>149625.92000000001</v>
      </c>
      <c r="E22" s="319">
        <f>IFERROR(VLOOKUP(B22,'日计表-2016.06.30'!A:G,7,0),0)</f>
        <v>69985.59</v>
      </c>
      <c r="F22" s="561"/>
    </row>
    <row r="23" spans="2:6">
      <c r="B23" s="314">
        <v>64110715</v>
      </c>
      <c r="C23" s="315" t="s">
        <v>546</v>
      </c>
      <c r="D23" s="319">
        <f>IFERROR(VLOOKUP(B23,'日计表-2017.06.30'!A:G,7,0),0)</f>
        <v>410028.92</v>
      </c>
      <c r="E23" s="319">
        <f>IFERROR(VLOOKUP(B23,'日计表-2016.06.30'!A:G,7,0),0)</f>
        <v>511711.07</v>
      </c>
      <c r="F23" s="561"/>
    </row>
    <row r="24" spans="2:6">
      <c r="B24" s="314">
        <v>64110716</v>
      </c>
      <c r="C24" s="315" t="s">
        <v>547</v>
      </c>
      <c r="D24" s="319">
        <f>IFERROR(VLOOKUP(B24,'日计表-2017.06.30'!A:G,7,0),0)</f>
        <v>792401.41</v>
      </c>
      <c r="E24" s="319">
        <f>IFERROR(VLOOKUP(B24,'日计表-2016.06.30'!A:G,7,0),0)</f>
        <v>1653002.41</v>
      </c>
      <c r="F24" s="561"/>
    </row>
    <row r="25" spans="2:6">
      <c r="B25" s="314">
        <v>64110717</v>
      </c>
      <c r="C25" s="315" t="s">
        <v>548</v>
      </c>
      <c r="D25" s="316">
        <f>IFERROR(VLOOKUP(B25,'日计表-2017.06.30'!A:G,7,0),0)</f>
        <v>27501.01</v>
      </c>
      <c r="E25" s="316">
        <f>IFERROR(VLOOKUP(B25,'日计表-2016.06.30'!A:G,7,0),0)</f>
        <v>57720.63</v>
      </c>
      <c r="F25" s="561"/>
    </row>
    <row r="26" spans="2:6">
      <c r="B26" s="314">
        <v>64110718</v>
      </c>
      <c r="C26" s="315" t="s">
        <v>549</v>
      </c>
      <c r="D26" s="317">
        <f>IFERROR(VLOOKUP(B26,'日计表-2017.06.30'!A:G,7,0),0)</f>
        <v>68356.2</v>
      </c>
      <c r="E26" s="317">
        <f>IFERROR(VLOOKUP(B26,'日计表-2016.06.30'!A:G,7,0),0)</f>
        <v>53050.73</v>
      </c>
      <c r="F26" s="561"/>
    </row>
    <row r="27" spans="2:6">
      <c r="B27" s="314">
        <v>64110719</v>
      </c>
      <c r="C27" s="315" t="s">
        <v>550</v>
      </c>
      <c r="D27" s="317">
        <f>IFERROR(VLOOKUP(B27,'日计表-2017.06.30'!A:G,7,0),0)</f>
        <v>261474.16</v>
      </c>
      <c r="E27" s="317">
        <f>IFERROR(VLOOKUP(B27,'日计表-2016.06.30'!A:G,7,0),0)</f>
        <v>200949.59</v>
      </c>
      <c r="F27" s="561"/>
    </row>
    <row r="28" spans="2:6">
      <c r="B28" s="314">
        <v>64110720</v>
      </c>
      <c r="C28" s="315" t="s">
        <v>551</v>
      </c>
      <c r="D28" s="317">
        <f>IFERROR(VLOOKUP(B28,'日计表-2017.06.30'!A:G,7,0),0)</f>
        <v>8548136.6699999999</v>
      </c>
      <c r="E28" s="317">
        <f>IFERROR(VLOOKUP(B28,'日计表-2016.06.30'!A:G,7,0),0)</f>
        <v>949042.73</v>
      </c>
      <c r="F28" s="561"/>
    </row>
    <row r="29" spans="2:6">
      <c r="B29" s="314">
        <v>64110721</v>
      </c>
      <c r="C29" s="315" t="s">
        <v>552</v>
      </c>
      <c r="D29" s="318">
        <f>IFERROR(VLOOKUP(B29,'日计表-2017.06.30'!A:G,7,0),0)</f>
        <v>0</v>
      </c>
      <c r="E29" s="318">
        <f>IFERROR(VLOOKUP(B29,'日计表-2016.06.30'!A:G,7,0),0)</f>
        <v>0</v>
      </c>
      <c r="F29" s="561"/>
    </row>
    <row r="30" spans="2:6">
      <c r="B30" s="314">
        <v>64110722</v>
      </c>
      <c r="C30" s="315" t="s">
        <v>553</v>
      </c>
      <c r="D30" s="319">
        <f>IFERROR(VLOOKUP(B30,'日计表-2017.06.30'!A:G,7,0),0)</f>
        <v>0</v>
      </c>
      <c r="E30" s="319">
        <f>IFERROR(VLOOKUP(B30,'日计表-2016.06.30'!A:G,7,0),0)</f>
        <v>0</v>
      </c>
      <c r="F30" s="561"/>
    </row>
    <row r="31" spans="2:6">
      <c r="B31" s="314">
        <v>64110723</v>
      </c>
      <c r="C31" s="315" t="s">
        <v>554</v>
      </c>
      <c r="D31" s="319">
        <f>IFERROR(VLOOKUP(B31,'日计表-2017.06.30'!A:G,7,0),0)</f>
        <v>0</v>
      </c>
      <c r="E31" s="319">
        <f>IFERROR(VLOOKUP(B31,'日计表-2016.06.30'!A:G,7,0),0)</f>
        <v>0</v>
      </c>
      <c r="F31" s="561"/>
    </row>
    <row r="32" spans="2:6">
      <c r="B32" s="314">
        <v>64110724</v>
      </c>
      <c r="C32" s="315" t="s">
        <v>555</v>
      </c>
      <c r="D32" s="319">
        <f>IFERROR(VLOOKUP(B32,'日计表-2017.06.30'!A:G,7,0),0)</f>
        <v>0</v>
      </c>
      <c r="E32" s="319">
        <f>IFERROR(VLOOKUP(B32,'日计表-2016.06.30'!A:G,7,0),0)</f>
        <v>0</v>
      </c>
      <c r="F32" s="561"/>
    </row>
    <row r="33" spans="2:6">
      <c r="B33" s="314">
        <v>64110725</v>
      </c>
      <c r="C33" s="315" t="s">
        <v>556</v>
      </c>
      <c r="D33" s="316">
        <f>IFERROR(VLOOKUP(B33,'日计表-2017.06.30'!A:G,7,0),0)</f>
        <v>52702.48</v>
      </c>
      <c r="E33" s="316">
        <f>IFERROR(VLOOKUP(B33,'日计表-2016.06.30'!A:G,7,0),0)</f>
        <v>93787.75</v>
      </c>
      <c r="F33" s="561"/>
    </row>
    <row r="34" spans="2:6">
      <c r="B34" s="314">
        <v>64110726</v>
      </c>
      <c r="C34" s="315" t="s">
        <v>557</v>
      </c>
      <c r="D34" s="317">
        <f>IFERROR(VLOOKUP(B34,'日计表-2017.06.30'!A:G,7,0),0)</f>
        <v>330.65</v>
      </c>
      <c r="E34" s="317">
        <f>IFERROR(VLOOKUP(B34,'日计表-2016.06.30'!A:G,7,0),0)</f>
        <v>37736.949999999997</v>
      </c>
      <c r="F34" s="561"/>
    </row>
    <row r="35" spans="2:6">
      <c r="B35" s="314">
        <v>64110727</v>
      </c>
      <c r="C35" s="315" t="s">
        <v>558</v>
      </c>
      <c r="D35" s="317">
        <f>IFERROR(VLOOKUP(B35,'日计表-2017.06.30'!A:G,7,0),0)</f>
        <v>69621.77</v>
      </c>
      <c r="E35" s="317">
        <f>IFERROR(VLOOKUP(B35,'日计表-2016.06.30'!A:G,7,0),0)</f>
        <v>65940.97</v>
      </c>
      <c r="F35" s="561"/>
    </row>
    <row r="36" spans="2:6">
      <c r="B36" s="314">
        <v>64110728</v>
      </c>
      <c r="C36" s="315" t="s">
        <v>559</v>
      </c>
      <c r="D36" s="317">
        <f>IFERROR(VLOOKUP(B36,'日计表-2017.06.30'!A:G,7,0),0)</f>
        <v>20394.86</v>
      </c>
      <c r="E36" s="317">
        <f>IFERROR(VLOOKUP(B36,'日计表-2016.06.30'!A:G,7,0),0)</f>
        <v>7707.78</v>
      </c>
      <c r="F36" s="561"/>
    </row>
    <row r="37" spans="2:6">
      <c r="B37" s="314">
        <v>64110729</v>
      </c>
      <c r="C37" s="315" t="s">
        <v>560</v>
      </c>
      <c r="D37" s="318">
        <f>IFERROR(VLOOKUP(B37,'日计表-2017.06.30'!A:G,7,0),0)</f>
        <v>0</v>
      </c>
      <c r="E37" s="318">
        <f>IFERROR(VLOOKUP(B37,'日计表-2016.06.30'!A:G,7,0),0)</f>
        <v>0</v>
      </c>
      <c r="F37" s="561"/>
    </row>
    <row r="38" spans="2:6">
      <c r="B38" s="314">
        <v>64110730</v>
      </c>
      <c r="C38" s="315" t="s">
        <v>561</v>
      </c>
      <c r="D38" s="319">
        <f>IFERROR(VLOOKUP(B38,'日计表-2017.06.30'!A:G,7,0),0)</f>
        <v>0</v>
      </c>
      <c r="E38" s="319">
        <f>IFERROR(VLOOKUP(B38,'日计表-2016.06.30'!A:G,7,0),0)</f>
        <v>0</v>
      </c>
      <c r="F38" s="561"/>
    </row>
    <row r="39" spans="2:6">
      <c r="B39" s="314">
        <v>64110731</v>
      </c>
      <c r="C39" s="315" t="s">
        <v>562</v>
      </c>
      <c r="D39" s="319">
        <f>IFERROR(VLOOKUP(B39,'日计表-2017.06.30'!A:G,7,0),0)</f>
        <v>0</v>
      </c>
      <c r="E39" s="319">
        <f>IFERROR(VLOOKUP(B39,'日计表-2016.06.30'!A:G,7,0),0)</f>
        <v>0</v>
      </c>
      <c r="F39" s="561"/>
    </row>
    <row r="40" spans="2:6">
      <c r="B40" s="314">
        <v>64110732</v>
      </c>
      <c r="C40" s="315" t="s">
        <v>563</v>
      </c>
      <c r="D40" s="319">
        <f>IFERROR(VLOOKUP(B40,'日计表-2017.06.30'!A:G,7,0),0)</f>
        <v>0</v>
      </c>
      <c r="E40" s="319">
        <f>IFERROR(VLOOKUP(B40,'日计表-2016.06.30'!A:G,7,0),0)</f>
        <v>0</v>
      </c>
      <c r="F40" s="561"/>
    </row>
    <row r="41" spans="2:6">
      <c r="B41" s="314">
        <v>64110733</v>
      </c>
      <c r="C41" s="315" t="s">
        <v>564</v>
      </c>
      <c r="D41" s="316">
        <f>IFERROR(VLOOKUP(B41,'日计表-2017.06.30'!A:G,7,0),0)</f>
        <v>42530.84</v>
      </c>
      <c r="E41" s="316">
        <f>IFERROR(VLOOKUP(B41,'日计表-2016.06.30'!A:G,7,0),0)</f>
        <v>14196.45</v>
      </c>
      <c r="F41" s="561"/>
    </row>
    <row r="42" spans="2:6">
      <c r="B42" s="314">
        <v>64110734</v>
      </c>
      <c r="C42" s="315" t="s">
        <v>565</v>
      </c>
      <c r="D42" s="317">
        <f>IFERROR(VLOOKUP(B42,'日计表-2017.06.30'!A:G,7,0),0)</f>
        <v>0</v>
      </c>
      <c r="E42" s="317">
        <f>IFERROR(VLOOKUP(B42,'日计表-2016.06.30'!A:G,7,0),0)</f>
        <v>0</v>
      </c>
      <c r="F42" s="561"/>
    </row>
    <row r="43" spans="2:6">
      <c r="B43" s="314">
        <v>64110735</v>
      </c>
      <c r="C43" s="315" t="s">
        <v>566</v>
      </c>
      <c r="D43" s="317">
        <f>IFERROR(VLOOKUP(B43,'日计表-2017.06.30'!A:G,7,0),0)</f>
        <v>0</v>
      </c>
      <c r="E43" s="317">
        <f>IFERROR(VLOOKUP(B43,'日计表-2016.06.30'!A:G,7,0),0)</f>
        <v>0</v>
      </c>
      <c r="F43" s="561"/>
    </row>
    <row r="44" spans="2:6">
      <c r="B44" s="314">
        <v>64110736</v>
      </c>
      <c r="C44" s="315" t="s">
        <v>567</v>
      </c>
      <c r="D44" s="317">
        <f>IFERROR(VLOOKUP(B44,'日计表-2017.06.30'!A:G,7,0),0)</f>
        <v>0</v>
      </c>
      <c r="E44" s="317">
        <f>IFERROR(VLOOKUP(B44,'日计表-2016.06.30'!A:G,7,0),0)</f>
        <v>0</v>
      </c>
      <c r="F44" s="561"/>
    </row>
    <row r="45" spans="2:6">
      <c r="B45" s="314">
        <v>64110737</v>
      </c>
      <c r="C45" s="315" t="s">
        <v>568</v>
      </c>
      <c r="D45" s="318">
        <f>IFERROR(VLOOKUP(B45,'日计表-2017.06.30'!A:G,7,0),0)</f>
        <v>3.07</v>
      </c>
      <c r="E45" s="318">
        <f>IFERROR(VLOOKUP(B45,'日计表-2016.06.30'!A:G,7,0),0)</f>
        <v>1.36</v>
      </c>
      <c r="F45" s="561"/>
    </row>
    <row r="46" spans="2:6">
      <c r="B46" s="314">
        <v>64110738</v>
      </c>
      <c r="C46" s="315" t="s">
        <v>569</v>
      </c>
      <c r="D46" s="319">
        <f>IFERROR(VLOOKUP(B46,'日计表-2017.06.30'!A:G,7,0),0)</f>
        <v>0</v>
      </c>
      <c r="E46" s="319">
        <f>IFERROR(VLOOKUP(B46,'日计表-2016.06.30'!A:G,7,0),0)</f>
        <v>0</v>
      </c>
      <c r="F46" s="561"/>
    </row>
    <row r="47" spans="2:6">
      <c r="B47" s="314">
        <v>64110739</v>
      </c>
      <c r="C47" s="315" t="s">
        <v>570</v>
      </c>
      <c r="D47" s="319">
        <f>IFERROR(VLOOKUP(B47,'日计表-2017.06.30'!A:G,7,0),0)</f>
        <v>1936.73</v>
      </c>
      <c r="E47" s="319">
        <f>IFERROR(VLOOKUP(B47,'日计表-2016.06.30'!A:G,7,0),0)</f>
        <v>91082.6</v>
      </c>
      <c r="F47" s="561"/>
    </row>
    <row r="48" spans="2:6">
      <c r="B48" s="314">
        <v>64110740</v>
      </c>
      <c r="C48" s="315" t="s">
        <v>571</v>
      </c>
      <c r="D48" s="319">
        <f>IFERROR(VLOOKUP(B48,'日计表-2017.06.30'!A:G,7,0),0)</f>
        <v>0</v>
      </c>
      <c r="E48" s="319">
        <f>IFERROR(VLOOKUP(B48,'日计表-2016.06.30'!A:G,7,0),0)</f>
        <v>0</v>
      </c>
      <c r="F48" s="561"/>
    </row>
    <row r="49" spans="2:6">
      <c r="B49" s="314">
        <v>64110741</v>
      </c>
      <c r="C49" s="315" t="s">
        <v>572</v>
      </c>
      <c r="D49" s="316">
        <f>IFERROR(VLOOKUP(B49,'日计表-2017.06.30'!A:G,7,0),0)</f>
        <v>7.44</v>
      </c>
      <c r="E49" s="316">
        <f>IFERROR(VLOOKUP(B49,'日计表-2016.06.30'!A:G,7,0),0)</f>
        <v>7.46</v>
      </c>
      <c r="F49" s="561"/>
    </row>
    <row r="50" spans="2:6">
      <c r="B50" s="314">
        <v>64110742</v>
      </c>
      <c r="C50" s="315" t="s">
        <v>573</v>
      </c>
      <c r="D50" s="317">
        <f>IFERROR(VLOOKUP(B50,'日计表-2017.06.30'!A:G,7,0),0)</f>
        <v>0</v>
      </c>
      <c r="E50" s="317">
        <f>IFERROR(VLOOKUP(B50,'日计表-2016.06.30'!A:G,7,0),0)</f>
        <v>0</v>
      </c>
      <c r="F50" s="561"/>
    </row>
    <row r="51" spans="2:6">
      <c r="B51" s="314">
        <v>64110743</v>
      </c>
      <c r="C51" s="315" t="s">
        <v>574</v>
      </c>
      <c r="D51" s="317">
        <f>IFERROR(VLOOKUP(B51,'日计表-2017.06.30'!A:G,7,0),0)</f>
        <v>0</v>
      </c>
      <c r="E51" s="317">
        <f>IFERROR(VLOOKUP(B51,'日计表-2016.06.30'!A:G,7,0),0)</f>
        <v>0</v>
      </c>
      <c r="F51" s="561"/>
    </row>
    <row r="52" spans="2:6">
      <c r="B52" s="314">
        <v>64110744</v>
      </c>
      <c r="C52" s="315" t="s">
        <v>575</v>
      </c>
      <c r="D52" s="317">
        <f>IFERROR(VLOOKUP(B52,'日计表-2017.06.30'!A:G,7,0),0)</f>
        <v>0</v>
      </c>
      <c r="E52" s="317">
        <f>IFERROR(VLOOKUP(B52,'日计表-2016.06.30'!A:G,7,0),0)</f>
        <v>0</v>
      </c>
      <c r="F52" s="561"/>
    </row>
    <row r="53" spans="2:6">
      <c r="B53" s="314">
        <v>64110745</v>
      </c>
      <c r="C53" s="315" t="s">
        <v>576</v>
      </c>
      <c r="D53" s="318">
        <f>IFERROR(VLOOKUP(B53,'日计表-2017.06.30'!A:G,7,0),0)</f>
        <v>0</v>
      </c>
      <c r="E53" s="318">
        <f>IFERROR(VLOOKUP(B53,'日计表-2016.06.30'!A:G,7,0),0)</f>
        <v>0</v>
      </c>
      <c r="F53" s="561"/>
    </row>
    <row r="54" spans="2:6">
      <c r="B54" s="314">
        <v>64110746</v>
      </c>
      <c r="C54" s="315" t="s">
        <v>577</v>
      </c>
      <c r="D54" s="319">
        <f>IFERROR(VLOOKUP(B54,'日计表-2017.06.30'!A:G,7,0),0)</f>
        <v>0</v>
      </c>
      <c r="E54" s="319">
        <f>IFERROR(VLOOKUP(B54,'日计表-2016.06.30'!A:G,7,0),0)</f>
        <v>0</v>
      </c>
      <c r="F54" s="561"/>
    </row>
    <row r="55" spans="2:6">
      <c r="B55" s="314">
        <v>64110747</v>
      </c>
      <c r="C55" s="315" t="s">
        <v>578</v>
      </c>
      <c r="D55" s="319">
        <f>IFERROR(VLOOKUP(B55,'日计表-2017.06.30'!A:G,7,0),0)</f>
        <v>0</v>
      </c>
      <c r="E55" s="319">
        <f>IFERROR(VLOOKUP(B55,'日计表-2016.06.30'!A:G,7,0),0)</f>
        <v>0</v>
      </c>
      <c r="F55" s="561"/>
    </row>
    <row r="56" spans="2:6">
      <c r="B56" s="314">
        <v>64110748</v>
      </c>
      <c r="C56" s="315" t="s">
        <v>579</v>
      </c>
      <c r="D56" s="319">
        <f>IFERROR(VLOOKUP(B56,'日计表-2017.06.30'!A:G,7,0),0)</f>
        <v>0</v>
      </c>
      <c r="E56" s="319">
        <f>IFERROR(VLOOKUP(B56,'日计表-2016.06.30'!A:G,7,0),0)</f>
        <v>0</v>
      </c>
      <c r="F56" s="561"/>
    </row>
    <row r="57" spans="2:6">
      <c r="B57" s="314">
        <v>64110749</v>
      </c>
      <c r="C57" s="315" t="s">
        <v>580</v>
      </c>
      <c r="D57" s="316">
        <f>IFERROR(VLOOKUP(B57,'日计表-2017.06.30'!A:G,7,0),0)</f>
        <v>1.83</v>
      </c>
      <c r="E57" s="316">
        <f>IFERROR(VLOOKUP(B57,'日计表-2016.06.30'!A:G,7,0),0)</f>
        <v>1.8</v>
      </c>
      <c r="F57" s="561"/>
    </row>
    <row r="58" spans="2:6">
      <c r="B58" s="314">
        <v>64110750</v>
      </c>
      <c r="C58" s="315" t="s">
        <v>581</v>
      </c>
      <c r="D58" s="317">
        <f>IFERROR(VLOOKUP(B58,'日计表-2017.06.30'!A:G,7,0),0)</f>
        <v>0</v>
      </c>
      <c r="E58" s="317">
        <f>IFERROR(VLOOKUP(B58,'日计表-2016.06.30'!A:G,7,0),0)</f>
        <v>0</v>
      </c>
      <c r="F58" s="561"/>
    </row>
    <row r="59" spans="2:6">
      <c r="B59" s="314">
        <v>64110751</v>
      </c>
      <c r="C59" s="315" t="s">
        <v>582</v>
      </c>
      <c r="D59" s="317">
        <f>IFERROR(VLOOKUP(B59,'日计表-2017.06.30'!A:G,7,0),0)</f>
        <v>0</v>
      </c>
      <c r="E59" s="317">
        <f>IFERROR(VLOOKUP(B59,'日计表-2016.06.30'!A:G,7,0),0)</f>
        <v>0</v>
      </c>
      <c r="F59" s="561"/>
    </row>
    <row r="60" spans="2:6">
      <c r="B60" s="314">
        <v>64110752</v>
      </c>
      <c r="C60" s="315" t="s">
        <v>583</v>
      </c>
      <c r="D60" s="317">
        <f>IFERROR(VLOOKUP(B60,'日计表-2017.06.30'!A:G,7,0),0)</f>
        <v>0</v>
      </c>
      <c r="E60" s="317">
        <f>IFERROR(VLOOKUP(B60,'日计表-2016.06.30'!A:G,7,0),0)</f>
        <v>0</v>
      </c>
      <c r="F60" s="561"/>
    </row>
    <row r="61" spans="2:6">
      <c r="B61" s="314">
        <v>64110753</v>
      </c>
      <c r="C61" s="315" t="s">
        <v>584</v>
      </c>
      <c r="D61" s="318">
        <f>IFERROR(VLOOKUP(B61,'日计表-2017.06.30'!A:G,7,0),0)</f>
        <v>0</v>
      </c>
      <c r="E61" s="318">
        <f>IFERROR(VLOOKUP(B61,'日计表-2016.06.30'!A:G,7,0),0)</f>
        <v>0</v>
      </c>
      <c r="F61" s="561"/>
    </row>
    <row r="62" spans="2:6">
      <c r="B62" s="314">
        <v>64110754</v>
      </c>
      <c r="C62" s="315" t="s">
        <v>585</v>
      </c>
      <c r="D62" s="319">
        <f>IFERROR(VLOOKUP(B62,'日计表-2017.06.30'!A:G,7,0),0)</f>
        <v>0</v>
      </c>
      <c r="E62" s="319">
        <f>IFERROR(VLOOKUP(B62,'日计表-2016.06.30'!A:G,7,0),0)</f>
        <v>0</v>
      </c>
      <c r="F62" s="561"/>
    </row>
    <row r="63" spans="2:6">
      <c r="B63" s="314">
        <v>64110755</v>
      </c>
      <c r="C63" s="315" t="s">
        <v>586</v>
      </c>
      <c r="D63" s="319">
        <f>IFERROR(VLOOKUP(B63,'日计表-2017.06.30'!A:G,7,0),0)</f>
        <v>0</v>
      </c>
      <c r="E63" s="319">
        <f>IFERROR(VLOOKUP(B63,'日计表-2016.06.30'!A:G,7,0),0)</f>
        <v>0</v>
      </c>
      <c r="F63" s="561"/>
    </row>
    <row r="64" spans="2:6">
      <c r="B64" s="314">
        <v>64110756</v>
      </c>
      <c r="C64" s="315" t="s">
        <v>587</v>
      </c>
      <c r="D64" s="319">
        <f>IFERROR(VLOOKUP(B64,'日计表-2017.06.30'!A:G,7,0),0)</f>
        <v>0</v>
      </c>
      <c r="E64" s="319">
        <f>IFERROR(VLOOKUP(B64,'日计表-2016.06.30'!A:G,7,0),0)</f>
        <v>0</v>
      </c>
      <c r="F64" s="561"/>
    </row>
    <row r="65" spans="2:6">
      <c r="B65" s="314">
        <v>64110757</v>
      </c>
      <c r="C65" s="315" t="s">
        <v>588</v>
      </c>
      <c r="D65" s="316">
        <f>IFERROR(VLOOKUP(B65,'日计表-2017.06.30'!A:G,7,0),0)</f>
        <v>197367.65</v>
      </c>
      <c r="E65" s="316">
        <f>IFERROR(VLOOKUP(B65,'日计表-2016.06.30'!A:G,7,0),0)</f>
        <v>1711381.37</v>
      </c>
      <c r="F65" s="561"/>
    </row>
    <row r="66" spans="2:6">
      <c r="B66" s="314">
        <v>64110758</v>
      </c>
      <c r="C66" s="315" t="s">
        <v>589</v>
      </c>
      <c r="D66" s="317">
        <f>IFERROR(VLOOKUP(B66,'日计表-2017.06.30'!A:G,7,0),0)</f>
        <v>1598.92</v>
      </c>
      <c r="E66" s="317">
        <f>IFERROR(VLOOKUP(B66,'日计表-2016.06.30'!A:G,7,0),0)</f>
        <v>167172.4</v>
      </c>
      <c r="F66" s="561"/>
    </row>
    <row r="67" spans="2:6">
      <c r="B67" s="314">
        <v>64110759</v>
      </c>
      <c r="C67" s="315" t="s">
        <v>590</v>
      </c>
      <c r="D67" s="317">
        <f>IFERROR(VLOOKUP(B67,'日计表-2017.06.30'!A:G,7,0),0)</f>
        <v>80303.320000000007</v>
      </c>
      <c r="E67" s="317">
        <f>IFERROR(VLOOKUP(B67,'日计表-2016.06.30'!A:G,7,0),0)</f>
        <v>426089.1</v>
      </c>
      <c r="F67" s="561"/>
    </row>
    <row r="68" spans="2:6">
      <c r="B68" s="314">
        <v>64110760</v>
      </c>
      <c r="C68" s="315" t="s">
        <v>591</v>
      </c>
      <c r="D68" s="317">
        <f>IFERROR(VLOOKUP(B68,'日计表-2017.06.30'!A:G,7,0),0)</f>
        <v>2037266.8</v>
      </c>
      <c r="E68" s="317">
        <f>IFERROR(VLOOKUP(B68,'日计表-2016.06.30'!A:G,7,0),0)</f>
        <v>7205700.1600000001</v>
      </c>
      <c r="F68" s="561"/>
    </row>
    <row r="69" spans="2:6">
      <c r="B69" s="314">
        <v>64110761</v>
      </c>
      <c r="C69" s="315" t="s">
        <v>592</v>
      </c>
      <c r="D69" s="318">
        <f>IFERROR(VLOOKUP(B69,'日计表-2017.06.30'!A:G,7,0),0)</f>
        <v>10548.74</v>
      </c>
      <c r="E69" s="318">
        <f>IFERROR(VLOOKUP(B69,'日计表-2016.06.30'!A:G,7,0),0)</f>
        <v>18069.150000000001</v>
      </c>
      <c r="F69" s="561"/>
    </row>
    <row r="70" spans="2:6">
      <c r="B70" s="314">
        <v>64110762</v>
      </c>
      <c r="C70" s="315" t="s">
        <v>593</v>
      </c>
      <c r="D70" s="319">
        <f>IFERROR(VLOOKUP(B70,'日计表-2017.06.30'!A:G,7,0),0)</f>
        <v>5796.92</v>
      </c>
      <c r="E70" s="319">
        <f>IFERROR(VLOOKUP(B70,'日计表-2016.06.30'!A:G,7,0),0)</f>
        <v>437.31</v>
      </c>
      <c r="F70" s="561"/>
    </row>
    <row r="71" spans="2:6">
      <c r="B71" s="314">
        <v>64110763</v>
      </c>
      <c r="C71" s="315" t="s">
        <v>594</v>
      </c>
      <c r="D71" s="319">
        <f>IFERROR(VLOOKUP(B71,'日计表-2017.06.30'!A:G,7,0),0)</f>
        <v>144775.98000000001</v>
      </c>
      <c r="E71" s="319">
        <f>IFERROR(VLOOKUP(B71,'日计表-2016.06.30'!A:G,7,0),0)</f>
        <v>96291.22</v>
      </c>
      <c r="F71" s="561"/>
    </row>
    <row r="72" spans="2:6">
      <c r="B72" s="314">
        <v>64110764</v>
      </c>
      <c r="C72" s="315" t="s">
        <v>595</v>
      </c>
      <c r="D72" s="319">
        <f>IFERROR(VLOOKUP(B72,'日计表-2017.06.30'!A:G,7,0),0)</f>
        <v>148485.18</v>
      </c>
      <c r="E72" s="319">
        <f>IFERROR(VLOOKUP(B72,'日计表-2016.06.30'!A:G,7,0),0)</f>
        <v>341873.47</v>
      </c>
      <c r="F72" s="561"/>
    </row>
    <row r="73" spans="2:6" s="513" customFormat="1">
      <c r="B73" s="314">
        <v>64110765</v>
      </c>
      <c r="C73" s="315" t="s">
        <v>595</v>
      </c>
      <c r="D73" s="317">
        <f>IFERROR(VLOOKUP(B73,'日计表-2017.06.30'!A:G,7,0),0)</f>
        <v>-330580.62</v>
      </c>
      <c r="E73" s="317">
        <f>IFERROR(VLOOKUP(B73,'日计表-2016.06.30'!A:G,7,0),0)</f>
        <v>18055.560000000001</v>
      </c>
      <c r="F73" s="561"/>
    </row>
    <row r="74" spans="2:6">
      <c r="B74" s="314">
        <v>64110766</v>
      </c>
      <c r="C74" s="315" t="s">
        <v>2707</v>
      </c>
      <c r="D74" s="317">
        <f>IFERROR(VLOOKUP(B74,'日计表-2017.06.30'!A:G,7,0),0)</f>
        <v>4757938.8</v>
      </c>
      <c r="E74" s="317">
        <f>IFERROR(VLOOKUP(B74,'日计表-2016.06.30'!A:G,7,0),0)</f>
        <v>4051508.62</v>
      </c>
      <c r="F74" s="561"/>
    </row>
    <row r="75" spans="2:6">
      <c r="B75" s="314">
        <v>64110767</v>
      </c>
      <c r="C75" s="315" t="s">
        <v>2854</v>
      </c>
      <c r="D75" s="317">
        <f>IFERROR(VLOOKUP(B75,'日计表-2017.06.30'!A:G,7,0),0)</f>
        <v>6538785.3600000003</v>
      </c>
      <c r="E75" s="317">
        <f>IFERROR(VLOOKUP(B75,'日计表-2016.06.30'!A:G,7,0),0)</f>
        <v>43641.87</v>
      </c>
      <c r="F75" s="561"/>
    </row>
    <row r="76" spans="2:6">
      <c r="B76" s="314">
        <v>64110772</v>
      </c>
      <c r="C76" s="315" t="s">
        <v>2856</v>
      </c>
      <c r="D76" s="317">
        <f>IFERROR(VLOOKUP(B76,'日计表-2017.06.30'!A:G,7,0),0)</f>
        <v>452813.35</v>
      </c>
      <c r="E76" s="317">
        <f>IFERROR(VLOOKUP(B76,'日计表-2016.06.30'!A:G,7,0),0)</f>
        <v>416048.25</v>
      </c>
      <c r="F76" s="561"/>
    </row>
    <row r="77" spans="2:6">
      <c r="B77" s="314">
        <v>64110774</v>
      </c>
      <c r="C77" s="315" t="s">
        <v>3941</v>
      </c>
      <c r="D77" s="319">
        <f>IFERROR(VLOOKUP(B77,'日计表-2017.06.30'!A:G,7,0),0)</f>
        <v>7214.94</v>
      </c>
      <c r="E77" s="319">
        <f>IFERROR(VLOOKUP(B77,'日计表-2016.06.30'!A:G,7,0),0)</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0"/>
  <sheetViews>
    <sheetView topLeftCell="A1332" workbookViewId="0">
      <selection activeCell="G1340" sqref="G1340"/>
    </sheetView>
  </sheetViews>
  <sheetFormatPr defaultRowHeight="13.5"/>
  <cols>
    <col min="1" max="2" width="32" style="660" bestFit="1" customWidth="1"/>
    <col min="3" max="3" width="29" style="660" bestFit="1" customWidth="1"/>
    <col min="4" max="4" width="14.125" style="660" bestFit="1" customWidth="1"/>
    <col min="5" max="5" width="24.25" style="660" bestFit="1" customWidth="1"/>
    <col min="6" max="6" width="16.125" style="660" bestFit="1" customWidth="1"/>
    <col min="7" max="8" width="14.125" style="660" bestFit="1" customWidth="1"/>
    <col min="9" max="9" width="9.625" style="660" bestFit="1" customWidth="1"/>
    <col min="10" max="16384" width="9" style="660"/>
  </cols>
  <sheetData>
    <row r="1" spans="1:9" ht="22.5">
      <c r="A1" s="320"/>
      <c r="B1" s="320"/>
      <c r="C1" s="672" t="s">
        <v>4316</v>
      </c>
      <c r="D1" s="320"/>
      <c r="E1" s="320"/>
      <c r="F1" s="671"/>
      <c r="G1" s="671"/>
      <c r="H1" s="671"/>
      <c r="I1" s="671"/>
    </row>
    <row r="2" spans="1:9">
      <c r="A2" s="673" t="s">
        <v>3708</v>
      </c>
      <c r="B2" s="673"/>
      <c r="C2" s="674">
        <v>42551</v>
      </c>
      <c r="D2" s="673"/>
      <c r="E2" s="675" t="s">
        <v>3709</v>
      </c>
      <c r="F2" s="671"/>
      <c r="G2" s="671"/>
      <c r="H2" s="671"/>
      <c r="I2" s="671"/>
    </row>
    <row r="3" spans="1:9" ht="28.5" customHeight="1">
      <c r="A3" s="676" t="s">
        <v>596</v>
      </c>
      <c r="B3" s="676" t="s">
        <v>597</v>
      </c>
      <c r="C3" s="676" t="s">
        <v>3710</v>
      </c>
      <c r="D3" s="676" t="s">
        <v>3711</v>
      </c>
      <c r="E3" s="676" t="s">
        <v>3712</v>
      </c>
      <c r="F3" s="676" t="s">
        <v>3713</v>
      </c>
      <c r="G3" s="676" t="s">
        <v>3714</v>
      </c>
      <c r="H3" s="676" t="s">
        <v>3715</v>
      </c>
      <c r="I3" s="676" t="s">
        <v>596</v>
      </c>
    </row>
    <row r="4" spans="1:9" ht="17.100000000000001" customHeight="1">
      <c r="A4" s="677">
        <v>1001</v>
      </c>
      <c r="B4" s="677" t="s">
        <v>598</v>
      </c>
      <c r="C4" s="678">
        <v>2542471783.8000002</v>
      </c>
      <c r="D4" s="679">
        <v>0</v>
      </c>
      <c r="E4" s="678">
        <v>3914006818.1900001</v>
      </c>
      <c r="F4" s="678">
        <v>3778221479.3000002</v>
      </c>
      <c r="G4" s="678">
        <v>2678257122.6900001</v>
      </c>
      <c r="H4" s="679">
        <v>0</v>
      </c>
      <c r="I4" s="677" t="s">
        <v>599</v>
      </c>
    </row>
    <row r="5" spans="1:9" ht="17.100000000000001" customHeight="1">
      <c r="A5" s="677">
        <v>100101</v>
      </c>
      <c r="B5" s="677" t="s">
        <v>3813</v>
      </c>
      <c r="C5" s="678">
        <v>180271841.49000001</v>
      </c>
      <c r="D5" s="679">
        <v>0</v>
      </c>
      <c r="E5" s="678">
        <v>380676040.94999999</v>
      </c>
      <c r="F5" s="678">
        <v>386274570.36000001</v>
      </c>
      <c r="G5" s="678">
        <v>174673312.08000001</v>
      </c>
      <c r="H5" s="679">
        <v>0</v>
      </c>
      <c r="I5" s="677" t="s">
        <v>3814</v>
      </c>
    </row>
    <row r="6" spans="1:9" ht="17.100000000000001" customHeight="1">
      <c r="A6" s="677">
        <v>10010101</v>
      </c>
      <c r="B6" s="677" t="s">
        <v>3813</v>
      </c>
      <c r="C6" s="678">
        <v>180271841.49000001</v>
      </c>
      <c r="D6" s="679">
        <v>0</v>
      </c>
      <c r="E6" s="678">
        <v>380676040.94999999</v>
      </c>
      <c r="F6" s="678">
        <v>386274570.36000001</v>
      </c>
      <c r="G6" s="678">
        <v>174673312.08000001</v>
      </c>
      <c r="H6" s="679">
        <v>0</v>
      </c>
      <c r="I6" s="677" t="s">
        <v>3815</v>
      </c>
    </row>
    <row r="7" spans="1:9" ht="17.100000000000001" customHeight="1">
      <c r="A7" s="677">
        <v>100102</v>
      </c>
      <c r="B7" s="677" t="s">
        <v>600</v>
      </c>
      <c r="C7" s="678">
        <v>15321459.83</v>
      </c>
      <c r="D7" s="679">
        <v>0</v>
      </c>
      <c r="E7" s="678">
        <v>1553779373.28</v>
      </c>
      <c r="F7" s="678">
        <v>1553205754.53</v>
      </c>
      <c r="G7" s="678">
        <v>15895078.58</v>
      </c>
      <c r="H7" s="679">
        <v>0</v>
      </c>
      <c r="I7" s="677" t="s">
        <v>601</v>
      </c>
    </row>
    <row r="8" spans="1:9" ht="17.100000000000001" customHeight="1">
      <c r="A8" s="677">
        <v>10010201</v>
      </c>
      <c r="B8" s="677" t="s">
        <v>600</v>
      </c>
      <c r="C8" s="678">
        <v>15321459.83</v>
      </c>
      <c r="D8" s="679">
        <v>0</v>
      </c>
      <c r="E8" s="678">
        <v>1553779373.28</v>
      </c>
      <c r="F8" s="678">
        <v>1553205754.53</v>
      </c>
      <c r="G8" s="678">
        <v>15895078.58</v>
      </c>
      <c r="H8" s="679">
        <v>0</v>
      </c>
      <c r="I8" s="677" t="s">
        <v>602</v>
      </c>
    </row>
    <row r="9" spans="1:9" ht="17.100000000000001" customHeight="1">
      <c r="A9" s="677">
        <v>100103</v>
      </c>
      <c r="B9" s="677" t="s">
        <v>603</v>
      </c>
      <c r="C9" s="678">
        <v>602333040</v>
      </c>
      <c r="D9" s="679">
        <v>0</v>
      </c>
      <c r="E9" s="678">
        <v>420653730</v>
      </c>
      <c r="F9" s="678">
        <v>386194410</v>
      </c>
      <c r="G9" s="678">
        <v>636792360</v>
      </c>
      <c r="H9" s="679">
        <v>0</v>
      </c>
      <c r="I9" s="677" t="s">
        <v>604</v>
      </c>
    </row>
    <row r="10" spans="1:9" ht="17.100000000000001" customHeight="1">
      <c r="A10" s="677">
        <v>10010301</v>
      </c>
      <c r="B10" s="677" t="s">
        <v>603</v>
      </c>
      <c r="C10" s="678">
        <v>602333040</v>
      </c>
      <c r="D10" s="679">
        <v>0</v>
      </c>
      <c r="E10" s="678">
        <v>420653730</v>
      </c>
      <c r="F10" s="678">
        <v>386194410</v>
      </c>
      <c r="G10" s="678">
        <v>636792360</v>
      </c>
      <c r="H10" s="679">
        <v>0</v>
      </c>
      <c r="I10" s="677" t="s">
        <v>605</v>
      </c>
    </row>
    <row r="11" spans="1:9" ht="17.100000000000001" customHeight="1">
      <c r="A11" s="677">
        <v>100104</v>
      </c>
      <c r="B11" s="677" t="s">
        <v>606</v>
      </c>
      <c r="C11" s="678">
        <v>1744623684.8800001</v>
      </c>
      <c r="D11" s="679">
        <v>0</v>
      </c>
      <c r="E11" s="678">
        <v>1462980909.3599999</v>
      </c>
      <c r="F11" s="678">
        <v>1452504981.4100001</v>
      </c>
      <c r="G11" s="678">
        <v>1755099612.8299999</v>
      </c>
      <c r="H11" s="679">
        <v>0</v>
      </c>
      <c r="I11" s="677" t="s">
        <v>607</v>
      </c>
    </row>
    <row r="12" spans="1:9" ht="17.100000000000001" customHeight="1">
      <c r="A12" s="677">
        <v>10010401</v>
      </c>
      <c r="B12" s="677" t="s">
        <v>606</v>
      </c>
      <c r="C12" s="678">
        <v>1744623684.8800001</v>
      </c>
      <c r="D12" s="679">
        <v>0</v>
      </c>
      <c r="E12" s="678">
        <v>1462980909.3599999</v>
      </c>
      <c r="F12" s="678">
        <v>1452504981.4100001</v>
      </c>
      <c r="G12" s="678">
        <v>1755099612.8299999</v>
      </c>
      <c r="H12" s="679">
        <v>0</v>
      </c>
      <c r="I12" s="677" t="s">
        <v>608</v>
      </c>
    </row>
    <row r="13" spans="1:9" ht="17.100000000000001" customHeight="1">
      <c r="A13" s="677">
        <v>100105</v>
      </c>
      <c r="B13" s="677" t="s">
        <v>3816</v>
      </c>
      <c r="C13" s="679">
        <v>0</v>
      </c>
      <c r="D13" s="679">
        <v>0</v>
      </c>
      <c r="E13" s="678">
        <v>95783100</v>
      </c>
      <c r="F13" s="679">
        <v>0</v>
      </c>
      <c r="G13" s="678">
        <v>95783100</v>
      </c>
      <c r="H13" s="679">
        <v>0</v>
      </c>
      <c r="I13" s="677" t="s">
        <v>3817</v>
      </c>
    </row>
    <row r="14" spans="1:9" ht="17.100000000000001" customHeight="1">
      <c r="A14" s="677">
        <v>10010501</v>
      </c>
      <c r="B14" s="677" t="s">
        <v>3816</v>
      </c>
      <c r="C14" s="679">
        <v>0</v>
      </c>
      <c r="D14" s="679">
        <v>0</v>
      </c>
      <c r="E14" s="678">
        <v>95783100</v>
      </c>
      <c r="F14" s="679">
        <v>0</v>
      </c>
      <c r="G14" s="678">
        <v>95783100</v>
      </c>
      <c r="H14" s="679">
        <v>0</v>
      </c>
      <c r="I14" s="677" t="s">
        <v>3818</v>
      </c>
    </row>
    <row r="15" spans="1:9" ht="17.100000000000001" customHeight="1">
      <c r="A15" s="677">
        <v>100106</v>
      </c>
      <c r="B15" s="677" t="s">
        <v>3819</v>
      </c>
      <c r="C15" s="678">
        <v>-78242.399999999994</v>
      </c>
      <c r="D15" s="679">
        <v>0</v>
      </c>
      <c r="E15" s="678">
        <v>133664.6</v>
      </c>
      <c r="F15" s="678">
        <v>41763</v>
      </c>
      <c r="G15" s="678">
        <v>13659.2</v>
      </c>
      <c r="H15" s="679">
        <v>0</v>
      </c>
      <c r="I15" s="677" t="s">
        <v>3820</v>
      </c>
    </row>
    <row r="16" spans="1:9" ht="17.100000000000001" customHeight="1">
      <c r="A16" s="677">
        <v>10010601</v>
      </c>
      <c r="B16" s="677" t="s">
        <v>3819</v>
      </c>
      <c r="C16" s="678">
        <v>-78242.399999999994</v>
      </c>
      <c r="D16" s="679">
        <v>0</v>
      </c>
      <c r="E16" s="678">
        <v>133664.6</v>
      </c>
      <c r="F16" s="678">
        <v>41763</v>
      </c>
      <c r="G16" s="678">
        <v>13659.2</v>
      </c>
      <c r="H16" s="679">
        <v>0</v>
      </c>
      <c r="I16" s="677" t="s">
        <v>3821</v>
      </c>
    </row>
    <row r="17" spans="1:9" ht="17.100000000000001" customHeight="1">
      <c r="A17" s="677">
        <v>1002</v>
      </c>
      <c r="B17" s="677" t="s">
        <v>609</v>
      </c>
      <c r="C17" s="678">
        <v>65249834751.099998</v>
      </c>
      <c r="D17" s="679">
        <v>0</v>
      </c>
      <c r="E17" s="678">
        <v>840142402.48000002</v>
      </c>
      <c r="F17" s="678">
        <v>2807836.75</v>
      </c>
      <c r="G17" s="678">
        <v>66087169316.830002</v>
      </c>
      <c r="H17" s="679">
        <v>0</v>
      </c>
      <c r="I17" s="677" t="s">
        <v>610</v>
      </c>
    </row>
    <row r="18" spans="1:9" ht="17.100000000000001" customHeight="1">
      <c r="A18" s="677">
        <v>100201</v>
      </c>
      <c r="B18" s="677" t="s">
        <v>611</v>
      </c>
      <c r="C18" s="678">
        <v>64097948846.279999</v>
      </c>
      <c r="D18" s="679">
        <v>0</v>
      </c>
      <c r="E18" s="678">
        <v>840142402.48000002</v>
      </c>
      <c r="F18" s="678">
        <v>2807836.75</v>
      </c>
      <c r="G18" s="678">
        <v>64935283412.010002</v>
      </c>
      <c r="H18" s="679">
        <v>0</v>
      </c>
      <c r="I18" s="677" t="s">
        <v>612</v>
      </c>
    </row>
    <row r="19" spans="1:9" ht="17.100000000000001" customHeight="1">
      <c r="A19" s="677">
        <v>10020101</v>
      </c>
      <c r="B19" s="677" t="s">
        <v>611</v>
      </c>
      <c r="C19" s="678">
        <v>64097948846.279999</v>
      </c>
      <c r="D19" s="679">
        <v>0</v>
      </c>
      <c r="E19" s="678">
        <v>840142402.48000002</v>
      </c>
      <c r="F19" s="678">
        <v>2807836.75</v>
      </c>
      <c r="G19" s="678">
        <v>64935283412.010002</v>
      </c>
      <c r="H19" s="679">
        <v>0</v>
      </c>
      <c r="I19" s="677" t="s">
        <v>613</v>
      </c>
    </row>
    <row r="20" spans="1:9" ht="17.100000000000001" customHeight="1">
      <c r="A20" s="677">
        <v>100202</v>
      </c>
      <c r="B20" s="677" t="s">
        <v>614</v>
      </c>
      <c r="C20" s="678">
        <v>1069672000</v>
      </c>
      <c r="D20" s="679">
        <v>0</v>
      </c>
      <c r="E20" s="679">
        <v>0</v>
      </c>
      <c r="F20" s="679">
        <v>0</v>
      </c>
      <c r="G20" s="678">
        <v>1069672000</v>
      </c>
      <c r="H20" s="679">
        <v>0</v>
      </c>
      <c r="I20" s="677" t="s">
        <v>615</v>
      </c>
    </row>
    <row r="21" spans="1:9" ht="17.100000000000001" customHeight="1">
      <c r="A21" s="677">
        <v>10020201</v>
      </c>
      <c r="B21" s="677" t="s">
        <v>614</v>
      </c>
      <c r="C21" s="678">
        <v>1069672000</v>
      </c>
      <c r="D21" s="679">
        <v>0</v>
      </c>
      <c r="E21" s="679">
        <v>0</v>
      </c>
      <c r="F21" s="679">
        <v>0</v>
      </c>
      <c r="G21" s="678">
        <v>1069672000</v>
      </c>
      <c r="H21" s="679">
        <v>0</v>
      </c>
      <c r="I21" s="677" t="s">
        <v>616</v>
      </c>
    </row>
    <row r="22" spans="1:9" ht="17.100000000000001" customHeight="1">
      <c r="A22" s="677">
        <v>100299</v>
      </c>
      <c r="B22" s="677" t="s">
        <v>617</v>
      </c>
      <c r="C22" s="678">
        <v>82213904.819999993</v>
      </c>
      <c r="D22" s="679">
        <v>0</v>
      </c>
      <c r="E22" s="679">
        <v>0</v>
      </c>
      <c r="F22" s="679">
        <v>0</v>
      </c>
      <c r="G22" s="678">
        <v>82213904.819999993</v>
      </c>
      <c r="H22" s="679">
        <v>0</v>
      </c>
      <c r="I22" s="677" t="s">
        <v>618</v>
      </c>
    </row>
    <row r="23" spans="1:9" ht="17.100000000000001" customHeight="1">
      <c r="A23" s="677">
        <v>10029999</v>
      </c>
      <c r="B23" s="677" t="s">
        <v>617</v>
      </c>
      <c r="C23" s="678">
        <v>82213904.819999993</v>
      </c>
      <c r="D23" s="679">
        <v>0</v>
      </c>
      <c r="E23" s="679">
        <v>0</v>
      </c>
      <c r="F23" s="679">
        <v>0</v>
      </c>
      <c r="G23" s="678">
        <v>82213904.819999993</v>
      </c>
      <c r="H23" s="679">
        <v>0</v>
      </c>
      <c r="I23" s="677" t="s">
        <v>619</v>
      </c>
    </row>
    <row r="24" spans="1:9" ht="17.100000000000001" customHeight="1">
      <c r="A24" s="677">
        <v>1004</v>
      </c>
      <c r="B24" s="677" t="s">
        <v>620</v>
      </c>
      <c r="C24" s="678">
        <v>2187881000</v>
      </c>
      <c r="D24" s="679">
        <v>0</v>
      </c>
      <c r="E24" s="679">
        <v>0</v>
      </c>
      <c r="F24" s="679">
        <v>0</v>
      </c>
      <c r="G24" s="678">
        <v>2187881000</v>
      </c>
      <c r="H24" s="679">
        <v>0</v>
      </c>
      <c r="I24" s="677" t="s">
        <v>621</v>
      </c>
    </row>
    <row r="25" spans="1:9" ht="17.100000000000001" customHeight="1">
      <c r="A25" s="677">
        <v>100401</v>
      </c>
      <c r="B25" s="677" t="s">
        <v>620</v>
      </c>
      <c r="C25" s="678">
        <v>2187881000</v>
      </c>
      <c r="D25" s="679">
        <v>0</v>
      </c>
      <c r="E25" s="679">
        <v>0</v>
      </c>
      <c r="F25" s="679">
        <v>0</v>
      </c>
      <c r="G25" s="678">
        <v>2187881000</v>
      </c>
      <c r="H25" s="679">
        <v>0</v>
      </c>
      <c r="I25" s="677" t="s">
        <v>622</v>
      </c>
    </row>
    <row r="26" spans="1:9" ht="17.100000000000001" customHeight="1">
      <c r="A26" s="677">
        <v>10040101</v>
      </c>
      <c r="B26" s="677" t="s">
        <v>620</v>
      </c>
      <c r="C26" s="678">
        <v>2187881000</v>
      </c>
      <c r="D26" s="679">
        <v>0</v>
      </c>
      <c r="E26" s="679">
        <v>0</v>
      </c>
      <c r="F26" s="679">
        <v>0</v>
      </c>
      <c r="G26" s="678">
        <v>2187881000</v>
      </c>
      <c r="H26" s="679">
        <v>0</v>
      </c>
      <c r="I26" s="677" t="s">
        <v>623</v>
      </c>
    </row>
    <row r="27" spans="1:9" ht="17.100000000000001" customHeight="1">
      <c r="A27" s="680">
        <v>1011</v>
      </c>
      <c r="B27" s="680" t="s">
        <v>624</v>
      </c>
      <c r="C27" s="681">
        <v>9995150314.5799999</v>
      </c>
      <c r="D27" s="682">
        <v>0</v>
      </c>
      <c r="E27" s="681">
        <v>2449289692</v>
      </c>
      <c r="F27" s="681">
        <v>2669573656.5900002</v>
      </c>
      <c r="G27" s="681">
        <v>9774866349.9899998</v>
      </c>
      <c r="H27" s="679">
        <v>0</v>
      </c>
      <c r="I27" s="677" t="s">
        <v>625</v>
      </c>
    </row>
    <row r="28" spans="1:9" ht="17.100000000000001" customHeight="1">
      <c r="A28" s="677">
        <v>101102</v>
      </c>
      <c r="B28" s="677" t="s">
        <v>626</v>
      </c>
      <c r="C28" s="678">
        <v>9471447429.5799999</v>
      </c>
      <c r="D28" s="679">
        <v>0</v>
      </c>
      <c r="E28" s="678">
        <v>2233973068.0700002</v>
      </c>
      <c r="F28" s="678">
        <v>2348176296.9200001</v>
      </c>
      <c r="G28" s="678">
        <v>9357244200.7299995</v>
      </c>
      <c r="H28" s="679">
        <v>0</v>
      </c>
      <c r="I28" s="677" t="s">
        <v>627</v>
      </c>
    </row>
    <row r="29" spans="1:9" ht="17.100000000000001" customHeight="1">
      <c r="A29" s="677">
        <v>10110201</v>
      </c>
      <c r="B29" s="677" t="s">
        <v>2583</v>
      </c>
      <c r="C29" s="678">
        <v>2696330756.1700001</v>
      </c>
      <c r="D29" s="679">
        <v>0</v>
      </c>
      <c r="E29" s="678">
        <v>2233770845.52</v>
      </c>
      <c r="F29" s="678">
        <v>2347120983.1500001</v>
      </c>
      <c r="G29" s="678">
        <v>2582980618.54</v>
      </c>
      <c r="H29" s="679">
        <v>0</v>
      </c>
      <c r="I29" s="677" t="s">
        <v>628</v>
      </c>
    </row>
    <row r="30" spans="1:9" ht="17.100000000000001" customHeight="1">
      <c r="A30" s="677">
        <v>10110202</v>
      </c>
      <c r="B30" s="677" t="s">
        <v>2584</v>
      </c>
      <c r="C30" s="678">
        <v>6660044922.9899998</v>
      </c>
      <c r="D30" s="679">
        <v>0</v>
      </c>
      <c r="E30" s="679">
        <v>0</v>
      </c>
      <c r="F30" s="679">
        <v>0</v>
      </c>
      <c r="G30" s="678">
        <v>6660044922.9899998</v>
      </c>
      <c r="H30" s="679">
        <v>0</v>
      </c>
      <c r="I30" s="677" t="s">
        <v>629</v>
      </c>
    </row>
    <row r="31" spans="1:9" ht="17.100000000000001" customHeight="1">
      <c r="A31" s="677">
        <v>10110299</v>
      </c>
      <c r="B31" s="677" t="s">
        <v>630</v>
      </c>
      <c r="C31" s="678">
        <v>115071750.42</v>
      </c>
      <c r="D31" s="679">
        <v>0</v>
      </c>
      <c r="E31" s="678">
        <v>202222.55</v>
      </c>
      <c r="F31" s="678">
        <v>1055313.77</v>
      </c>
      <c r="G31" s="678">
        <v>114218659.2</v>
      </c>
      <c r="H31" s="679">
        <v>0</v>
      </c>
      <c r="I31" s="677" t="s">
        <v>631</v>
      </c>
    </row>
    <row r="32" spans="1:9" ht="17.100000000000001" customHeight="1">
      <c r="A32" s="677">
        <v>101104</v>
      </c>
      <c r="B32" s="677" t="s">
        <v>2759</v>
      </c>
      <c r="C32" s="678">
        <v>523402885</v>
      </c>
      <c r="D32" s="679">
        <v>0</v>
      </c>
      <c r="E32" s="678">
        <v>215316623.93000001</v>
      </c>
      <c r="F32" s="678">
        <v>321397359.67000002</v>
      </c>
      <c r="G32" s="678">
        <v>417322149.25999999</v>
      </c>
      <c r="H32" s="679">
        <v>0</v>
      </c>
      <c r="I32" s="677" t="s">
        <v>632</v>
      </c>
    </row>
    <row r="33" spans="1:9" ht="17.100000000000001" customHeight="1">
      <c r="A33" s="677">
        <v>10110401</v>
      </c>
      <c r="B33" s="677" t="s">
        <v>2760</v>
      </c>
      <c r="C33" s="678">
        <v>523402885</v>
      </c>
      <c r="D33" s="679">
        <v>0</v>
      </c>
      <c r="E33" s="678">
        <v>215316623.93000001</v>
      </c>
      <c r="F33" s="678">
        <v>321397359.67000002</v>
      </c>
      <c r="G33" s="678">
        <v>417322149.25999999</v>
      </c>
      <c r="H33" s="679">
        <v>0</v>
      </c>
      <c r="I33" s="677" t="s">
        <v>633</v>
      </c>
    </row>
    <row r="34" spans="1:9" ht="17.100000000000001" customHeight="1">
      <c r="A34" s="677">
        <v>101115</v>
      </c>
      <c r="B34" s="677" t="s">
        <v>2761</v>
      </c>
      <c r="C34" s="678">
        <v>300000</v>
      </c>
      <c r="D34" s="679">
        <v>0</v>
      </c>
      <c r="E34" s="679">
        <v>0</v>
      </c>
      <c r="F34" s="679">
        <v>0</v>
      </c>
      <c r="G34" s="678">
        <v>300000</v>
      </c>
      <c r="H34" s="679">
        <v>0</v>
      </c>
      <c r="I34" s="677" t="s">
        <v>2762</v>
      </c>
    </row>
    <row r="35" spans="1:9" ht="17.100000000000001" customHeight="1">
      <c r="A35" s="677">
        <v>10111501</v>
      </c>
      <c r="B35" s="677" t="s">
        <v>3363</v>
      </c>
      <c r="C35" s="678">
        <v>300000</v>
      </c>
      <c r="D35" s="679">
        <v>0</v>
      </c>
      <c r="E35" s="679">
        <v>0</v>
      </c>
      <c r="F35" s="679">
        <v>0</v>
      </c>
      <c r="G35" s="678">
        <v>300000</v>
      </c>
      <c r="H35" s="679">
        <v>0</v>
      </c>
      <c r="I35" s="677" t="s">
        <v>3364</v>
      </c>
    </row>
    <row r="36" spans="1:9" ht="17.100000000000001" customHeight="1">
      <c r="A36" s="680">
        <v>1012</v>
      </c>
      <c r="B36" s="680" t="s">
        <v>634</v>
      </c>
      <c r="C36" s="681">
        <v>278173775.56999999</v>
      </c>
      <c r="D36" s="682">
        <v>0</v>
      </c>
      <c r="E36" s="681">
        <v>1165002545.29</v>
      </c>
      <c r="F36" s="681">
        <v>1186576682.8299999</v>
      </c>
      <c r="G36" s="681">
        <v>256599638.03</v>
      </c>
      <c r="H36" s="679">
        <v>0</v>
      </c>
      <c r="I36" s="677" t="s">
        <v>635</v>
      </c>
    </row>
    <row r="37" spans="1:9" ht="28.5" customHeight="1">
      <c r="A37" s="320"/>
      <c r="B37" s="320"/>
      <c r="C37" s="320"/>
      <c r="D37" s="557" t="s">
        <v>4317</v>
      </c>
      <c r="E37" s="320" t="s">
        <v>3716</v>
      </c>
      <c r="F37" s="320"/>
      <c r="G37" s="320"/>
      <c r="H37" s="320"/>
      <c r="I37" s="320"/>
    </row>
    <row r="38" spans="1:9">
      <c r="A38" s="671"/>
      <c r="B38" s="671"/>
      <c r="C38" s="671"/>
      <c r="D38" s="671"/>
      <c r="E38" s="671"/>
      <c r="F38" s="671"/>
      <c r="G38" s="671"/>
      <c r="H38" s="671"/>
      <c r="I38" s="671"/>
    </row>
    <row r="39" spans="1:9" ht="22.5">
      <c r="A39" s="320"/>
      <c r="B39" s="320"/>
      <c r="C39" s="672" t="s">
        <v>4316</v>
      </c>
      <c r="D39" s="320"/>
      <c r="E39" s="320"/>
      <c r="F39" s="671"/>
      <c r="G39" s="671"/>
      <c r="H39" s="671"/>
      <c r="I39" s="671"/>
    </row>
    <row r="40" spans="1:9" ht="14.25">
      <c r="A40" s="673" t="s">
        <v>3708</v>
      </c>
      <c r="B40" s="673"/>
      <c r="C40" s="683">
        <v>42551</v>
      </c>
      <c r="D40" s="673"/>
      <c r="E40" s="557" t="s">
        <v>3709</v>
      </c>
      <c r="F40" s="671"/>
      <c r="G40" s="671"/>
      <c r="H40" s="671"/>
      <c r="I40" s="671"/>
    </row>
    <row r="41" spans="1:9" ht="28.5" customHeight="1">
      <c r="A41" s="676" t="s">
        <v>596</v>
      </c>
      <c r="B41" s="676" t="s">
        <v>597</v>
      </c>
      <c r="C41" s="676" t="s">
        <v>3710</v>
      </c>
      <c r="D41" s="676" t="s">
        <v>3711</v>
      </c>
      <c r="E41" s="676" t="s">
        <v>3712</v>
      </c>
      <c r="F41" s="676" t="s">
        <v>3713</v>
      </c>
      <c r="G41" s="676" t="s">
        <v>3714</v>
      </c>
      <c r="H41" s="676" t="s">
        <v>3715</v>
      </c>
      <c r="I41" s="676" t="s">
        <v>596</v>
      </c>
    </row>
    <row r="42" spans="1:9" ht="17.100000000000001" customHeight="1">
      <c r="A42" s="677">
        <v>101201</v>
      </c>
      <c r="B42" s="677" t="s">
        <v>636</v>
      </c>
      <c r="C42" s="678">
        <v>249397743.58000001</v>
      </c>
      <c r="D42" s="679">
        <v>0</v>
      </c>
      <c r="E42" s="678">
        <v>190082314.40000001</v>
      </c>
      <c r="F42" s="678">
        <v>190000000</v>
      </c>
      <c r="G42" s="678">
        <v>249480057.97999999</v>
      </c>
      <c r="H42" s="679">
        <v>0</v>
      </c>
      <c r="I42" s="677" t="s">
        <v>637</v>
      </c>
    </row>
    <row r="43" spans="1:9" ht="17.100000000000001" customHeight="1">
      <c r="A43" s="677">
        <v>10120101</v>
      </c>
      <c r="B43" s="677" t="s">
        <v>638</v>
      </c>
      <c r="C43" s="678">
        <v>249397743.58000001</v>
      </c>
      <c r="D43" s="679">
        <v>0</v>
      </c>
      <c r="E43" s="678">
        <v>190082314.40000001</v>
      </c>
      <c r="F43" s="678">
        <v>190000000</v>
      </c>
      <c r="G43" s="678">
        <v>249480057.97999999</v>
      </c>
      <c r="H43" s="679">
        <v>0</v>
      </c>
      <c r="I43" s="677" t="s">
        <v>639</v>
      </c>
    </row>
    <row r="44" spans="1:9" ht="17.100000000000001" customHeight="1">
      <c r="A44" s="677">
        <v>101204</v>
      </c>
      <c r="B44" s="677" t="s">
        <v>3826</v>
      </c>
      <c r="C44" s="678">
        <v>28776031.989999998</v>
      </c>
      <c r="D44" s="679">
        <v>0</v>
      </c>
      <c r="E44" s="678">
        <v>974920230.88999999</v>
      </c>
      <c r="F44" s="678">
        <v>996576682.83000004</v>
      </c>
      <c r="G44" s="678">
        <v>7119580.0499999998</v>
      </c>
      <c r="H44" s="679">
        <v>0</v>
      </c>
      <c r="I44" s="677" t="s">
        <v>3827</v>
      </c>
    </row>
    <row r="45" spans="1:9" ht="17.100000000000001" customHeight="1">
      <c r="A45" s="677">
        <v>10120401</v>
      </c>
      <c r="B45" s="677" t="s">
        <v>3826</v>
      </c>
      <c r="C45" s="678">
        <v>28776031.989999998</v>
      </c>
      <c r="D45" s="679">
        <v>0</v>
      </c>
      <c r="E45" s="678">
        <v>974920230.88999999</v>
      </c>
      <c r="F45" s="678">
        <v>996576682.83000004</v>
      </c>
      <c r="G45" s="678">
        <v>7119580.0499999998</v>
      </c>
      <c r="H45" s="679">
        <v>0</v>
      </c>
      <c r="I45" s="677" t="s">
        <v>3828</v>
      </c>
    </row>
    <row r="46" spans="1:9" ht="17.100000000000001" customHeight="1">
      <c r="A46" s="677">
        <v>1013</v>
      </c>
      <c r="B46" s="677" t="s">
        <v>640</v>
      </c>
      <c r="C46" s="678">
        <v>1846030099.99</v>
      </c>
      <c r="D46" s="679">
        <v>0</v>
      </c>
      <c r="E46" s="678">
        <v>1470653440.01</v>
      </c>
      <c r="F46" s="678">
        <v>620392440</v>
      </c>
      <c r="G46" s="678">
        <v>2696291100</v>
      </c>
      <c r="H46" s="679">
        <v>0</v>
      </c>
      <c r="I46" s="677" t="s">
        <v>641</v>
      </c>
    </row>
    <row r="47" spans="1:9" ht="17.100000000000001" customHeight="1">
      <c r="A47" s="677">
        <v>101302</v>
      </c>
      <c r="B47" s="677" t="s">
        <v>2738</v>
      </c>
      <c r="C47" s="678">
        <v>32895000</v>
      </c>
      <c r="D47" s="679">
        <v>0</v>
      </c>
      <c r="E47" s="678">
        <v>261000</v>
      </c>
      <c r="F47" s="679">
        <v>0</v>
      </c>
      <c r="G47" s="678">
        <v>33156000</v>
      </c>
      <c r="H47" s="679">
        <v>0</v>
      </c>
      <c r="I47" s="677" t="s">
        <v>2763</v>
      </c>
    </row>
    <row r="48" spans="1:9" ht="17.100000000000001" customHeight="1">
      <c r="A48" s="677">
        <v>10130201</v>
      </c>
      <c r="B48" s="677" t="s">
        <v>2738</v>
      </c>
      <c r="C48" s="678">
        <v>32895000</v>
      </c>
      <c r="D48" s="679">
        <v>0</v>
      </c>
      <c r="E48" s="678">
        <v>261000</v>
      </c>
      <c r="F48" s="679">
        <v>0</v>
      </c>
      <c r="G48" s="678">
        <v>33156000</v>
      </c>
      <c r="H48" s="679">
        <v>0</v>
      </c>
      <c r="I48" s="677" t="s">
        <v>2764</v>
      </c>
    </row>
    <row r="49" spans="1:9" ht="17.100000000000001" customHeight="1">
      <c r="A49" s="677">
        <v>101304</v>
      </c>
      <c r="B49" s="677" t="s">
        <v>3951</v>
      </c>
      <c r="C49" s="679">
        <v>-0.01</v>
      </c>
      <c r="D49" s="679">
        <v>0</v>
      </c>
      <c r="E49" s="678">
        <v>192892440.00999999</v>
      </c>
      <c r="F49" s="678">
        <v>192892440</v>
      </c>
      <c r="G49" s="679">
        <v>0</v>
      </c>
      <c r="H49" s="679">
        <v>0</v>
      </c>
      <c r="I49" s="677" t="s">
        <v>3952</v>
      </c>
    </row>
    <row r="50" spans="1:9" ht="17.100000000000001" customHeight="1">
      <c r="A50" s="677">
        <v>10130401</v>
      </c>
      <c r="B50" s="677" t="s">
        <v>3951</v>
      </c>
      <c r="C50" s="679">
        <v>-0.01</v>
      </c>
      <c r="D50" s="679">
        <v>0</v>
      </c>
      <c r="E50" s="678">
        <v>192892440.00999999</v>
      </c>
      <c r="F50" s="678">
        <v>192892440</v>
      </c>
      <c r="G50" s="679">
        <v>0</v>
      </c>
      <c r="H50" s="679">
        <v>0</v>
      </c>
      <c r="I50" s="677" t="s">
        <v>3953</v>
      </c>
    </row>
    <row r="51" spans="1:9" ht="17.100000000000001" customHeight="1">
      <c r="A51" s="677">
        <v>101314</v>
      </c>
      <c r="B51" s="677" t="s">
        <v>4318</v>
      </c>
      <c r="C51" s="678">
        <v>650000000</v>
      </c>
      <c r="D51" s="679">
        <v>0</v>
      </c>
      <c r="E51" s="678">
        <v>1277500000</v>
      </c>
      <c r="F51" s="678">
        <v>427500000</v>
      </c>
      <c r="G51" s="678">
        <v>1500000000</v>
      </c>
      <c r="H51" s="679">
        <v>0</v>
      </c>
      <c r="I51" s="677" t="s">
        <v>4319</v>
      </c>
    </row>
    <row r="52" spans="1:9" ht="17.100000000000001" customHeight="1">
      <c r="A52" s="677">
        <v>10131403</v>
      </c>
      <c r="B52" s="677" t="s">
        <v>4320</v>
      </c>
      <c r="C52" s="678">
        <v>650000000</v>
      </c>
      <c r="D52" s="679">
        <v>0</v>
      </c>
      <c r="E52" s="678">
        <v>1277500000</v>
      </c>
      <c r="F52" s="678">
        <v>427500000</v>
      </c>
      <c r="G52" s="678">
        <v>1500000000</v>
      </c>
      <c r="H52" s="679">
        <v>0</v>
      </c>
      <c r="I52" s="677" t="s">
        <v>4321</v>
      </c>
    </row>
    <row r="53" spans="1:9" ht="17.100000000000001" customHeight="1">
      <c r="A53" s="677">
        <v>101317</v>
      </c>
      <c r="B53" s="677" t="s">
        <v>3420</v>
      </c>
      <c r="C53" s="678">
        <v>250000000</v>
      </c>
      <c r="D53" s="679">
        <v>0</v>
      </c>
      <c r="E53" s="679">
        <v>0</v>
      </c>
      <c r="F53" s="679">
        <v>0</v>
      </c>
      <c r="G53" s="678">
        <v>250000000</v>
      </c>
      <c r="H53" s="679">
        <v>0</v>
      </c>
      <c r="I53" s="677" t="s">
        <v>3421</v>
      </c>
    </row>
    <row r="54" spans="1:9" ht="17.100000000000001" customHeight="1">
      <c r="A54" s="677">
        <v>10131703</v>
      </c>
      <c r="B54" s="677" t="s">
        <v>3422</v>
      </c>
      <c r="C54" s="678">
        <v>250000000</v>
      </c>
      <c r="D54" s="679">
        <v>0</v>
      </c>
      <c r="E54" s="679">
        <v>0</v>
      </c>
      <c r="F54" s="679">
        <v>0</v>
      </c>
      <c r="G54" s="678">
        <v>250000000</v>
      </c>
      <c r="H54" s="679">
        <v>0</v>
      </c>
      <c r="I54" s="677" t="s">
        <v>3423</v>
      </c>
    </row>
    <row r="55" spans="1:9" ht="17.100000000000001" customHeight="1">
      <c r="A55" s="677">
        <v>101399</v>
      </c>
      <c r="B55" s="677" t="s">
        <v>2765</v>
      </c>
      <c r="C55" s="678">
        <v>913135100</v>
      </c>
      <c r="D55" s="679">
        <v>0</v>
      </c>
      <c r="E55" s="679">
        <v>0</v>
      </c>
      <c r="F55" s="679">
        <v>0</v>
      </c>
      <c r="G55" s="678">
        <v>913135100</v>
      </c>
      <c r="H55" s="679">
        <v>0</v>
      </c>
      <c r="I55" s="677" t="s">
        <v>642</v>
      </c>
    </row>
    <row r="56" spans="1:9" ht="17.100000000000001" customHeight="1">
      <c r="A56" s="677">
        <v>10139999</v>
      </c>
      <c r="B56" s="677" t="s">
        <v>2765</v>
      </c>
      <c r="C56" s="678">
        <v>913135100</v>
      </c>
      <c r="D56" s="679">
        <v>0</v>
      </c>
      <c r="E56" s="679">
        <v>0</v>
      </c>
      <c r="F56" s="679">
        <v>0</v>
      </c>
      <c r="G56" s="678">
        <v>913135100</v>
      </c>
      <c r="H56" s="679">
        <v>0</v>
      </c>
      <c r="I56" s="677" t="s">
        <v>643</v>
      </c>
    </row>
    <row r="57" spans="1:9" ht="17.100000000000001" customHeight="1">
      <c r="A57" s="677">
        <v>1031</v>
      </c>
      <c r="B57" s="677" t="s">
        <v>644</v>
      </c>
      <c r="C57" s="678">
        <v>1300000</v>
      </c>
      <c r="D57" s="679">
        <v>0</v>
      </c>
      <c r="E57" s="679">
        <v>0</v>
      </c>
      <c r="F57" s="679">
        <v>0</v>
      </c>
      <c r="G57" s="678">
        <v>1300000</v>
      </c>
      <c r="H57" s="679">
        <v>0</v>
      </c>
      <c r="I57" s="677" t="s">
        <v>645</v>
      </c>
    </row>
    <row r="58" spans="1:9" ht="17.100000000000001" customHeight="1">
      <c r="A58" s="677">
        <v>103101</v>
      </c>
      <c r="B58" s="677" t="s">
        <v>644</v>
      </c>
      <c r="C58" s="678">
        <v>1300000</v>
      </c>
      <c r="D58" s="679">
        <v>0</v>
      </c>
      <c r="E58" s="679">
        <v>0</v>
      </c>
      <c r="F58" s="679">
        <v>0</v>
      </c>
      <c r="G58" s="678">
        <v>1300000</v>
      </c>
      <c r="H58" s="679">
        <v>0</v>
      </c>
      <c r="I58" s="677" t="s">
        <v>646</v>
      </c>
    </row>
    <row r="59" spans="1:9" ht="17.100000000000001" customHeight="1">
      <c r="A59" s="677">
        <v>10310101</v>
      </c>
      <c r="B59" s="677" t="s">
        <v>644</v>
      </c>
      <c r="C59" s="678">
        <v>1300000</v>
      </c>
      <c r="D59" s="679">
        <v>0</v>
      </c>
      <c r="E59" s="679">
        <v>0</v>
      </c>
      <c r="F59" s="679">
        <v>0</v>
      </c>
      <c r="G59" s="678">
        <v>1300000</v>
      </c>
      <c r="H59" s="679">
        <v>0</v>
      </c>
      <c r="I59" s="677" t="s">
        <v>647</v>
      </c>
    </row>
    <row r="60" spans="1:9" ht="17.100000000000001" customHeight="1">
      <c r="A60" s="677">
        <v>1101</v>
      </c>
      <c r="B60" s="677" t="s">
        <v>648</v>
      </c>
      <c r="C60" s="678">
        <v>28346665960</v>
      </c>
      <c r="D60" s="679">
        <v>0</v>
      </c>
      <c r="E60" s="678">
        <v>687750</v>
      </c>
      <c r="F60" s="678">
        <v>497427570</v>
      </c>
      <c r="G60" s="678">
        <v>27849926140</v>
      </c>
      <c r="H60" s="679">
        <v>0</v>
      </c>
      <c r="I60" s="677" t="s">
        <v>649</v>
      </c>
    </row>
    <row r="61" spans="1:9" ht="17.100000000000001" customHeight="1">
      <c r="A61" s="677">
        <v>110101</v>
      </c>
      <c r="B61" s="677" t="s">
        <v>650</v>
      </c>
      <c r="C61" s="678">
        <v>6902191440</v>
      </c>
      <c r="D61" s="679">
        <v>0</v>
      </c>
      <c r="E61" s="678">
        <v>336290</v>
      </c>
      <c r="F61" s="678">
        <v>844830</v>
      </c>
      <c r="G61" s="678">
        <v>6901682900</v>
      </c>
      <c r="H61" s="679">
        <v>0</v>
      </c>
      <c r="I61" s="677" t="s">
        <v>651</v>
      </c>
    </row>
    <row r="62" spans="1:9" ht="17.100000000000001" customHeight="1">
      <c r="A62" s="677">
        <v>11010101</v>
      </c>
      <c r="B62" s="677" t="s">
        <v>652</v>
      </c>
      <c r="C62" s="678">
        <v>7114029248.3699999</v>
      </c>
      <c r="D62" s="679">
        <v>0</v>
      </c>
      <c r="E62" s="679">
        <v>0</v>
      </c>
      <c r="F62" s="679">
        <v>0</v>
      </c>
      <c r="G62" s="678">
        <v>7114029248.3699999</v>
      </c>
      <c r="H62" s="679">
        <v>0</v>
      </c>
      <c r="I62" s="677" t="s">
        <v>653</v>
      </c>
    </row>
    <row r="63" spans="1:9" ht="17.100000000000001" customHeight="1">
      <c r="A63" s="677">
        <v>11010102</v>
      </c>
      <c r="B63" s="677" t="s">
        <v>654</v>
      </c>
      <c r="C63" s="679">
        <v>0</v>
      </c>
      <c r="D63" s="678">
        <v>211837808.37</v>
      </c>
      <c r="E63" s="678">
        <v>336290</v>
      </c>
      <c r="F63" s="678">
        <v>844830</v>
      </c>
      <c r="G63" s="679">
        <v>0</v>
      </c>
      <c r="H63" s="678">
        <v>212346348.37</v>
      </c>
      <c r="I63" s="677" t="s">
        <v>655</v>
      </c>
    </row>
    <row r="64" spans="1:9" ht="17.100000000000001" customHeight="1">
      <c r="A64" s="680">
        <v>110199</v>
      </c>
      <c r="B64" s="680" t="s">
        <v>656</v>
      </c>
      <c r="C64" s="681">
        <v>21444474520</v>
      </c>
      <c r="D64" s="682">
        <v>0</v>
      </c>
      <c r="E64" s="681">
        <v>351460</v>
      </c>
      <c r="F64" s="681">
        <v>496582740</v>
      </c>
      <c r="G64" s="681">
        <v>20948243240</v>
      </c>
      <c r="H64" s="682">
        <v>0</v>
      </c>
      <c r="I64" s="680" t="s">
        <v>657</v>
      </c>
    </row>
    <row r="65" spans="1:9" ht="17.100000000000001" customHeight="1">
      <c r="A65" s="677">
        <v>11019901</v>
      </c>
      <c r="B65" s="677" t="s">
        <v>658</v>
      </c>
      <c r="C65" s="678">
        <v>21465438920</v>
      </c>
      <c r="D65" s="679">
        <v>0</v>
      </c>
      <c r="E65" s="679">
        <v>0</v>
      </c>
      <c r="F65" s="678">
        <v>496324500</v>
      </c>
      <c r="G65" s="678">
        <v>20969114420</v>
      </c>
      <c r="H65" s="679">
        <v>0</v>
      </c>
      <c r="I65" s="677" t="s">
        <v>659</v>
      </c>
    </row>
    <row r="66" spans="1:9" ht="17.100000000000001" customHeight="1">
      <c r="A66" s="677">
        <v>11019902</v>
      </c>
      <c r="B66" s="677" t="s">
        <v>2766</v>
      </c>
      <c r="C66" s="679">
        <v>0</v>
      </c>
      <c r="D66" s="678">
        <v>20964400</v>
      </c>
      <c r="E66" s="678">
        <v>351460</v>
      </c>
      <c r="F66" s="678">
        <v>258240</v>
      </c>
      <c r="G66" s="679">
        <v>0</v>
      </c>
      <c r="H66" s="678">
        <v>20871180</v>
      </c>
      <c r="I66" s="677" t="s">
        <v>2767</v>
      </c>
    </row>
    <row r="67" spans="1:9" ht="17.100000000000001" customHeight="1">
      <c r="A67" s="677">
        <v>1111</v>
      </c>
      <c r="B67" s="677" t="s">
        <v>660</v>
      </c>
      <c r="C67" s="678">
        <v>47829736485.400002</v>
      </c>
      <c r="D67" s="679">
        <v>0</v>
      </c>
      <c r="E67" s="678">
        <v>12128402122.51</v>
      </c>
      <c r="F67" s="678">
        <v>25507606320.810001</v>
      </c>
      <c r="G67" s="678">
        <v>34450532287.099998</v>
      </c>
      <c r="H67" s="679">
        <v>0</v>
      </c>
      <c r="I67" s="677" t="s">
        <v>661</v>
      </c>
    </row>
    <row r="68" spans="1:9" ht="17.100000000000001" customHeight="1">
      <c r="A68" s="677">
        <v>111102</v>
      </c>
      <c r="B68" s="677" t="s">
        <v>662</v>
      </c>
      <c r="C68" s="678">
        <v>34709358600</v>
      </c>
      <c r="D68" s="679">
        <v>0</v>
      </c>
      <c r="E68" s="678">
        <v>3497800000</v>
      </c>
      <c r="F68" s="678">
        <v>20358255000</v>
      </c>
      <c r="G68" s="678">
        <v>17848903600</v>
      </c>
      <c r="H68" s="679">
        <v>0</v>
      </c>
      <c r="I68" s="677" t="s">
        <v>663</v>
      </c>
    </row>
    <row r="69" spans="1:9" ht="17.100000000000001" customHeight="1">
      <c r="A69" s="677">
        <v>11110201</v>
      </c>
      <c r="B69" s="677" t="s">
        <v>664</v>
      </c>
      <c r="C69" s="678">
        <v>34709358600</v>
      </c>
      <c r="D69" s="679">
        <v>0</v>
      </c>
      <c r="E69" s="678">
        <v>3497800000</v>
      </c>
      <c r="F69" s="678">
        <v>20358255000</v>
      </c>
      <c r="G69" s="678">
        <v>17848903600</v>
      </c>
      <c r="H69" s="679">
        <v>0</v>
      </c>
      <c r="I69" s="677" t="s">
        <v>665</v>
      </c>
    </row>
    <row r="70" spans="1:9" ht="17.100000000000001" customHeight="1">
      <c r="A70" s="677">
        <v>111103</v>
      </c>
      <c r="B70" s="677" t="s">
        <v>666</v>
      </c>
      <c r="C70" s="678">
        <v>4476424482.25</v>
      </c>
      <c r="D70" s="679">
        <v>0</v>
      </c>
      <c r="E70" s="678">
        <v>12055653.07</v>
      </c>
      <c r="F70" s="679">
        <v>0</v>
      </c>
      <c r="G70" s="678">
        <v>4488480135.3199997</v>
      </c>
      <c r="H70" s="679">
        <v>0</v>
      </c>
      <c r="I70" s="677" t="s">
        <v>667</v>
      </c>
    </row>
    <row r="71" spans="1:9" ht="17.100000000000001" customHeight="1">
      <c r="A71" s="677">
        <v>11110301</v>
      </c>
      <c r="B71" s="677" t="s">
        <v>668</v>
      </c>
      <c r="C71" s="678">
        <v>4496594835.5799999</v>
      </c>
      <c r="D71" s="679">
        <v>0</v>
      </c>
      <c r="E71" s="679">
        <v>0</v>
      </c>
      <c r="F71" s="679">
        <v>0</v>
      </c>
      <c r="G71" s="678">
        <v>4496594835.5799999</v>
      </c>
      <c r="H71" s="679">
        <v>0</v>
      </c>
      <c r="I71" s="677" t="s">
        <v>669</v>
      </c>
    </row>
    <row r="72" spans="1:9" ht="17.100000000000001" customHeight="1">
      <c r="A72" s="677">
        <v>11110302</v>
      </c>
      <c r="B72" s="677" t="s">
        <v>670</v>
      </c>
      <c r="C72" s="679">
        <v>0</v>
      </c>
      <c r="D72" s="678">
        <v>20170353.329999998</v>
      </c>
      <c r="E72" s="678">
        <v>12055653.07</v>
      </c>
      <c r="F72" s="679">
        <v>0</v>
      </c>
      <c r="G72" s="679">
        <v>0</v>
      </c>
      <c r="H72" s="678">
        <v>8114700.2599999998</v>
      </c>
      <c r="I72" s="677" t="s">
        <v>671</v>
      </c>
    </row>
    <row r="73" spans="1:9" ht="17.100000000000001" customHeight="1">
      <c r="A73" s="677">
        <v>111104</v>
      </c>
      <c r="B73" s="677" t="s">
        <v>672</v>
      </c>
      <c r="C73" s="678">
        <v>8643953403.1499996</v>
      </c>
      <c r="D73" s="679">
        <v>0</v>
      </c>
      <c r="E73" s="678">
        <v>8618546469.4400005</v>
      </c>
      <c r="F73" s="678">
        <v>5149351320.8100004</v>
      </c>
      <c r="G73" s="678">
        <v>12113148551.780001</v>
      </c>
      <c r="H73" s="679">
        <v>0</v>
      </c>
      <c r="I73" s="677" t="s">
        <v>673</v>
      </c>
    </row>
    <row r="74" spans="1:9" ht="17.100000000000001" customHeight="1">
      <c r="A74" s="677">
        <v>11110401</v>
      </c>
      <c r="B74" s="677" t="s">
        <v>2768</v>
      </c>
      <c r="C74" s="678">
        <v>483179459.48000002</v>
      </c>
      <c r="D74" s="679">
        <v>0</v>
      </c>
      <c r="E74" s="678">
        <v>1039066497.3099999</v>
      </c>
      <c r="F74" s="678">
        <v>223846195.65000001</v>
      </c>
      <c r="G74" s="678">
        <v>1298399761.1400001</v>
      </c>
      <c r="H74" s="679">
        <v>0</v>
      </c>
      <c r="I74" s="677" t="s">
        <v>2769</v>
      </c>
    </row>
    <row r="75" spans="1:9" ht="17.100000000000001" customHeight="1">
      <c r="A75" s="677">
        <v>11110402</v>
      </c>
      <c r="B75" s="677" t="s">
        <v>2770</v>
      </c>
      <c r="C75" s="678">
        <v>6882534377.9200001</v>
      </c>
      <c r="D75" s="679">
        <v>0</v>
      </c>
      <c r="E75" s="678">
        <v>7579479972.1300001</v>
      </c>
      <c r="F75" s="678">
        <v>3647265559.4099998</v>
      </c>
      <c r="G75" s="678">
        <v>10814748790.639999</v>
      </c>
      <c r="H75" s="679">
        <v>0</v>
      </c>
      <c r="I75" s="677" t="s">
        <v>2771</v>
      </c>
    </row>
    <row r="76" spans="1:9" ht="28.5" customHeight="1">
      <c r="A76" s="320"/>
      <c r="B76" s="320"/>
      <c r="C76" s="320"/>
      <c r="D76" s="557" t="s">
        <v>4317</v>
      </c>
      <c r="E76" s="320" t="s">
        <v>3717</v>
      </c>
      <c r="F76" s="320"/>
      <c r="G76" s="320"/>
      <c r="H76" s="320"/>
      <c r="I76" s="320"/>
    </row>
    <row r="77" spans="1:9">
      <c r="A77" s="671"/>
      <c r="B77" s="671"/>
      <c r="C77" s="671"/>
      <c r="D77" s="671"/>
      <c r="E77" s="671"/>
      <c r="F77" s="671"/>
      <c r="G77" s="671"/>
      <c r="H77" s="671"/>
      <c r="I77" s="671"/>
    </row>
    <row r="78" spans="1:9" ht="22.5">
      <c r="A78" s="320"/>
      <c r="B78" s="320"/>
      <c r="C78" s="672" t="s">
        <v>4316</v>
      </c>
      <c r="D78" s="320"/>
      <c r="E78" s="320"/>
      <c r="F78" s="671"/>
      <c r="G78" s="671"/>
      <c r="H78" s="671"/>
      <c r="I78" s="671"/>
    </row>
    <row r="79" spans="1:9" ht="14.25">
      <c r="A79" s="673" t="s">
        <v>3708</v>
      </c>
      <c r="B79" s="673"/>
      <c r="C79" s="683">
        <v>42551</v>
      </c>
      <c r="D79" s="673"/>
      <c r="E79" s="557" t="s">
        <v>3709</v>
      </c>
      <c r="F79" s="671"/>
      <c r="G79" s="671"/>
      <c r="H79" s="671"/>
      <c r="I79" s="671"/>
    </row>
    <row r="80" spans="1:9" ht="28.5" customHeight="1">
      <c r="A80" s="676" t="s">
        <v>596</v>
      </c>
      <c r="B80" s="676" t="s">
        <v>597</v>
      </c>
      <c r="C80" s="676" t="s">
        <v>3710</v>
      </c>
      <c r="D80" s="676" t="s">
        <v>3711</v>
      </c>
      <c r="E80" s="676" t="s">
        <v>3712</v>
      </c>
      <c r="F80" s="676" t="s">
        <v>3713</v>
      </c>
      <c r="G80" s="676" t="s">
        <v>3714</v>
      </c>
      <c r="H80" s="676" t="s">
        <v>3715</v>
      </c>
      <c r="I80" s="676" t="s">
        <v>596</v>
      </c>
    </row>
    <row r="81" spans="1:9" ht="17.100000000000001" customHeight="1">
      <c r="A81" s="677">
        <v>11110403</v>
      </c>
      <c r="B81" s="677" t="s">
        <v>3829</v>
      </c>
      <c r="C81" s="678">
        <v>1177040497.26</v>
      </c>
      <c r="D81" s="679">
        <v>0</v>
      </c>
      <c r="E81" s="679">
        <v>0</v>
      </c>
      <c r="F81" s="678">
        <v>1177040497.26</v>
      </c>
      <c r="G81" s="679">
        <v>0</v>
      </c>
      <c r="H81" s="679">
        <v>0</v>
      </c>
      <c r="I81" s="677" t="s">
        <v>3830</v>
      </c>
    </row>
    <row r="82" spans="1:9" ht="17.100000000000001" customHeight="1">
      <c r="A82" s="677">
        <v>11110406</v>
      </c>
      <c r="B82" s="677" t="s">
        <v>3831</v>
      </c>
      <c r="C82" s="678">
        <v>101199068.48999999</v>
      </c>
      <c r="D82" s="679">
        <v>0</v>
      </c>
      <c r="E82" s="679">
        <v>0</v>
      </c>
      <c r="F82" s="678">
        <v>101199068.48999999</v>
      </c>
      <c r="G82" s="679">
        <v>0</v>
      </c>
      <c r="H82" s="679">
        <v>0</v>
      </c>
      <c r="I82" s="677" t="s">
        <v>3832</v>
      </c>
    </row>
    <row r="83" spans="1:9" ht="17.100000000000001" customHeight="1">
      <c r="A83" s="677">
        <v>1132</v>
      </c>
      <c r="B83" s="677" t="s">
        <v>674</v>
      </c>
      <c r="C83" s="678">
        <v>3073471757.1399999</v>
      </c>
      <c r="D83" s="679">
        <v>0</v>
      </c>
      <c r="E83" s="678">
        <v>596808388.74000001</v>
      </c>
      <c r="F83" s="678">
        <v>8691350.4800000004</v>
      </c>
      <c r="G83" s="678">
        <v>3661588795.4000001</v>
      </c>
      <c r="H83" s="679">
        <v>0</v>
      </c>
      <c r="I83" s="677" t="s">
        <v>675</v>
      </c>
    </row>
    <row r="84" spans="1:9" ht="17.100000000000001" customHeight="1">
      <c r="A84" s="677">
        <v>113201</v>
      </c>
      <c r="B84" s="677" t="s">
        <v>676</v>
      </c>
      <c r="C84" s="678">
        <v>14798.5</v>
      </c>
      <c r="D84" s="679">
        <v>0</v>
      </c>
      <c r="E84" s="678">
        <v>24213399.890000001</v>
      </c>
      <c r="F84" s="679">
        <v>0</v>
      </c>
      <c r="G84" s="678">
        <v>24228198.390000001</v>
      </c>
      <c r="H84" s="679">
        <v>0</v>
      </c>
      <c r="I84" s="677" t="s">
        <v>677</v>
      </c>
    </row>
    <row r="85" spans="1:9" ht="17.100000000000001" customHeight="1">
      <c r="A85" s="677">
        <v>11320101</v>
      </c>
      <c r="B85" s="677" t="s">
        <v>678</v>
      </c>
      <c r="C85" s="679">
        <v>0</v>
      </c>
      <c r="D85" s="679">
        <v>0</v>
      </c>
      <c r="E85" s="678">
        <v>24211755.609999999</v>
      </c>
      <c r="F85" s="679">
        <v>0</v>
      </c>
      <c r="G85" s="678">
        <v>24211755.609999999</v>
      </c>
      <c r="H85" s="679">
        <v>0</v>
      </c>
      <c r="I85" s="677" t="s">
        <v>679</v>
      </c>
    </row>
    <row r="86" spans="1:9" ht="17.100000000000001" customHeight="1">
      <c r="A86" s="677">
        <v>11320199</v>
      </c>
      <c r="B86" s="677" t="s">
        <v>680</v>
      </c>
      <c r="C86" s="678">
        <v>14798.5</v>
      </c>
      <c r="D86" s="679">
        <v>0</v>
      </c>
      <c r="E86" s="678">
        <v>1644.28</v>
      </c>
      <c r="F86" s="679">
        <v>0</v>
      </c>
      <c r="G86" s="678">
        <v>16442.78</v>
      </c>
      <c r="H86" s="679">
        <v>0</v>
      </c>
      <c r="I86" s="677" t="s">
        <v>681</v>
      </c>
    </row>
    <row r="87" spans="1:9" ht="17.100000000000001" customHeight="1">
      <c r="A87" s="677">
        <v>113202</v>
      </c>
      <c r="B87" s="677" t="s">
        <v>682</v>
      </c>
      <c r="C87" s="678">
        <v>60065.84</v>
      </c>
      <c r="D87" s="679">
        <v>0</v>
      </c>
      <c r="E87" s="678">
        <v>4989.6000000000004</v>
      </c>
      <c r="F87" s="679">
        <v>0</v>
      </c>
      <c r="G87" s="678">
        <v>65055.44</v>
      </c>
      <c r="H87" s="679">
        <v>0</v>
      </c>
      <c r="I87" s="677" t="s">
        <v>683</v>
      </c>
    </row>
    <row r="88" spans="1:9" ht="17.100000000000001" customHeight="1">
      <c r="A88" s="677">
        <v>11320201</v>
      </c>
      <c r="B88" s="677" t="s">
        <v>684</v>
      </c>
      <c r="C88" s="678">
        <v>60065.84</v>
      </c>
      <c r="D88" s="679">
        <v>0</v>
      </c>
      <c r="E88" s="678">
        <v>4989.6000000000004</v>
      </c>
      <c r="F88" s="679">
        <v>0</v>
      </c>
      <c r="G88" s="678">
        <v>65055.44</v>
      </c>
      <c r="H88" s="679">
        <v>0</v>
      </c>
      <c r="I88" s="677" t="s">
        <v>685</v>
      </c>
    </row>
    <row r="89" spans="1:9" ht="17.100000000000001" customHeight="1">
      <c r="A89" s="677">
        <v>113203</v>
      </c>
      <c r="B89" s="677" t="s">
        <v>686</v>
      </c>
      <c r="C89" s="678">
        <v>76556442.599999994</v>
      </c>
      <c r="D89" s="679">
        <v>0</v>
      </c>
      <c r="E89" s="678">
        <v>743243.77</v>
      </c>
      <c r="F89" s="678">
        <v>1345.41</v>
      </c>
      <c r="G89" s="678">
        <v>77298340.959999993</v>
      </c>
      <c r="H89" s="679">
        <v>0</v>
      </c>
      <c r="I89" s="677" t="s">
        <v>687</v>
      </c>
    </row>
    <row r="90" spans="1:9" ht="17.100000000000001" customHeight="1">
      <c r="A90" s="677">
        <v>11320302</v>
      </c>
      <c r="B90" s="677" t="s">
        <v>2586</v>
      </c>
      <c r="C90" s="678">
        <v>104203.7</v>
      </c>
      <c r="D90" s="679">
        <v>0</v>
      </c>
      <c r="E90" s="678">
        <v>13204.87</v>
      </c>
      <c r="F90" s="678">
        <v>1345.41</v>
      </c>
      <c r="G90" s="678">
        <v>116063.16</v>
      </c>
      <c r="H90" s="679">
        <v>0</v>
      </c>
      <c r="I90" s="677" t="s">
        <v>688</v>
      </c>
    </row>
    <row r="91" spans="1:9" ht="17.100000000000001" customHeight="1">
      <c r="A91" s="677">
        <v>11320304</v>
      </c>
      <c r="B91" s="677" t="s">
        <v>2587</v>
      </c>
      <c r="C91" s="678">
        <v>76452238.900000006</v>
      </c>
      <c r="D91" s="679">
        <v>0</v>
      </c>
      <c r="E91" s="678">
        <v>730038.9</v>
      </c>
      <c r="F91" s="679">
        <v>0</v>
      </c>
      <c r="G91" s="678">
        <v>77182277.799999997</v>
      </c>
      <c r="H91" s="679">
        <v>0</v>
      </c>
      <c r="I91" s="677" t="s">
        <v>2588</v>
      </c>
    </row>
    <row r="92" spans="1:9" ht="17.100000000000001" customHeight="1">
      <c r="A92" s="677">
        <v>113205</v>
      </c>
      <c r="B92" s="677" t="s">
        <v>2589</v>
      </c>
      <c r="C92" s="678">
        <v>665745.27</v>
      </c>
      <c r="D92" s="679">
        <v>0</v>
      </c>
      <c r="E92" s="678">
        <v>257973.85</v>
      </c>
      <c r="F92" s="678">
        <v>19166.669999999998</v>
      </c>
      <c r="G92" s="678">
        <v>904552.45</v>
      </c>
      <c r="H92" s="679">
        <v>0</v>
      </c>
      <c r="I92" s="677" t="s">
        <v>689</v>
      </c>
    </row>
    <row r="93" spans="1:9" ht="17.100000000000001" customHeight="1">
      <c r="A93" s="677">
        <v>11320502</v>
      </c>
      <c r="B93" s="677" t="s">
        <v>3833</v>
      </c>
      <c r="C93" s="678">
        <v>110536.92</v>
      </c>
      <c r="D93" s="679">
        <v>0</v>
      </c>
      <c r="E93" s="678">
        <v>1654.43</v>
      </c>
      <c r="F93" s="679">
        <v>0</v>
      </c>
      <c r="G93" s="678">
        <v>112191.35</v>
      </c>
      <c r="H93" s="679">
        <v>0</v>
      </c>
      <c r="I93" s="677" t="s">
        <v>3834</v>
      </c>
    </row>
    <row r="94" spans="1:9" ht="17.100000000000001" customHeight="1">
      <c r="A94" s="677">
        <v>11320525</v>
      </c>
      <c r="B94" s="677" t="s">
        <v>4322</v>
      </c>
      <c r="C94" s="678">
        <v>180555.57</v>
      </c>
      <c r="D94" s="679">
        <v>0</v>
      </c>
      <c r="E94" s="678">
        <v>227499.98</v>
      </c>
      <c r="F94" s="678">
        <v>19166.669999999998</v>
      </c>
      <c r="G94" s="678">
        <v>388888.88</v>
      </c>
      <c r="H94" s="679">
        <v>0</v>
      </c>
      <c r="I94" s="677" t="s">
        <v>4323</v>
      </c>
    </row>
    <row r="95" spans="1:9" ht="17.100000000000001" customHeight="1">
      <c r="A95" s="677">
        <v>11320531</v>
      </c>
      <c r="B95" s="677" t="s">
        <v>3424</v>
      </c>
      <c r="C95" s="678">
        <v>374652.78</v>
      </c>
      <c r="D95" s="679">
        <v>0</v>
      </c>
      <c r="E95" s="678">
        <v>28819.439999999999</v>
      </c>
      <c r="F95" s="679">
        <v>0</v>
      </c>
      <c r="G95" s="678">
        <v>403472.22</v>
      </c>
      <c r="H95" s="679">
        <v>0</v>
      </c>
      <c r="I95" s="677" t="s">
        <v>3425</v>
      </c>
    </row>
    <row r="96" spans="1:9" ht="17.100000000000001" customHeight="1">
      <c r="A96" s="677">
        <v>113207</v>
      </c>
      <c r="B96" s="677" t="s">
        <v>690</v>
      </c>
      <c r="C96" s="678">
        <v>278237905.60000002</v>
      </c>
      <c r="D96" s="679">
        <v>0</v>
      </c>
      <c r="E96" s="679">
        <v>0</v>
      </c>
      <c r="F96" s="678">
        <v>3675500</v>
      </c>
      <c r="G96" s="678">
        <v>274562405.60000002</v>
      </c>
      <c r="H96" s="679">
        <v>0</v>
      </c>
      <c r="I96" s="677" t="s">
        <v>691</v>
      </c>
    </row>
    <row r="97" spans="1:9" ht="17.100000000000001" customHeight="1">
      <c r="A97" s="677">
        <v>11320701</v>
      </c>
      <c r="B97" s="677" t="s">
        <v>692</v>
      </c>
      <c r="C97" s="678">
        <v>101480696.89</v>
      </c>
      <c r="D97" s="679">
        <v>0</v>
      </c>
      <c r="E97" s="679">
        <v>0</v>
      </c>
      <c r="F97" s="679">
        <v>0</v>
      </c>
      <c r="G97" s="678">
        <v>101480696.89</v>
      </c>
      <c r="H97" s="679">
        <v>0</v>
      </c>
      <c r="I97" s="677" t="s">
        <v>693</v>
      </c>
    </row>
    <row r="98" spans="1:9" ht="17.100000000000001" customHeight="1">
      <c r="A98" s="677">
        <v>11320799</v>
      </c>
      <c r="B98" s="677" t="s">
        <v>694</v>
      </c>
      <c r="C98" s="678">
        <v>176757208.71000001</v>
      </c>
      <c r="D98" s="679">
        <v>0</v>
      </c>
      <c r="E98" s="679">
        <v>0</v>
      </c>
      <c r="F98" s="678">
        <v>3675500</v>
      </c>
      <c r="G98" s="678">
        <v>173081708.71000001</v>
      </c>
      <c r="H98" s="679">
        <v>0</v>
      </c>
      <c r="I98" s="677" t="s">
        <v>695</v>
      </c>
    </row>
    <row r="99" spans="1:9" ht="17.100000000000001" customHeight="1">
      <c r="A99" s="677">
        <v>113208</v>
      </c>
      <c r="B99" s="677" t="s">
        <v>696</v>
      </c>
      <c r="C99" s="678">
        <v>7017994</v>
      </c>
      <c r="D99" s="679">
        <v>0</v>
      </c>
      <c r="E99" s="678">
        <v>66986.3</v>
      </c>
      <c r="F99" s="678">
        <v>1575073.69</v>
      </c>
      <c r="G99" s="678">
        <v>5509906.6100000003</v>
      </c>
      <c r="H99" s="679">
        <v>0</v>
      </c>
      <c r="I99" s="677" t="s">
        <v>697</v>
      </c>
    </row>
    <row r="100" spans="1:9" ht="17.100000000000001" customHeight="1">
      <c r="A100" s="677">
        <v>11320801</v>
      </c>
      <c r="B100" s="677" t="s">
        <v>698</v>
      </c>
      <c r="C100" s="678">
        <v>5974111.1699999999</v>
      </c>
      <c r="D100" s="679">
        <v>0</v>
      </c>
      <c r="E100" s="678">
        <v>66986.3</v>
      </c>
      <c r="F100" s="678">
        <v>1237597.47</v>
      </c>
      <c r="G100" s="678">
        <v>4803500</v>
      </c>
      <c r="H100" s="679">
        <v>0</v>
      </c>
      <c r="I100" s="677" t="s">
        <v>699</v>
      </c>
    </row>
    <row r="101" spans="1:9" ht="17.100000000000001" customHeight="1">
      <c r="A101" s="677">
        <v>11320802</v>
      </c>
      <c r="B101" s="677" t="s">
        <v>700</v>
      </c>
      <c r="C101" s="678">
        <v>1043882.83</v>
      </c>
      <c r="D101" s="679">
        <v>0</v>
      </c>
      <c r="E101" s="679">
        <v>0</v>
      </c>
      <c r="F101" s="678">
        <v>337476.22</v>
      </c>
      <c r="G101" s="678">
        <v>706406.61</v>
      </c>
      <c r="H101" s="679">
        <v>0</v>
      </c>
      <c r="I101" s="677" t="s">
        <v>701</v>
      </c>
    </row>
    <row r="102" spans="1:9" ht="17.100000000000001" customHeight="1">
      <c r="A102" s="677">
        <v>113209</v>
      </c>
      <c r="B102" s="677" t="s">
        <v>3426</v>
      </c>
      <c r="C102" s="679">
        <v>0</v>
      </c>
      <c r="D102" s="679">
        <v>0</v>
      </c>
      <c r="E102" s="678">
        <v>84682.3</v>
      </c>
      <c r="F102" s="679">
        <v>0</v>
      </c>
      <c r="G102" s="678">
        <v>84682.3</v>
      </c>
      <c r="H102" s="679">
        <v>0</v>
      </c>
      <c r="I102" s="677" t="s">
        <v>3427</v>
      </c>
    </row>
    <row r="103" spans="1:9" ht="17.100000000000001" customHeight="1">
      <c r="A103" s="677">
        <v>11320901</v>
      </c>
      <c r="B103" s="677" t="s">
        <v>3426</v>
      </c>
      <c r="C103" s="679">
        <v>0</v>
      </c>
      <c r="D103" s="679">
        <v>0</v>
      </c>
      <c r="E103" s="678">
        <v>84682.3</v>
      </c>
      <c r="F103" s="679">
        <v>0</v>
      </c>
      <c r="G103" s="678">
        <v>84682.3</v>
      </c>
      <c r="H103" s="679">
        <v>0</v>
      </c>
      <c r="I103" s="677" t="s">
        <v>3428</v>
      </c>
    </row>
    <row r="104" spans="1:9" ht="17.100000000000001" customHeight="1">
      <c r="A104" s="677">
        <v>113210</v>
      </c>
      <c r="B104" s="677" t="s">
        <v>702</v>
      </c>
      <c r="C104" s="678">
        <v>62710661.57</v>
      </c>
      <c r="D104" s="679">
        <v>0</v>
      </c>
      <c r="E104" s="678">
        <v>483322429.63</v>
      </c>
      <c r="F104" s="678">
        <v>4712937.57</v>
      </c>
      <c r="G104" s="678">
        <v>541320153.63</v>
      </c>
      <c r="H104" s="679">
        <v>0</v>
      </c>
      <c r="I104" s="677" t="s">
        <v>703</v>
      </c>
    </row>
    <row r="105" spans="1:9" ht="17.100000000000001" customHeight="1">
      <c r="A105" s="677">
        <v>11321001</v>
      </c>
      <c r="B105" s="677" t="s">
        <v>2656</v>
      </c>
      <c r="C105" s="678">
        <v>1287.05</v>
      </c>
      <c r="D105" s="679">
        <v>0</v>
      </c>
      <c r="E105" s="678">
        <v>2705.88</v>
      </c>
      <c r="F105" s="679">
        <v>0</v>
      </c>
      <c r="G105" s="678">
        <v>3992.93</v>
      </c>
      <c r="H105" s="679">
        <v>0</v>
      </c>
      <c r="I105" s="677" t="s">
        <v>2657</v>
      </c>
    </row>
    <row r="106" spans="1:9" ht="17.100000000000001" customHeight="1">
      <c r="A106" s="677">
        <v>11321002</v>
      </c>
      <c r="B106" s="677" t="s">
        <v>704</v>
      </c>
      <c r="C106" s="679">
        <v>0</v>
      </c>
      <c r="D106" s="679">
        <v>0</v>
      </c>
      <c r="E106" s="678">
        <v>105873.72</v>
      </c>
      <c r="F106" s="679">
        <v>188.9</v>
      </c>
      <c r="G106" s="678">
        <v>105684.82</v>
      </c>
      <c r="H106" s="679">
        <v>0</v>
      </c>
      <c r="I106" s="677" t="s">
        <v>705</v>
      </c>
    </row>
    <row r="107" spans="1:9" ht="17.100000000000001" customHeight="1">
      <c r="A107" s="677">
        <v>11321003</v>
      </c>
      <c r="B107" s="677" t="s">
        <v>706</v>
      </c>
      <c r="C107" s="679">
        <v>632.17999999999995</v>
      </c>
      <c r="D107" s="679">
        <v>0</v>
      </c>
      <c r="E107" s="678">
        <v>3102.53</v>
      </c>
      <c r="F107" s="679">
        <v>0</v>
      </c>
      <c r="G107" s="678">
        <v>3734.71</v>
      </c>
      <c r="H107" s="679">
        <v>0</v>
      </c>
      <c r="I107" s="677" t="s">
        <v>707</v>
      </c>
    </row>
    <row r="108" spans="1:9" ht="17.100000000000001" customHeight="1">
      <c r="A108" s="677">
        <v>11321004</v>
      </c>
      <c r="B108" s="677" t="s">
        <v>708</v>
      </c>
      <c r="C108" s="678">
        <v>19715.400000000001</v>
      </c>
      <c r="D108" s="679">
        <v>0</v>
      </c>
      <c r="E108" s="678">
        <v>185615.06</v>
      </c>
      <c r="F108" s="679">
        <v>163.80000000000001</v>
      </c>
      <c r="G108" s="678">
        <v>205166.66</v>
      </c>
      <c r="H108" s="679">
        <v>0</v>
      </c>
      <c r="I108" s="677" t="s">
        <v>709</v>
      </c>
    </row>
    <row r="109" spans="1:9" ht="17.100000000000001" customHeight="1">
      <c r="A109" s="677">
        <v>11321005</v>
      </c>
      <c r="B109" s="677" t="s">
        <v>710</v>
      </c>
      <c r="C109" s="679">
        <v>511.08</v>
      </c>
      <c r="D109" s="679">
        <v>0</v>
      </c>
      <c r="E109" s="678">
        <v>3979750.36</v>
      </c>
      <c r="F109" s="678">
        <v>24607.94</v>
      </c>
      <c r="G109" s="678">
        <v>3955653.5</v>
      </c>
      <c r="H109" s="679">
        <v>0</v>
      </c>
      <c r="I109" s="677" t="s">
        <v>711</v>
      </c>
    </row>
    <row r="110" spans="1:9" ht="17.100000000000001" customHeight="1">
      <c r="A110" s="677">
        <v>11321006</v>
      </c>
      <c r="B110" s="677" t="s">
        <v>712</v>
      </c>
      <c r="C110" s="679">
        <v>0</v>
      </c>
      <c r="D110" s="679">
        <v>0</v>
      </c>
      <c r="E110" s="678">
        <v>803813.03</v>
      </c>
      <c r="F110" s="678">
        <v>1469.78</v>
      </c>
      <c r="G110" s="678">
        <v>802343.25</v>
      </c>
      <c r="H110" s="679">
        <v>0</v>
      </c>
      <c r="I110" s="677" t="s">
        <v>713</v>
      </c>
    </row>
    <row r="111" spans="1:9" ht="17.100000000000001" customHeight="1">
      <c r="A111" s="677">
        <v>11321007</v>
      </c>
      <c r="B111" s="677" t="s">
        <v>714</v>
      </c>
      <c r="C111" s="679">
        <v>0</v>
      </c>
      <c r="D111" s="679">
        <v>0</v>
      </c>
      <c r="E111" s="678">
        <v>8198.06</v>
      </c>
      <c r="F111" s="679">
        <v>3.8</v>
      </c>
      <c r="G111" s="678">
        <v>8194.26</v>
      </c>
      <c r="H111" s="679">
        <v>0</v>
      </c>
      <c r="I111" s="677" t="s">
        <v>715</v>
      </c>
    </row>
    <row r="112" spans="1:9" ht="17.100000000000001" customHeight="1">
      <c r="A112" s="677">
        <v>11321008</v>
      </c>
      <c r="B112" s="677" t="s">
        <v>2658</v>
      </c>
      <c r="C112" s="679">
        <v>8.3800000000000008</v>
      </c>
      <c r="D112" s="679">
        <v>0</v>
      </c>
      <c r="E112" s="678">
        <v>10781.75</v>
      </c>
      <c r="F112" s="679">
        <v>0</v>
      </c>
      <c r="G112" s="678">
        <v>10790.13</v>
      </c>
      <c r="H112" s="679">
        <v>0</v>
      </c>
      <c r="I112" s="677" t="s">
        <v>2659</v>
      </c>
    </row>
    <row r="113" spans="1:9" ht="17.100000000000001" customHeight="1">
      <c r="A113" s="677">
        <v>11321010</v>
      </c>
      <c r="B113" s="677" t="s">
        <v>716</v>
      </c>
      <c r="C113" s="678">
        <v>232359.81</v>
      </c>
      <c r="D113" s="679">
        <v>0</v>
      </c>
      <c r="E113" s="678">
        <v>6095189.1500000004</v>
      </c>
      <c r="F113" s="678">
        <v>119697.42</v>
      </c>
      <c r="G113" s="678">
        <v>6207851.54</v>
      </c>
      <c r="H113" s="679">
        <v>0</v>
      </c>
      <c r="I113" s="677" t="s">
        <v>717</v>
      </c>
    </row>
    <row r="114" spans="1:9" ht="17.100000000000001" customHeight="1">
      <c r="A114" s="677">
        <v>11321011</v>
      </c>
      <c r="B114" s="677" t="s">
        <v>718</v>
      </c>
      <c r="C114" s="679">
        <v>0</v>
      </c>
      <c r="D114" s="679">
        <v>0</v>
      </c>
      <c r="E114" s="678">
        <v>10233918.550000001</v>
      </c>
      <c r="F114" s="678">
        <v>93911.78</v>
      </c>
      <c r="G114" s="678">
        <v>10140006.77</v>
      </c>
      <c r="H114" s="679">
        <v>0</v>
      </c>
      <c r="I114" s="677" t="s">
        <v>719</v>
      </c>
    </row>
    <row r="115" spans="1:9" ht="28.5" customHeight="1">
      <c r="A115" s="320"/>
      <c r="B115" s="320"/>
      <c r="C115" s="320"/>
      <c r="D115" s="557" t="s">
        <v>4317</v>
      </c>
      <c r="E115" s="320" t="s">
        <v>3718</v>
      </c>
      <c r="F115" s="320"/>
      <c r="G115" s="320"/>
      <c r="H115" s="320"/>
      <c r="I115" s="320"/>
    </row>
    <row r="116" spans="1:9">
      <c r="A116" s="671"/>
      <c r="B116" s="671"/>
      <c r="C116" s="671"/>
      <c r="D116" s="671"/>
      <c r="E116" s="671"/>
      <c r="F116" s="671"/>
      <c r="G116" s="671"/>
      <c r="H116" s="671"/>
      <c r="I116" s="671"/>
    </row>
    <row r="117" spans="1:9" ht="22.5">
      <c r="A117" s="320"/>
      <c r="B117" s="320"/>
      <c r="C117" s="672" t="s">
        <v>4316</v>
      </c>
      <c r="D117" s="320"/>
      <c r="E117" s="320"/>
      <c r="F117" s="671"/>
      <c r="G117" s="671"/>
      <c r="H117" s="671"/>
      <c r="I117" s="671"/>
    </row>
    <row r="118" spans="1:9" ht="14.25">
      <c r="A118" s="673" t="s">
        <v>3708</v>
      </c>
      <c r="B118" s="673"/>
      <c r="C118" s="683">
        <v>42551</v>
      </c>
      <c r="D118" s="673"/>
      <c r="E118" s="557" t="s">
        <v>3709</v>
      </c>
      <c r="F118" s="671"/>
      <c r="G118" s="671"/>
      <c r="H118" s="671"/>
      <c r="I118" s="671"/>
    </row>
    <row r="119" spans="1:9" ht="28.5" customHeight="1">
      <c r="A119" s="676" t="s">
        <v>596</v>
      </c>
      <c r="B119" s="676" t="s">
        <v>597</v>
      </c>
      <c r="C119" s="676" t="s">
        <v>3710</v>
      </c>
      <c r="D119" s="676" t="s">
        <v>3711</v>
      </c>
      <c r="E119" s="676" t="s">
        <v>3712</v>
      </c>
      <c r="F119" s="676" t="s">
        <v>3713</v>
      </c>
      <c r="G119" s="676" t="s">
        <v>3714</v>
      </c>
      <c r="H119" s="676" t="s">
        <v>3715</v>
      </c>
      <c r="I119" s="676" t="s">
        <v>596</v>
      </c>
    </row>
    <row r="120" spans="1:9" ht="17.100000000000001" customHeight="1">
      <c r="A120" s="677">
        <v>11321012</v>
      </c>
      <c r="B120" s="677" t="s">
        <v>720</v>
      </c>
      <c r="C120" s="679">
        <v>386.89</v>
      </c>
      <c r="D120" s="679">
        <v>0</v>
      </c>
      <c r="E120" s="678">
        <v>12520.78</v>
      </c>
      <c r="F120" s="679">
        <v>0</v>
      </c>
      <c r="G120" s="678">
        <v>12907.67</v>
      </c>
      <c r="H120" s="679">
        <v>0</v>
      </c>
      <c r="I120" s="677" t="s">
        <v>721</v>
      </c>
    </row>
    <row r="121" spans="1:9" ht="17.100000000000001" customHeight="1">
      <c r="A121" s="677">
        <v>11321013</v>
      </c>
      <c r="B121" s="677" t="s">
        <v>722</v>
      </c>
      <c r="C121" s="678">
        <v>7700</v>
      </c>
      <c r="D121" s="679">
        <v>0</v>
      </c>
      <c r="E121" s="679">
        <v>0</v>
      </c>
      <c r="F121" s="679">
        <v>0</v>
      </c>
      <c r="G121" s="678">
        <v>7700</v>
      </c>
      <c r="H121" s="679">
        <v>0</v>
      </c>
      <c r="I121" s="677" t="s">
        <v>723</v>
      </c>
    </row>
    <row r="122" spans="1:9" ht="17.100000000000001" customHeight="1">
      <c r="A122" s="677">
        <v>11321014</v>
      </c>
      <c r="B122" s="677" t="s">
        <v>724</v>
      </c>
      <c r="C122" s="678">
        <v>32130.86</v>
      </c>
      <c r="D122" s="679">
        <v>0</v>
      </c>
      <c r="E122" s="678">
        <v>4879.22</v>
      </c>
      <c r="F122" s="679">
        <v>0</v>
      </c>
      <c r="G122" s="678">
        <v>37010.080000000002</v>
      </c>
      <c r="H122" s="679">
        <v>0</v>
      </c>
      <c r="I122" s="677" t="s">
        <v>725</v>
      </c>
    </row>
    <row r="123" spans="1:9" ht="17.100000000000001" customHeight="1">
      <c r="A123" s="677">
        <v>11321016</v>
      </c>
      <c r="B123" s="677" t="s">
        <v>726</v>
      </c>
      <c r="C123" s="678">
        <v>33693.86</v>
      </c>
      <c r="D123" s="679">
        <v>0</v>
      </c>
      <c r="E123" s="679">
        <v>0</v>
      </c>
      <c r="F123" s="679">
        <v>0</v>
      </c>
      <c r="G123" s="678">
        <v>33693.86</v>
      </c>
      <c r="H123" s="679">
        <v>0</v>
      </c>
      <c r="I123" s="677" t="s">
        <v>727</v>
      </c>
    </row>
    <row r="124" spans="1:9" ht="17.100000000000001" customHeight="1">
      <c r="A124" s="677">
        <v>11321017</v>
      </c>
      <c r="B124" s="677" t="s">
        <v>728</v>
      </c>
      <c r="C124" s="678">
        <v>872129.78</v>
      </c>
      <c r="D124" s="679">
        <v>0</v>
      </c>
      <c r="E124" s="679">
        <v>0</v>
      </c>
      <c r="F124" s="679">
        <v>0</v>
      </c>
      <c r="G124" s="678">
        <v>872129.78</v>
      </c>
      <c r="H124" s="679">
        <v>0</v>
      </c>
      <c r="I124" s="677" t="s">
        <v>729</v>
      </c>
    </row>
    <row r="125" spans="1:9" ht="17.100000000000001" customHeight="1">
      <c r="A125" s="677">
        <v>11321018</v>
      </c>
      <c r="B125" s="677" t="s">
        <v>730</v>
      </c>
      <c r="C125" s="678">
        <v>387711.43</v>
      </c>
      <c r="D125" s="679">
        <v>0</v>
      </c>
      <c r="E125" s="678">
        <v>1795123.05</v>
      </c>
      <c r="F125" s="679">
        <v>0</v>
      </c>
      <c r="G125" s="678">
        <v>2182834.48</v>
      </c>
      <c r="H125" s="679">
        <v>0</v>
      </c>
      <c r="I125" s="677" t="s">
        <v>731</v>
      </c>
    </row>
    <row r="126" spans="1:9" ht="17.100000000000001" customHeight="1">
      <c r="A126" s="677">
        <v>11321019</v>
      </c>
      <c r="B126" s="677" t="s">
        <v>732</v>
      </c>
      <c r="C126" s="678">
        <v>1339139.54</v>
      </c>
      <c r="D126" s="679">
        <v>0</v>
      </c>
      <c r="E126" s="678">
        <v>2724785.43</v>
      </c>
      <c r="F126" s="679">
        <v>0</v>
      </c>
      <c r="G126" s="678">
        <v>4063924.97</v>
      </c>
      <c r="H126" s="679">
        <v>0</v>
      </c>
      <c r="I126" s="677" t="s">
        <v>733</v>
      </c>
    </row>
    <row r="127" spans="1:9" ht="17.100000000000001" customHeight="1">
      <c r="A127" s="677">
        <v>11321020</v>
      </c>
      <c r="B127" s="677" t="s">
        <v>734</v>
      </c>
      <c r="C127" s="679">
        <v>0</v>
      </c>
      <c r="D127" s="679">
        <v>0</v>
      </c>
      <c r="E127" s="678">
        <v>614660.31999999995</v>
      </c>
      <c r="F127" s="679">
        <v>0</v>
      </c>
      <c r="G127" s="678">
        <v>614660.31999999995</v>
      </c>
      <c r="H127" s="679">
        <v>0</v>
      </c>
      <c r="I127" s="677" t="s">
        <v>735</v>
      </c>
    </row>
    <row r="128" spans="1:9" ht="17.100000000000001" customHeight="1">
      <c r="A128" s="677">
        <v>11321021</v>
      </c>
      <c r="B128" s="677" t="s">
        <v>736</v>
      </c>
      <c r="C128" s="678">
        <v>286956.46000000002</v>
      </c>
      <c r="D128" s="679">
        <v>0</v>
      </c>
      <c r="E128" s="678">
        <v>1728494.69</v>
      </c>
      <c r="F128" s="679">
        <v>0</v>
      </c>
      <c r="G128" s="678">
        <v>2015451.15</v>
      </c>
      <c r="H128" s="679">
        <v>0</v>
      </c>
      <c r="I128" s="677" t="s">
        <v>737</v>
      </c>
    </row>
    <row r="129" spans="1:9" ht="17.100000000000001" customHeight="1">
      <c r="A129" s="677">
        <v>11321022</v>
      </c>
      <c r="B129" s="677" t="s">
        <v>738</v>
      </c>
      <c r="C129" s="678">
        <v>578381.01</v>
      </c>
      <c r="D129" s="679">
        <v>0</v>
      </c>
      <c r="E129" s="678">
        <v>1660084.99</v>
      </c>
      <c r="F129" s="679">
        <v>0</v>
      </c>
      <c r="G129" s="678">
        <v>2238466</v>
      </c>
      <c r="H129" s="679">
        <v>0</v>
      </c>
      <c r="I129" s="677" t="s">
        <v>739</v>
      </c>
    </row>
    <row r="130" spans="1:9" ht="17.100000000000001" customHeight="1">
      <c r="A130" s="677">
        <v>11321023</v>
      </c>
      <c r="B130" s="677" t="s">
        <v>740</v>
      </c>
      <c r="C130" s="678">
        <v>298609.26</v>
      </c>
      <c r="D130" s="679">
        <v>0</v>
      </c>
      <c r="E130" s="678">
        <v>742496.8</v>
      </c>
      <c r="F130" s="678">
        <v>1038.6500000000001</v>
      </c>
      <c r="G130" s="678">
        <v>1040067.41</v>
      </c>
      <c r="H130" s="679">
        <v>0</v>
      </c>
      <c r="I130" s="677" t="s">
        <v>741</v>
      </c>
    </row>
    <row r="131" spans="1:9" ht="17.100000000000001" customHeight="1">
      <c r="A131" s="677">
        <v>11321024</v>
      </c>
      <c r="B131" s="677" t="s">
        <v>742</v>
      </c>
      <c r="C131" s="679">
        <v>0</v>
      </c>
      <c r="D131" s="679">
        <v>0</v>
      </c>
      <c r="E131" s="678">
        <v>15518539.6</v>
      </c>
      <c r="F131" s="678">
        <v>52924.84</v>
      </c>
      <c r="G131" s="678">
        <v>15465614.76</v>
      </c>
      <c r="H131" s="679">
        <v>0</v>
      </c>
      <c r="I131" s="677" t="s">
        <v>743</v>
      </c>
    </row>
    <row r="132" spans="1:9" ht="17.100000000000001" customHeight="1">
      <c r="A132" s="677">
        <v>11321025</v>
      </c>
      <c r="B132" s="677" t="s">
        <v>744</v>
      </c>
      <c r="C132" s="679">
        <v>0</v>
      </c>
      <c r="D132" s="679">
        <v>0</v>
      </c>
      <c r="E132" s="678">
        <v>60003197.979999997</v>
      </c>
      <c r="F132" s="678">
        <v>135662.9</v>
      </c>
      <c r="G132" s="678">
        <v>59867535.079999998</v>
      </c>
      <c r="H132" s="679">
        <v>0</v>
      </c>
      <c r="I132" s="677" t="s">
        <v>745</v>
      </c>
    </row>
    <row r="133" spans="1:9" ht="17.100000000000001" customHeight="1">
      <c r="A133" s="677">
        <v>11321026</v>
      </c>
      <c r="B133" s="677" t="s">
        <v>746</v>
      </c>
      <c r="C133" s="678">
        <v>738402.49</v>
      </c>
      <c r="D133" s="679">
        <v>0</v>
      </c>
      <c r="E133" s="678">
        <v>22263798.91</v>
      </c>
      <c r="F133" s="678">
        <v>281393.71000000002</v>
      </c>
      <c r="G133" s="678">
        <v>22720807.690000001</v>
      </c>
      <c r="H133" s="679">
        <v>0</v>
      </c>
      <c r="I133" s="677" t="s">
        <v>747</v>
      </c>
    </row>
    <row r="134" spans="1:9" ht="17.100000000000001" customHeight="1">
      <c r="A134" s="677">
        <v>11321027</v>
      </c>
      <c r="B134" s="677" t="s">
        <v>748</v>
      </c>
      <c r="C134" s="678">
        <v>1201.74</v>
      </c>
      <c r="D134" s="679">
        <v>0</v>
      </c>
      <c r="E134" s="678">
        <v>29554042.920000002</v>
      </c>
      <c r="F134" s="678">
        <v>233609.59</v>
      </c>
      <c r="G134" s="678">
        <v>29321635.07</v>
      </c>
      <c r="H134" s="679">
        <v>0</v>
      </c>
      <c r="I134" s="677" t="s">
        <v>749</v>
      </c>
    </row>
    <row r="135" spans="1:9" ht="17.100000000000001" customHeight="1">
      <c r="A135" s="677">
        <v>11321028</v>
      </c>
      <c r="B135" s="677" t="s">
        <v>750</v>
      </c>
      <c r="C135" s="678">
        <v>1014.41</v>
      </c>
      <c r="D135" s="679">
        <v>0</v>
      </c>
      <c r="E135" s="678">
        <v>266029.18</v>
      </c>
      <c r="F135" s="679">
        <v>0</v>
      </c>
      <c r="G135" s="678">
        <v>267043.59000000003</v>
      </c>
      <c r="H135" s="679">
        <v>0</v>
      </c>
      <c r="I135" s="677" t="s">
        <v>751</v>
      </c>
    </row>
    <row r="136" spans="1:9" ht="17.100000000000001" customHeight="1">
      <c r="A136" s="677">
        <v>11321029</v>
      </c>
      <c r="B136" s="677" t="s">
        <v>752</v>
      </c>
      <c r="C136" s="678">
        <v>42555361.490000002</v>
      </c>
      <c r="D136" s="679">
        <v>0</v>
      </c>
      <c r="E136" s="678">
        <v>104329477.11</v>
      </c>
      <c r="F136" s="678">
        <v>3603004.65</v>
      </c>
      <c r="G136" s="678">
        <v>143281833.94999999</v>
      </c>
      <c r="H136" s="679">
        <v>0</v>
      </c>
      <c r="I136" s="677" t="s">
        <v>753</v>
      </c>
    </row>
    <row r="137" spans="1:9" ht="17.100000000000001" customHeight="1">
      <c r="A137" s="677">
        <v>11321030</v>
      </c>
      <c r="B137" s="677" t="s">
        <v>754</v>
      </c>
      <c r="C137" s="678">
        <v>2103296.98</v>
      </c>
      <c r="D137" s="679">
        <v>0</v>
      </c>
      <c r="E137" s="678">
        <v>111916850.67</v>
      </c>
      <c r="F137" s="678">
        <v>10837.49</v>
      </c>
      <c r="G137" s="678">
        <v>114009310.16</v>
      </c>
      <c r="H137" s="679">
        <v>0</v>
      </c>
      <c r="I137" s="677" t="s">
        <v>755</v>
      </c>
    </row>
    <row r="138" spans="1:9" ht="17.100000000000001" customHeight="1">
      <c r="A138" s="677">
        <v>11321031</v>
      </c>
      <c r="B138" s="677" t="s">
        <v>756</v>
      </c>
      <c r="C138" s="679">
        <v>0</v>
      </c>
      <c r="D138" s="679">
        <v>0</v>
      </c>
      <c r="E138" s="678">
        <v>2154690.0499999998</v>
      </c>
      <c r="F138" s="679">
        <v>0</v>
      </c>
      <c r="G138" s="678">
        <v>2154690.0499999998</v>
      </c>
      <c r="H138" s="679">
        <v>0</v>
      </c>
      <c r="I138" s="677" t="s">
        <v>757</v>
      </c>
    </row>
    <row r="139" spans="1:9" ht="17.100000000000001" customHeight="1">
      <c r="A139" s="677">
        <v>11321032</v>
      </c>
      <c r="B139" s="677" t="s">
        <v>758</v>
      </c>
      <c r="C139" s="678">
        <v>207924.06</v>
      </c>
      <c r="D139" s="679">
        <v>0</v>
      </c>
      <c r="E139" s="678">
        <v>36371098.189999998</v>
      </c>
      <c r="F139" s="678">
        <v>6768.78</v>
      </c>
      <c r="G139" s="678">
        <v>36572253.469999999</v>
      </c>
      <c r="H139" s="679">
        <v>0</v>
      </c>
      <c r="I139" s="677" t="s">
        <v>759</v>
      </c>
    </row>
    <row r="140" spans="1:9" ht="17.100000000000001" customHeight="1">
      <c r="A140" s="677">
        <v>11321033</v>
      </c>
      <c r="B140" s="677" t="s">
        <v>760</v>
      </c>
      <c r="C140" s="678">
        <v>9669542.6199999992</v>
      </c>
      <c r="D140" s="679">
        <v>0</v>
      </c>
      <c r="E140" s="678">
        <v>59631478.710000001</v>
      </c>
      <c r="F140" s="679">
        <v>0</v>
      </c>
      <c r="G140" s="678">
        <v>69301021.329999998</v>
      </c>
      <c r="H140" s="679">
        <v>0</v>
      </c>
      <c r="I140" s="677" t="s">
        <v>761</v>
      </c>
    </row>
    <row r="141" spans="1:9" ht="17.100000000000001" customHeight="1">
      <c r="A141" s="677">
        <v>11321034</v>
      </c>
      <c r="B141" s="677" t="s">
        <v>762</v>
      </c>
      <c r="C141" s="678">
        <v>1931722.58</v>
      </c>
      <c r="D141" s="679">
        <v>0</v>
      </c>
      <c r="E141" s="678">
        <v>7371766.1100000003</v>
      </c>
      <c r="F141" s="678">
        <v>10526.45</v>
      </c>
      <c r="G141" s="678">
        <v>9292962.2400000002</v>
      </c>
      <c r="H141" s="679">
        <v>0</v>
      </c>
      <c r="I141" s="677" t="s">
        <v>763</v>
      </c>
    </row>
    <row r="142" spans="1:9" ht="17.100000000000001" customHeight="1">
      <c r="A142" s="677">
        <v>11321035</v>
      </c>
      <c r="B142" s="677" t="s">
        <v>764</v>
      </c>
      <c r="C142" s="678">
        <v>1407142.91</v>
      </c>
      <c r="D142" s="679">
        <v>0</v>
      </c>
      <c r="E142" s="678">
        <v>2024190.25</v>
      </c>
      <c r="F142" s="678">
        <v>137127.09</v>
      </c>
      <c r="G142" s="678">
        <v>3294206.07</v>
      </c>
      <c r="H142" s="679">
        <v>0</v>
      </c>
      <c r="I142" s="677" t="s">
        <v>765</v>
      </c>
    </row>
    <row r="143" spans="1:9" ht="17.100000000000001" customHeight="1">
      <c r="A143" s="677">
        <v>11321036</v>
      </c>
      <c r="B143" s="677" t="s">
        <v>766</v>
      </c>
      <c r="C143" s="678">
        <v>3699.3</v>
      </c>
      <c r="D143" s="679">
        <v>0</v>
      </c>
      <c r="E143" s="678">
        <v>1205276.58</v>
      </c>
      <c r="F143" s="679">
        <v>0</v>
      </c>
      <c r="G143" s="678">
        <v>1208975.8799999999</v>
      </c>
      <c r="H143" s="679">
        <v>0</v>
      </c>
      <c r="I143" s="677" t="s">
        <v>767</v>
      </c>
    </row>
    <row r="144" spans="1:9" ht="17.100000000000001" customHeight="1">
      <c r="A144" s="677">
        <v>113211</v>
      </c>
      <c r="B144" s="677" t="s">
        <v>768</v>
      </c>
      <c r="C144" s="678">
        <v>124349.93</v>
      </c>
      <c r="D144" s="679">
        <v>0</v>
      </c>
      <c r="E144" s="678">
        <v>118222.3</v>
      </c>
      <c r="F144" s="679">
        <v>0</v>
      </c>
      <c r="G144" s="678">
        <v>242572.23</v>
      </c>
      <c r="H144" s="679">
        <v>0</v>
      </c>
      <c r="I144" s="677" t="s">
        <v>769</v>
      </c>
    </row>
    <row r="145" spans="1:9" ht="17.100000000000001" customHeight="1">
      <c r="A145" s="677">
        <v>11321102</v>
      </c>
      <c r="B145" s="677" t="s">
        <v>770</v>
      </c>
      <c r="C145" s="678">
        <v>18506.11</v>
      </c>
      <c r="D145" s="679">
        <v>0</v>
      </c>
      <c r="E145" s="678">
        <v>12950.31</v>
      </c>
      <c r="F145" s="679">
        <v>0</v>
      </c>
      <c r="G145" s="678">
        <v>31456.42</v>
      </c>
      <c r="H145" s="679">
        <v>0</v>
      </c>
      <c r="I145" s="677" t="s">
        <v>771</v>
      </c>
    </row>
    <row r="146" spans="1:9" ht="17.100000000000001" customHeight="1">
      <c r="A146" s="677">
        <v>11321105</v>
      </c>
      <c r="B146" s="677" t="s">
        <v>772</v>
      </c>
      <c r="C146" s="678">
        <v>61546.42</v>
      </c>
      <c r="D146" s="679">
        <v>0</v>
      </c>
      <c r="E146" s="678">
        <v>55907.85</v>
      </c>
      <c r="F146" s="679">
        <v>0</v>
      </c>
      <c r="G146" s="678">
        <v>117454.27</v>
      </c>
      <c r="H146" s="679">
        <v>0</v>
      </c>
      <c r="I146" s="677" t="s">
        <v>773</v>
      </c>
    </row>
    <row r="147" spans="1:9" ht="17.100000000000001" customHeight="1">
      <c r="A147" s="677">
        <v>11321107</v>
      </c>
      <c r="B147" s="677" t="s">
        <v>774</v>
      </c>
      <c r="C147" s="678">
        <v>44297.4</v>
      </c>
      <c r="D147" s="679">
        <v>0</v>
      </c>
      <c r="E147" s="678">
        <v>49364.14</v>
      </c>
      <c r="F147" s="679">
        <v>0</v>
      </c>
      <c r="G147" s="678">
        <v>93661.54</v>
      </c>
      <c r="H147" s="679">
        <v>0</v>
      </c>
      <c r="I147" s="677" t="s">
        <v>775</v>
      </c>
    </row>
    <row r="148" spans="1:9" ht="17.100000000000001" customHeight="1">
      <c r="A148" s="677">
        <v>113212</v>
      </c>
      <c r="B148" s="677" t="s">
        <v>776</v>
      </c>
      <c r="C148" s="678">
        <v>23741580.559999999</v>
      </c>
      <c r="D148" s="679">
        <v>0</v>
      </c>
      <c r="E148" s="679">
        <v>0</v>
      </c>
      <c r="F148" s="678">
        <v>366608.11</v>
      </c>
      <c r="G148" s="678">
        <v>23374972.449999999</v>
      </c>
      <c r="H148" s="679">
        <v>0</v>
      </c>
      <c r="I148" s="677" t="s">
        <v>777</v>
      </c>
    </row>
    <row r="149" spans="1:9" ht="17.100000000000001" customHeight="1">
      <c r="A149" s="677">
        <v>11321202</v>
      </c>
      <c r="B149" s="677" t="s">
        <v>778</v>
      </c>
      <c r="C149" s="678">
        <v>23741580.559999999</v>
      </c>
      <c r="D149" s="679">
        <v>0</v>
      </c>
      <c r="E149" s="679">
        <v>0</v>
      </c>
      <c r="F149" s="678">
        <v>366608.11</v>
      </c>
      <c r="G149" s="678">
        <v>23374972.449999999</v>
      </c>
      <c r="H149" s="679">
        <v>0</v>
      </c>
      <c r="I149" s="677" t="s">
        <v>779</v>
      </c>
    </row>
    <row r="150" spans="1:9" ht="17.100000000000001" customHeight="1">
      <c r="A150" s="677">
        <v>113213</v>
      </c>
      <c r="B150" s="677" t="s">
        <v>780</v>
      </c>
      <c r="C150" s="678">
        <v>1064697986.92</v>
      </c>
      <c r="D150" s="679">
        <v>0</v>
      </c>
      <c r="E150" s="678">
        <v>154041.76999999999</v>
      </c>
      <c r="F150" s="679">
        <v>0</v>
      </c>
      <c r="G150" s="678">
        <v>1064852028.6900001</v>
      </c>
      <c r="H150" s="679">
        <v>0</v>
      </c>
      <c r="I150" s="677" t="s">
        <v>781</v>
      </c>
    </row>
    <row r="151" spans="1:9" ht="17.100000000000001" customHeight="1">
      <c r="A151" s="677">
        <v>11321301</v>
      </c>
      <c r="B151" s="677" t="s">
        <v>782</v>
      </c>
      <c r="C151" s="678">
        <v>1058989243.75</v>
      </c>
      <c r="D151" s="679">
        <v>0</v>
      </c>
      <c r="E151" s="678">
        <v>154041.76999999999</v>
      </c>
      <c r="F151" s="679">
        <v>0</v>
      </c>
      <c r="G151" s="678">
        <v>1059143285.52</v>
      </c>
      <c r="H151" s="679">
        <v>0</v>
      </c>
      <c r="I151" s="677" t="s">
        <v>783</v>
      </c>
    </row>
    <row r="152" spans="1:9" ht="17.100000000000001" customHeight="1">
      <c r="A152" s="677">
        <v>11321399</v>
      </c>
      <c r="B152" s="677" t="s">
        <v>3835</v>
      </c>
      <c r="C152" s="678">
        <v>5708743.1699999999</v>
      </c>
      <c r="D152" s="679">
        <v>0</v>
      </c>
      <c r="E152" s="679">
        <v>0</v>
      </c>
      <c r="F152" s="679">
        <v>0</v>
      </c>
      <c r="G152" s="678">
        <v>5708743.1699999999</v>
      </c>
      <c r="H152" s="679">
        <v>0</v>
      </c>
      <c r="I152" s="677" t="s">
        <v>3836</v>
      </c>
    </row>
    <row r="153" spans="1:9" ht="17.100000000000001" customHeight="1">
      <c r="A153" s="677">
        <v>113214</v>
      </c>
      <c r="B153" s="677" t="s">
        <v>784</v>
      </c>
      <c r="C153" s="678">
        <v>271868103.67000002</v>
      </c>
      <c r="D153" s="679">
        <v>0</v>
      </c>
      <c r="E153" s="679">
        <v>0</v>
      </c>
      <c r="F153" s="679">
        <v>0</v>
      </c>
      <c r="G153" s="678">
        <v>271868103.67000002</v>
      </c>
      <c r="H153" s="679">
        <v>0</v>
      </c>
      <c r="I153" s="677" t="s">
        <v>785</v>
      </c>
    </row>
    <row r="154" spans="1:9" ht="28.5" customHeight="1">
      <c r="A154" s="320"/>
      <c r="B154" s="320"/>
      <c r="C154" s="320"/>
      <c r="D154" s="557" t="s">
        <v>4317</v>
      </c>
      <c r="E154" s="320" t="s">
        <v>3719</v>
      </c>
      <c r="F154" s="320"/>
      <c r="G154" s="320"/>
      <c r="H154" s="320"/>
      <c r="I154" s="320"/>
    </row>
    <row r="155" spans="1:9">
      <c r="A155" s="671"/>
      <c r="B155" s="671"/>
      <c r="C155" s="671"/>
      <c r="D155" s="671"/>
      <c r="E155" s="671"/>
      <c r="F155" s="671"/>
      <c r="G155" s="671"/>
      <c r="H155" s="671"/>
      <c r="I155" s="671"/>
    </row>
    <row r="156" spans="1:9" ht="22.5">
      <c r="A156" s="320"/>
      <c r="B156" s="320"/>
      <c r="C156" s="672" t="s">
        <v>4316</v>
      </c>
      <c r="D156" s="320"/>
      <c r="E156" s="320"/>
      <c r="F156" s="671"/>
      <c r="G156" s="671"/>
      <c r="H156" s="671"/>
      <c r="I156" s="671"/>
    </row>
    <row r="157" spans="1:9" ht="14.25">
      <c r="A157" s="673" t="s">
        <v>3708</v>
      </c>
      <c r="B157" s="673"/>
      <c r="C157" s="683">
        <v>42551</v>
      </c>
      <c r="D157" s="673"/>
      <c r="E157" s="557" t="s">
        <v>3709</v>
      </c>
      <c r="F157" s="671"/>
      <c r="G157" s="671"/>
      <c r="H157" s="671"/>
      <c r="I157" s="671"/>
    </row>
    <row r="158" spans="1:9" ht="28.5" customHeight="1">
      <c r="A158" s="676" t="s">
        <v>596</v>
      </c>
      <c r="B158" s="676" t="s">
        <v>597</v>
      </c>
      <c r="C158" s="676" t="s">
        <v>3710</v>
      </c>
      <c r="D158" s="676" t="s">
        <v>3711</v>
      </c>
      <c r="E158" s="676" t="s">
        <v>3712</v>
      </c>
      <c r="F158" s="676" t="s">
        <v>3713</v>
      </c>
      <c r="G158" s="676" t="s">
        <v>3714</v>
      </c>
      <c r="H158" s="676" t="s">
        <v>3715</v>
      </c>
      <c r="I158" s="676" t="s">
        <v>596</v>
      </c>
    </row>
    <row r="159" spans="1:9" ht="17.100000000000001" customHeight="1">
      <c r="A159" s="677">
        <v>11321401</v>
      </c>
      <c r="B159" s="677" t="s">
        <v>786</v>
      </c>
      <c r="C159" s="678">
        <v>271868103.67000002</v>
      </c>
      <c r="D159" s="679">
        <v>0</v>
      </c>
      <c r="E159" s="679">
        <v>0</v>
      </c>
      <c r="F159" s="679">
        <v>0</v>
      </c>
      <c r="G159" s="678">
        <v>271868103.67000002</v>
      </c>
      <c r="H159" s="679">
        <v>0</v>
      </c>
      <c r="I159" s="677" t="s">
        <v>787</v>
      </c>
    </row>
    <row r="160" spans="1:9" ht="17.100000000000001" customHeight="1">
      <c r="A160" s="677">
        <v>113215</v>
      </c>
      <c r="B160" s="677" t="s">
        <v>788</v>
      </c>
      <c r="C160" s="678">
        <v>1287776122.6800001</v>
      </c>
      <c r="D160" s="679">
        <v>0</v>
      </c>
      <c r="E160" s="678">
        <v>87842419.329999998</v>
      </c>
      <c r="F160" s="678">
        <v>-1659280.97</v>
      </c>
      <c r="G160" s="678">
        <v>1377277822.98</v>
      </c>
      <c r="H160" s="679">
        <v>0</v>
      </c>
      <c r="I160" s="677" t="s">
        <v>789</v>
      </c>
    </row>
    <row r="161" spans="1:9" ht="17.100000000000001" customHeight="1">
      <c r="A161" s="677">
        <v>11321599</v>
      </c>
      <c r="B161" s="677" t="s">
        <v>790</v>
      </c>
      <c r="C161" s="678">
        <v>1287776122.6800001</v>
      </c>
      <c r="D161" s="679">
        <v>0</v>
      </c>
      <c r="E161" s="678">
        <v>87842419.329999998</v>
      </c>
      <c r="F161" s="678">
        <v>-1659280.97</v>
      </c>
      <c r="G161" s="678">
        <v>1377277822.98</v>
      </c>
      <c r="H161" s="679">
        <v>0</v>
      </c>
      <c r="I161" s="677" t="s">
        <v>791</v>
      </c>
    </row>
    <row r="162" spans="1:9" ht="17.100000000000001" customHeight="1">
      <c r="A162" s="677">
        <v>1221</v>
      </c>
      <c r="B162" s="677" t="s">
        <v>792</v>
      </c>
      <c r="C162" s="678">
        <v>1253808632.9000001</v>
      </c>
      <c r="D162" s="679">
        <v>0</v>
      </c>
      <c r="E162" s="678">
        <v>61004943378.550003</v>
      </c>
      <c r="F162" s="678">
        <v>61146094786.889999</v>
      </c>
      <c r="G162" s="678">
        <v>1112657224.5599999</v>
      </c>
      <c r="H162" s="679">
        <v>0</v>
      </c>
      <c r="I162" s="677" t="s">
        <v>793</v>
      </c>
    </row>
    <row r="163" spans="1:9" ht="17.100000000000001" customHeight="1">
      <c r="A163" s="677">
        <v>122102</v>
      </c>
      <c r="B163" s="677" t="s">
        <v>794</v>
      </c>
      <c r="C163" s="678">
        <v>17335657.059999999</v>
      </c>
      <c r="D163" s="679">
        <v>0</v>
      </c>
      <c r="E163" s="679">
        <v>0</v>
      </c>
      <c r="F163" s="678">
        <v>78952.479999999996</v>
      </c>
      <c r="G163" s="678">
        <v>17256704.579999998</v>
      </c>
      <c r="H163" s="679">
        <v>0</v>
      </c>
      <c r="I163" s="677" t="s">
        <v>795</v>
      </c>
    </row>
    <row r="164" spans="1:9" ht="17.100000000000001" customHeight="1">
      <c r="A164" s="677">
        <v>12210201</v>
      </c>
      <c r="B164" s="677" t="s">
        <v>794</v>
      </c>
      <c r="C164" s="678">
        <v>17335657.059999999</v>
      </c>
      <c r="D164" s="679">
        <v>0</v>
      </c>
      <c r="E164" s="679">
        <v>0</v>
      </c>
      <c r="F164" s="678">
        <v>78952.479999999996</v>
      </c>
      <c r="G164" s="678">
        <v>17256704.579999998</v>
      </c>
      <c r="H164" s="679">
        <v>0</v>
      </c>
      <c r="I164" s="677" t="s">
        <v>796</v>
      </c>
    </row>
    <row r="165" spans="1:9" ht="17.100000000000001" customHeight="1">
      <c r="A165" s="677">
        <v>122103</v>
      </c>
      <c r="B165" s="677" t="s">
        <v>797</v>
      </c>
      <c r="C165" s="679">
        <v>0.03</v>
      </c>
      <c r="D165" s="679">
        <v>0</v>
      </c>
      <c r="E165" s="679">
        <v>0</v>
      </c>
      <c r="F165" s="679">
        <v>0</v>
      </c>
      <c r="G165" s="679">
        <v>0.03</v>
      </c>
      <c r="H165" s="679">
        <v>0</v>
      </c>
      <c r="I165" s="677" t="s">
        <v>798</v>
      </c>
    </row>
    <row r="166" spans="1:9" ht="17.100000000000001" customHeight="1">
      <c r="A166" s="677">
        <v>12210301</v>
      </c>
      <c r="B166" s="677" t="s">
        <v>797</v>
      </c>
      <c r="C166" s="679">
        <v>0.03</v>
      </c>
      <c r="D166" s="679">
        <v>0</v>
      </c>
      <c r="E166" s="679">
        <v>0</v>
      </c>
      <c r="F166" s="679">
        <v>0</v>
      </c>
      <c r="G166" s="679">
        <v>0.03</v>
      </c>
      <c r="H166" s="679">
        <v>0</v>
      </c>
      <c r="I166" s="677" t="s">
        <v>799</v>
      </c>
    </row>
    <row r="167" spans="1:9" ht="17.100000000000001" customHeight="1">
      <c r="A167" s="677">
        <v>122104</v>
      </c>
      <c r="B167" s="677" t="s">
        <v>800</v>
      </c>
      <c r="C167" s="678">
        <v>582261.11</v>
      </c>
      <c r="D167" s="679">
        <v>0</v>
      </c>
      <c r="E167" s="679">
        <v>0</v>
      </c>
      <c r="F167" s="678">
        <v>33987.61</v>
      </c>
      <c r="G167" s="678">
        <v>548273.5</v>
      </c>
      <c r="H167" s="679">
        <v>0</v>
      </c>
      <c r="I167" s="677" t="s">
        <v>801</v>
      </c>
    </row>
    <row r="168" spans="1:9" ht="17.100000000000001" customHeight="1">
      <c r="A168" s="677">
        <v>12210401</v>
      </c>
      <c r="B168" s="677" t="s">
        <v>800</v>
      </c>
      <c r="C168" s="678">
        <v>582261.11</v>
      </c>
      <c r="D168" s="679">
        <v>0</v>
      </c>
      <c r="E168" s="679">
        <v>0</v>
      </c>
      <c r="F168" s="678">
        <v>33987.61</v>
      </c>
      <c r="G168" s="678">
        <v>548273.5</v>
      </c>
      <c r="H168" s="679">
        <v>0</v>
      </c>
      <c r="I168" s="677" t="s">
        <v>802</v>
      </c>
    </row>
    <row r="169" spans="1:9" ht="17.100000000000001" customHeight="1">
      <c r="A169" s="677">
        <v>122106</v>
      </c>
      <c r="B169" s="677" t="s">
        <v>803</v>
      </c>
      <c r="C169" s="678">
        <v>117277718.18000001</v>
      </c>
      <c r="D169" s="679">
        <v>0</v>
      </c>
      <c r="E169" s="678">
        <v>76910</v>
      </c>
      <c r="F169" s="678">
        <v>6816.69</v>
      </c>
      <c r="G169" s="678">
        <v>117347811.48999999</v>
      </c>
      <c r="H169" s="679">
        <v>0</v>
      </c>
      <c r="I169" s="677" t="s">
        <v>804</v>
      </c>
    </row>
    <row r="170" spans="1:9" ht="17.100000000000001" customHeight="1">
      <c r="A170" s="677">
        <v>12210601</v>
      </c>
      <c r="B170" s="677" t="s">
        <v>803</v>
      </c>
      <c r="C170" s="678">
        <v>117277718.18000001</v>
      </c>
      <c r="D170" s="679">
        <v>0</v>
      </c>
      <c r="E170" s="678">
        <v>76910</v>
      </c>
      <c r="F170" s="678">
        <v>6816.69</v>
      </c>
      <c r="G170" s="678">
        <v>117347811.48999999</v>
      </c>
      <c r="H170" s="679">
        <v>0</v>
      </c>
      <c r="I170" s="677" t="s">
        <v>805</v>
      </c>
    </row>
    <row r="171" spans="1:9" ht="17.100000000000001" customHeight="1">
      <c r="A171" s="677">
        <v>122107</v>
      </c>
      <c r="B171" s="677" t="s">
        <v>806</v>
      </c>
      <c r="C171" s="678">
        <v>62919.11</v>
      </c>
      <c r="D171" s="679">
        <v>0</v>
      </c>
      <c r="E171" s="678">
        <v>1646.23</v>
      </c>
      <c r="F171" s="679">
        <v>540.91999999999996</v>
      </c>
      <c r="G171" s="678">
        <v>64024.42</v>
      </c>
      <c r="H171" s="679">
        <v>0</v>
      </c>
      <c r="I171" s="677" t="s">
        <v>807</v>
      </c>
    </row>
    <row r="172" spans="1:9" ht="17.100000000000001" customHeight="1">
      <c r="A172" s="677">
        <v>12210701</v>
      </c>
      <c r="B172" s="677" t="s">
        <v>806</v>
      </c>
      <c r="C172" s="678">
        <v>62919.11</v>
      </c>
      <c r="D172" s="679">
        <v>0</v>
      </c>
      <c r="E172" s="678">
        <v>1646.23</v>
      </c>
      <c r="F172" s="679">
        <v>540.91999999999996</v>
      </c>
      <c r="G172" s="678">
        <v>64024.42</v>
      </c>
      <c r="H172" s="679">
        <v>0</v>
      </c>
      <c r="I172" s="677" t="s">
        <v>808</v>
      </c>
    </row>
    <row r="173" spans="1:9" ht="17.100000000000001" customHeight="1">
      <c r="A173" s="677">
        <v>122109</v>
      </c>
      <c r="B173" s="677" t="s">
        <v>809</v>
      </c>
      <c r="C173" s="678">
        <v>4208000</v>
      </c>
      <c r="D173" s="679">
        <v>0</v>
      </c>
      <c r="E173" s="678">
        <v>33312895549.360001</v>
      </c>
      <c r="F173" s="678">
        <v>33312927699.360001</v>
      </c>
      <c r="G173" s="678">
        <v>4175850</v>
      </c>
      <c r="H173" s="679">
        <v>0</v>
      </c>
      <c r="I173" s="677" t="s">
        <v>810</v>
      </c>
    </row>
    <row r="174" spans="1:9" ht="17.100000000000001" customHeight="1">
      <c r="A174" s="677">
        <v>12210901</v>
      </c>
      <c r="B174" s="677" t="s">
        <v>809</v>
      </c>
      <c r="C174" s="678">
        <v>4208000</v>
      </c>
      <c r="D174" s="679">
        <v>0</v>
      </c>
      <c r="E174" s="678">
        <v>33312895549.360001</v>
      </c>
      <c r="F174" s="678">
        <v>33312927699.360001</v>
      </c>
      <c r="G174" s="678">
        <v>4175850</v>
      </c>
      <c r="H174" s="679">
        <v>0</v>
      </c>
      <c r="I174" s="677" t="s">
        <v>811</v>
      </c>
    </row>
    <row r="175" spans="1:9" ht="17.100000000000001" customHeight="1">
      <c r="A175" s="677">
        <v>122110</v>
      </c>
      <c r="B175" s="677" t="s">
        <v>812</v>
      </c>
      <c r="C175" s="678">
        <v>39877</v>
      </c>
      <c r="D175" s="679">
        <v>0</v>
      </c>
      <c r="E175" s="679">
        <v>493</v>
      </c>
      <c r="F175" s="679">
        <v>503</v>
      </c>
      <c r="G175" s="678">
        <v>39867</v>
      </c>
      <c r="H175" s="679">
        <v>0</v>
      </c>
      <c r="I175" s="677" t="s">
        <v>813</v>
      </c>
    </row>
    <row r="176" spans="1:9" ht="17.100000000000001" customHeight="1">
      <c r="A176" s="677">
        <v>12211001</v>
      </c>
      <c r="B176" s="677" t="s">
        <v>812</v>
      </c>
      <c r="C176" s="678">
        <v>39877</v>
      </c>
      <c r="D176" s="679">
        <v>0</v>
      </c>
      <c r="E176" s="679">
        <v>493</v>
      </c>
      <c r="F176" s="679">
        <v>503</v>
      </c>
      <c r="G176" s="678">
        <v>39867</v>
      </c>
      <c r="H176" s="679">
        <v>0</v>
      </c>
      <c r="I176" s="677" t="s">
        <v>814</v>
      </c>
    </row>
    <row r="177" spans="1:9" ht="17.100000000000001" customHeight="1">
      <c r="A177" s="677">
        <v>122111</v>
      </c>
      <c r="B177" s="677" t="s">
        <v>815</v>
      </c>
      <c r="C177" s="678">
        <v>19079741.91</v>
      </c>
      <c r="D177" s="679">
        <v>0</v>
      </c>
      <c r="E177" s="678">
        <v>723028.03</v>
      </c>
      <c r="F177" s="678">
        <v>1101869.6499999999</v>
      </c>
      <c r="G177" s="678">
        <v>18700900.289999999</v>
      </c>
      <c r="H177" s="679">
        <v>0</v>
      </c>
      <c r="I177" s="677" t="s">
        <v>816</v>
      </c>
    </row>
    <row r="178" spans="1:9" ht="17.100000000000001" customHeight="1">
      <c r="A178" s="677">
        <v>12211102</v>
      </c>
      <c r="B178" s="677" t="s">
        <v>817</v>
      </c>
      <c r="C178" s="678">
        <v>19079741.91</v>
      </c>
      <c r="D178" s="679">
        <v>0</v>
      </c>
      <c r="E178" s="678">
        <v>723028.03</v>
      </c>
      <c r="F178" s="678">
        <v>1101869.6499999999</v>
      </c>
      <c r="G178" s="678">
        <v>18700900.289999999</v>
      </c>
      <c r="H178" s="679">
        <v>0</v>
      </c>
      <c r="I178" s="677" t="s">
        <v>818</v>
      </c>
    </row>
    <row r="179" spans="1:9" ht="17.100000000000001" customHeight="1">
      <c r="A179" s="677">
        <v>122113</v>
      </c>
      <c r="B179" s="677" t="s">
        <v>2772</v>
      </c>
      <c r="C179" s="678">
        <v>46684905.109999999</v>
      </c>
      <c r="D179" s="679">
        <v>0</v>
      </c>
      <c r="E179" s="678">
        <v>25297421.219999999</v>
      </c>
      <c r="F179" s="678">
        <v>23360421.850000001</v>
      </c>
      <c r="G179" s="678">
        <v>48621904.479999997</v>
      </c>
      <c r="H179" s="679">
        <v>0</v>
      </c>
      <c r="I179" s="677" t="s">
        <v>2773</v>
      </c>
    </row>
    <row r="180" spans="1:9" ht="17.100000000000001" customHeight="1">
      <c r="A180" s="677">
        <v>12211301</v>
      </c>
      <c r="B180" s="677" t="s">
        <v>2772</v>
      </c>
      <c r="C180" s="679">
        <v>6</v>
      </c>
      <c r="D180" s="679">
        <v>0</v>
      </c>
      <c r="E180" s="678">
        <v>23090</v>
      </c>
      <c r="F180" s="679">
        <v>0</v>
      </c>
      <c r="G180" s="678">
        <v>23096</v>
      </c>
      <c r="H180" s="679">
        <v>0</v>
      </c>
      <c r="I180" s="677" t="s">
        <v>2774</v>
      </c>
    </row>
    <row r="181" spans="1:9" ht="17.100000000000001" customHeight="1">
      <c r="A181" s="677">
        <v>12211302</v>
      </c>
      <c r="B181" s="677" t="s">
        <v>2775</v>
      </c>
      <c r="C181" s="678">
        <v>46063275.649999999</v>
      </c>
      <c r="D181" s="679">
        <v>0</v>
      </c>
      <c r="E181" s="678">
        <v>25254898.219999999</v>
      </c>
      <c r="F181" s="678">
        <v>23360421.850000001</v>
      </c>
      <c r="G181" s="678">
        <v>47957752.020000003</v>
      </c>
      <c r="H181" s="679">
        <v>0</v>
      </c>
      <c r="I181" s="677" t="s">
        <v>2776</v>
      </c>
    </row>
    <row r="182" spans="1:9" ht="17.100000000000001" customHeight="1">
      <c r="A182" s="677">
        <v>12211303</v>
      </c>
      <c r="B182" s="677" t="s">
        <v>3429</v>
      </c>
      <c r="C182" s="678">
        <v>621623.46</v>
      </c>
      <c r="D182" s="679">
        <v>0</v>
      </c>
      <c r="E182" s="678">
        <v>19433</v>
      </c>
      <c r="F182" s="679">
        <v>0</v>
      </c>
      <c r="G182" s="678">
        <v>641056.46</v>
      </c>
      <c r="H182" s="679">
        <v>0</v>
      </c>
      <c r="I182" s="677" t="s">
        <v>3430</v>
      </c>
    </row>
    <row r="183" spans="1:9" ht="17.100000000000001" customHeight="1">
      <c r="A183" s="677">
        <v>122114</v>
      </c>
      <c r="B183" s="677" t="s">
        <v>3837</v>
      </c>
      <c r="C183" s="678">
        <v>4950</v>
      </c>
      <c r="D183" s="679">
        <v>0</v>
      </c>
      <c r="E183" s="678">
        <v>7417560</v>
      </c>
      <c r="F183" s="678">
        <v>6654180</v>
      </c>
      <c r="G183" s="678">
        <v>768330</v>
      </c>
      <c r="H183" s="679">
        <v>0</v>
      </c>
      <c r="I183" s="677" t="s">
        <v>3838</v>
      </c>
    </row>
    <row r="184" spans="1:9" ht="17.100000000000001" customHeight="1">
      <c r="A184" s="677">
        <v>12211401</v>
      </c>
      <c r="B184" s="677" t="s">
        <v>3837</v>
      </c>
      <c r="C184" s="678">
        <v>4950</v>
      </c>
      <c r="D184" s="679">
        <v>0</v>
      </c>
      <c r="E184" s="678">
        <v>7417560</v>
      </c>
      <c r="F184" s="678">
        <v>6654180</v>
      </c>
      <c r="G184" s="678">
        <v>768330</v>
      </c>
      <c r="H184" s="679">
        <v>0</v>
      </c>
      <c r="I184" s="677" t="s">
        <v>3839</v>
      </c>
    </row>
    <row r="185" spans="1:9" ht="17.100000000000001" customHeight="1">
      <c r="A185" s="677">
        <v>122115</v>
      </c>
      <c r="B185" s="677" t="s">
        <v>819</v>
      </c>
      <c r="C185" s="678">
        <v>10270364</v>
      </c>
      <c r="D185" s="679">
        <v>0</v>
      </c>
      <c r="E185" s="679">
        <v>0</v>
      </c>
      <c r="F185" s="679">
        <v>0</v>
      </c>
      <c r="G185" s="678">
        <v>10270364</v>
      </c>
      <c r="H185" s="679">
        <v>0</v>
      </c>
      <c r="I185" s="677" t="s">
        <v>820</v>
      </c>
    </row>
    <row r="186" spans="1:9" ht="17.100000000000001" customHeight="1">
      <c r="A186" s="677">
        <v>12211501</v>
      </c>
      <c r="B186" s="677" t="s">
        <v>819</v>
      </c>
      <c r="C186" s="678">
        <v>10270364</v>
      </c>
      <c r="D186" s="679">
        <v>0</v>
      </c>
      <c r="E186" s="679">
        <v>0</v>
      </c>
      <c r="F186" s="679">
        <v>0</v>
      </c>
      <c r="G186" s="678">
        <v>10270364</v>
      </c>
      <c r="H186" s="679">
        <v>0</v>
      </c>
      <c r="I186" s="677" t="s">
        <v>821</v>
      </c>
    </row>
    <row r="187" spans="1:9" ht="17.100000000000001" customHeight="1">
      <c r="A187" s="677">
        <v>122199</v>
      </c>
      <c r="B187" s="677" t="s">
        <v>792</v>
      </c>
      <c r="C187" s="678">
        <v>1038262239.39</v>
      </c>
      <c r="D187" s="679">
        <v>0</v>
      </c>
      <c r="E187" s="678">
        <v>27658530770.709999</v>
      </c>
      <c r="F187" s="678">
        <v>27801929815.330002</v>
      </c>
      <c r="G187" s="678">
        <v>894863194.76999998</v>
      </c>
      <c r="H187" s="679">
        <v>0</v>
      </c>
      <c r="I187" s="677" t="s">
        <v>822</v>
      </c>
    </row>
    <row r="188" spans="1:9" ht="17.100000000000001" customHeight="1">
      <c r="A188" s="677">
        <v>12219903</v>
      </c>
      <c r="B188" s="677" t="s">
        <v>823</v>
      </c>
      <c r="C188" s="678">
        <v>9506408.6600000001</v>
      </c>
      <c r="D188" s="679">
        <v>0</v>
      </c>
      <c r="E188" s="679">
        <v>0</v>
      </c>
      <c r="F188" s="679">
        <v>0</v>
      </c>
      <c r="G188" s="678">
        <v>9506408.6600000001</v>
      </c>
      <c r="H188" s="679">
        <v>0</v>
      </c>
      <c r="I188" s="677" t="s">
        <v>824</v>
      </c>
    </row>
    <row r="189" spans="1:9" ht="17.100000000000001" customHeight="1">
      <c r="A189" s="677">
        <v>12219904</v>
      </c>
      <c r="B189" s="677" t="s">
        <v>2777</v>
      </c>
      <c r="C189" s="678">
        <v>1450959.65</v>
      </c>
      <c r="D189" s="679">
        <v>0</v>
      </c>
      <c r="E189" s="679">
        <v>0</v>
      </c>
      <c r="F189" s="679">
        <v>0</v>
      </c>
      <c r="G189" s="678">
        <v>1450959.65</v>
      </c>
      <c r="H189" s="679">
        <v>0</v>
      </c>
      <c r="I189" s="677" t="s">
        <v>2778</v>
      </c>
    </row>
    <row r="190" spans="1:9" ht="17.100000000000001" customHeight="1">
      <c r="A190" s="677">
        <v>12219999</v>
      </c>
      <c r="B190" s="677" t="s">
        <v>825</v>
      </c>
      <c r="C190" s="678">
        <v>1027304871.08</v>
      </c>
      <c r="D190" s="679">
        <v>0</v>
      </c>
      <c r="E190" s="678">
        <v>27658530770.709999</v>
      </c>
      <c r="F190" s="678">
        <v>27801929815.330002</v>
      </c>
      <c r="G190" s="678">
        <v>883905826.46000004</v>
      </c>
      <c r="H190" s="679">
        <v>0</v>
      </c>
      <c r="I190" s="677" t="s">
        <v>826</v>
      </c>
    </row>
    <row r="191" spans="1:9" ht="17.100000000000001" customHeight="1">
      <c r="A191" s="677">
        <v>1231</v>
      </c>
      <c r="B191" s="677" t="s">
        <v>827</v>
      </c>
      <c r="C191" s="679">
        <v>0</v>
      </c>
      <c r="D191" s="678">
        <v>823640823.99000001</v>
      </c>
      <c r="E191" s="679">
        <v>0</v>
      </c>
      <c r="F191" s="678">
        <v>285191250.73000002</v>
      </c>
      <c r="G191" s="679">
        <v>0</v>
      </c>
      <c r="H191" s="678">
        <v>1108832074.72</v>
      </c>
      <c r="I191" s="677" t="s">
        <v>828</v>
      </c>
    </row>
    <row r="192" spans="1:9" ht="17.100000000000001" customHeight="1">
      <c r="A192" s="677">
        <v>123103</v>
      </c>
      <c r="B192" s="677" t="s">
        <v>3365</v>
      </c>
      <c r="C192" s="679">
        <v>0</v>
      </c>
      <c r="D192" s="678">
        <v>6461713.7400000002</v>
      </c>
      <c r="E192" s="679">
        <v>0</v>
      </c>
      <c r="F192" s="678">
        <v>16454371</v>
      </c>
      <c r="G192" s="679">
        <v>0</v>
      </c>
      <c r="H192" s="678">
        <v>22916084.739999998</v>
      </c>
      <c r="I192" s="677" t="s">
        <v>3366</v>
      </c>
    </row>
    <row r="193" spans="1:9" ht="28.5" customHeight="1">
      <c r="A193" s="320"/>
      <c r="B193" s="320"/>
      <c r="C193" s="320"/>
      <c r="D193" s="557" t="s">
        <v>4317</v>
      </c>
      <c r="E193" s="320" t="s">
        <v>3720</v>
      </c>
      <c r="F193" s="320"/>
      <c r="G193" s="320"/>
      <c r="H193" s="320"/>
      <c r="I193" s="320"/>
    </row>
    <row r="194" spans="1:9">
      <c r="A194" s="671"/>
      <c r="B194" s="671"/>
      <c r="C194" s="671"/>
      <c r="D194" s="671"/>
      <c r="E194" s="671"/>
      <c r="F194" s="671"/>
      <c r="G194" s="671"/>
      <c r="H194" s="671"/>
      <c r="I194" s="671"/>
    </row>
    <row r="195" spans="1:9" ht="22.5">
      <c r="A195" s="320"/>
      <c r="B195" s="320"/>
      <c r="C195" s="672" t="s">
        <v>4316</v>
      </c>
      <c r="D195" s="320"/>
      <c r="E195" s="320"/>
      <c r="F195" s="671"/>
      <c r="G195" s="671"/>
      <c r="H195" s="671"/>
      <c r="I195" s="671"/>
    </row>
    <row r="196" spans="1:9" ht="14.25">
      <c r="A196" s="673" t="s">
        <v>3708</v>
      </c>
      <c r="B196" s="673"/>
      <c r="C196" s="683">
        <v>42551</v>
      </c>
      <c r="D196" s="673"/>
      <c r="E196" s="557" t="s">
        <v>3709</v>
      </c>
      <c r="F196" s="671"/>
      <c r="G196" s="671"/>
      <c r="H196" s="671"/>
      <c r="I196" s="671"/>
    </row>
    <row r="197" spans="1:9" ht="28.5" customHeight="1">
      <c r="A197" s="676" t="s">
        <v>596</v>
      </c>
      <c r="B197" s="676" t="s">
        <v>597</v>
      </c>
      <c r="C197" s="676" t="s">
        <v>3710</v>
      </c>
      <c r="D197" s="676" t="s">
        <v>3711</v>
      </c>
      <c r="E197" s="676" t="s">
        <v>3712</v>
      </c>
      <c r="F197" s="676" t="s">
        <v>3713</v>
      </c>
      <c r="G197" s="676" t="s">
        <v>3714</v>
      </c>
      <c r="H197" s="676" t="s">
        <v>3715</v>
      </c>
      <c r="I197" s="676" t="s">
        <v>596</v>
      </c>
    </row>
    <row r="198" spans="1:9" ht="17.100000000000001" customHeight="1">
      <c r="A198" s="677">
        <v>12310301</v>
      </c>
      <c r="B198" s="677" t="s">
        <v>3365</v>
      </c>
      <c r="C198" s="679">
        <v>0</v>
      </c>
      <c r="D198" s="678">
        <v>6461713.7400000002</v>
      </c>
      <c r="E198" s="679">
        <v>0</v>
      </c>
      <c r="F198" s="678">
        <v>16454371</v>
      </c>
      <c r="G198" s="679">
        <v>0</v>
      </c>
      <c r="H198" s="678">
        <v>22916084.739999998</v>
      </c>
      <c r="I198" s="677" t="s">
        <v>3367</v>
      </c>
    </row>
    <row r="199" spans="1:9" ht="17.100000000000001" customHeight="1">
      <c r="A199" s="677">
        <v>123104</v>
      </c>
      <c r="B199" s="677" t="s">
        <v>829</v>
      </c>
      <c r="C199" s="679">
        <v>0</v>
      </c>
      <c r="D199" s="678">
        <v>165378924.08000001</v>
      </c>
      <c r="E199" s="679">
        <v>0</v>
      </c>
      <c r="F199" s="679">
        <v>0</v>
      </c>
      <c r="G199" s="679">
        <v>0</v>
      </c>
      <c r="H199" s="678">
        <v>165378924.08000001</v>
      </c>
      <c r="I199" s="677" t="s">
        <v>830</v>
      </c>
    </row>
    <row r="200" spans="1:9" ht="17.100000000000001" customHeight="1">
      <c r="A200" s="677">
        <v>12310401</v>
      </c>
      <c r="B200" s="677" t="s">
        <v>829</v>
      </c>
      <c r="C200" s="679">
        <v>0</v>
      </c>
      <c r="D200" s="678">
        <v>165378924.08000001</v>
      </c>
      <c r="E200" s="679">
        <v>0</v>
      </c>
      <c r="F200" s="679">
        <v>0</v>
      </c>
      <c r="G200" s="679">
        <v>0</v>
      </c>
      <c r="H200" s="678">
        <v>165378924.08000001</v>
      </c>
      <c r="I200" s="677" t="s">
        <v>831</v>
      </c>
    </row>
    <row r="201" spans="1:9" ht="17.100000000000001" customHeight="1">
      <c r="A201" s="677">
        <v>123105</v>
      </c>
      <c r="B201" s="677" t="s">
        <v>2779</v>
      </c>
      <c r="C201" s="679">
        <v>0</v>
      </c>
      <c r="D201" s="678">
        <v>354548646.57999998</v>
      </c>
      <c r="E201" s="679">
        <v>0</v>
      </c>
      <c r="F201" s="678">
        <v>268736879.73000002</v>
      </c>
      <c r="G201" s="679">
        <v>0</v>
      </c>
      <c r="H201" s="678">
        <v>623285526.30999994</v>
      </c>
      <c r="I201" s="677" t="s">
        <v>2780</v>
      </c>
    </row>
    <row r="202" spans="1:9" ht="17.100000000000001" customHeight="1">
      <c r="A202" s="677">
        <v>12310501</v>
      </c>
      <c r="B202" s="677" t="s">
        <v>2779</v>
      </c>
      <c r="C202" s="679">
        <v>0</v>
      </c>
      <c r="D202" s="678">
        <v>354548646.57999998</v>
      </c>
      <c r="E202" s="679">
        <v>0</v>
      </c>
      <c r="F202" s="678">
        <v>268736879.73000002</v>
      </c>
      <c r="G202" s="679">
        <v>0</v>
      </c>
      <c r="H202" s="678">
        <v>623285526.30999994</v>
      </c>
      <c r="I202" s="677" t="s">
        <v>2781</v>
      </c>
    </row>
    <row r="203" spans="1:9" ht="17.100000000000001" customHeight="1">
      <c r="A203" s="677">
        <v>123199</v>
      </c>
      <c r="B203" s="677" t="s">
        <v>832</v>
      </c>
      <c r="C203" s="679">
        <v>0</v>
      </c>
      <c r="D203" s="678">
        <v>297251539.58999997</v>
      </c>
      <c r="E203" s="679">
        <v>0</v>
      </c>
      <c r="F203" s="679">
        <v>0</v>
      </c>
      <c r="G203" s="679">
        <v>0</v>
      </c>
      <c r="H203" s="678">
        <v>297251539.58999997</v>
      </c>
      <c r="I203" s="677" t="s">
        <v>833</v>
      </c>
    </row>
    <row r="204" spans="1:9" ht="17.100000000000001" customHeight="1">
      <c r="A204" s="677">
        <v>12319999</v>
      </c>
      <c r="B204" s="677" t="s">
        <v>832</v>
      </c>
      <c r="C204" s="679">
        <v>0</v>
      </c>
      <c r="D204" s="678">
        <v>297251539.58999997</v>
      </c>
      <c r="E204" s="679">
        <v>0</v>
      </c>
      <c r="F204" s="679">
        <v>0</v>
      </c>
      <c r="G204" s="679">
        <v>0</v>
      </c>
      <c r="H204" s="678">
        <v>297251539.58999997</v>
      </c>
      <c r="I204" s="677" t="s">
        <v>834</v>
      </c>
    </row>
    <row r="205" spans="1:9" ht="17.100000000000001" customHeight="1">
      <c r="A205" s="677">
        <v>1301</v>
      </c>
      <c r="B205" s="677" t="s">
        <v>835</v>
      </c>
      <c r="C205" s="678">
        <v>7163704968.8699999</v>
      </c>
      <c r="D205" s="679">
        <v>0</v>
      </c>
      <c r="E205" s="678">
        <v>92844000</v>
      </c>
      <c r="F205" s="678">
        <v>9295627.2699999996</v>
      </c>
      <c r="G205" s="678">
        <v>7247253341.6000004</v>
      </c>
      <c r="H205" s="679">
        <v>0</v>
      </c>
      <c r="I205" s="677" t="s">
        <v>836</v>
      </c>
    </row>
    <row r="206" spans="1:9" ht="17.100000000000001" customHeight="1">
      <c r="A206" s="677">
        <v>130101</v>
      </c>
      <c r="B206" s="677" t="s">
        <v>837</v>
      </c>
      <c r="C206" s="678">
        <v>1886725836.6500001</v>
      </c>
      <c r="D206" s="679">
        <v>0</v>
      </c>
      <c r="E206" s="678">
        <v>15820000</v>
      </c>
      <c r="F206" s="678">
        <v>189718.68</v>
      </c>
      <c r="G206" s="678">
        <v>1902356117.97</v>
      </c>
      <c r="H206" s="679">
        <v>0</v>
      </c>
      <c r="I206" s="677" t="s">
        <v>838</v>
      </c>
    </row>
    <row r="207" spans="1:9" ht="17.100000000000001" customHeight="1">
      <c r="A207" s="677">
        <v>13010101</v>
      </c>
      <c r="B207" s="677" t="s">
        <v>2660</v>
      </c>
      <c r="C207" s="678">
        <v>792096.69</v>
      </c>
      <c r="D207" s="679">
        <v>0</v>
      </c>
      <c r="E207" s="679">
        <v>0</v>
      </c>
      <c r="F207" s="679">
        <v>0</v>
      </c>
      <c r="G207" s="678">
        <v>792096.69</v>
      </c>
      <c r="H207" s="679">
        <v>0</v>
      </c>
      <c r="I207" s="677" t="s">
        <v>2661</v>
      </c>
    </row>
    <row r="208" spans="1:9" ht="17.100000000000001" customHeight="1">
      <c r="A208" s="677">
        <v>13010106</v>
      </c>
      <c r="B208" s="677" t="s">
        <v>839</v>
      </c>
      <c r="C208" s="678">
        <v>20550161.789999999</v>
      </c>
      <c r="D208" s="679">
        <v>0</v>
      </c>
      <c r="E208" s="679">
        <v>0</v>
      </c>
      <c r="F208" s="678">
        <v>1844.59</v>
      </c>
      <c r="G208" s="678">
        <v>20548317.199999999</v>
      </c>
      <c r="H208" s="679">
        <v>0</v>
      </c>
      <c r="I208" s="677" t="s">
        <v>840</v>
      </c>
    </row>
    <row r="209" spans="1:9" ht="17.100000000000001" customHeight="1">
      <c r="A209" s="677">
        <v>13010111</v>
      </c>
      <c r="B209" s="677" t="s">
        <v>841</v>
      </c>
      <c r="C209" s="678">
        <v>1309500.17</v>
      </c>
      <c r="D209" s="679">
        <v>0</v>
      </c>
      <c r="E209" s="679">
        <v>0</v>
      </c>
      <c r="F209" s="679">
        <v>0</v>
      </c>
      <c r="G209" s="678">
        <v>1309500.17</v>
      </c>
      <c r="H209" s="679">
        <v>0</v>
      </c>
      <c r="I209" s="677" t="s">
        <v>842</v>
      </c>
    </row>
    <row r="210" spans="1:9" ht="17.100000000000001" customHeight="1">
      <c r="A210" s="677">
        <v>13010116</v>
      </c>
      <c r="B210" s="677" t="s">
        <v>843</v>
      </c>
      <c r="C210" s="678">
        <v>87000184.379999995</v>
      </c>
      <c r="D210" s="679">
        <v>0</v>
      </c>
      <c r="E210" s="678">
        <v>1200000</v>
      </c>
      <c r="F210" s="678">
        <v>104999</v>
      </c>
      <c r="G210" s="678">
        <v>88095185.379999995</v>
      </c>
      <c r="H210" s="679">
        <v>0</v>
      </c>
      <c r="I210" s="677" t="s">
        <v>844</v>
      </c>
    </row>
    <row r="211" spans="1:9" ht="17.100000000000001" customHeight="1">
      <c r="A211" s="677">
        <v>13010121</v>
      </c>
      <c r="B211" s="677" t="s">
        <v>845</v>
      </c>
      <c r="C211" s="678">
        <v>1460199213.1700001</v>
      </c>
      <c r="D211" s="679">
        <v>0</v>
      </c>
      <c r="E211" s="678">
        <v>12220000</v>
      </c>
      <c r="F211" s="678">
        <v>76021.399999999994</v>
      </c>
      <c r="G211" s="678">
        <v>1472343191.77</v>
      </c>
      <c r="H211" s="679">
        <v>0</v>
      </c>
      <c r="I211" s="677" t="s">
        <v>846</v>
      </c>
    </row>
    <row r="212" spans="1:9" ht="17.100000000000001" customHeight="1">
      <c r="A212" s="677">
        <v>13010126</v>
      </c>
      <c r="B212" s="677" t="s">
        <v>847</v>
      </c>
      <c r="C212" s="678">
        <v>316874680.44999999</v>
      </c>
      <c r="D212" s="679">
        <v>0</v>
      </c>
      <c r="E212" s="678">
        <v>2400000</v>
      </c>
      <c r="F212" s="678">
        <v>6853.69</v>
      </c>
      <c r="G212" s="678">
        <v>319267826.75999999</v>
      </c>
      <c r="H212" s="679">
        <v>0</v>
      </c>
      <c r="I212" s="677" t="s">
        <v>848</v>
      </c>
    </row>
    <row r="213" spans="1:9" ht="17.100000000000001" customHeight="1">
      <c r="A213" s="677">
        <v>130102</v>
      </c>
      <c r="B213" s="677" t="s">
        <v>849</v>
      </c>
      <c r="C213" s="678">
        <v>5276979132.2200003</v>
      </c>
      <c r="D213" s="679">
        <v>0</v>
      </c>
      <c r="E213" s="678">
        <v>77024000</v>
      </c>
      <c r="F213" s="678">
        <v>9105908.5899999999</v>
      </c>
      <c r="G213" s="678">
        <v>5344897223.6300001</v>
      </c>
      <c r="H213" s="679">
        <v>0</v>
      </c>
      <c r="I213" s="677" t="s">
        <v>850</v>
      </c>
    </row>
    <row r="214" spans="1:9" ht="17.100000000000001" customHeight="1">
      <c r="A214" s="677">
        <v>13010201</v>
      </c>
      <c r="B214" s="677" t="s">
        <v>851</v>
      </c>
      <c r="C214" s="678">
        <v>3647324.83</v>
      </c>
      <c r="D214" s="679">
        <v>0</v>
      </c>
      <c r="E214" s="679">
        <v>0</v>
      </c>
      <c r="F214" s="679">
        <v>406.38</v>
      </c>
      <c r="G214" s="678">
        <v>3646918.45</v>
      </c>
      <c r="H214" s="679">
        <v>0</v>
      </c>
      <c r="I214" s="677" t="s">
        <v>852</v>
      </c>
    </row>
    <row r="215" spans="1:9" ht="17.100000000000001" customHeight="1">
      <c r="A215" s="677">
        <v>13010206</v>
      </c>
      <c r="B215" s="677" t="s">
        <v>2662</v>
      </c>
      <c r="C215" s="678">
        <v>2591658.3199999998</v>
      </c>
      <c r="D215" s="679">
        <v>0</v>
      </c>
      <c r="E215" s="678">
        <v>100000</v>
      </c>
      <c r="F215" s="679">
        <v>0</v>
      </c>
      <c r="G215" s="678">
        <v>2691658.32</v>
      </c>
      <c r="H215" s="679">
        <v>0</v>
      </c>
      <c r="I215" s="677" t="s">
        <v>2663</v>
      </c>
    </row>
    <row r="216" spans="1:9" ht="17.100000000000001" customHeight="1">
      <c r="A216" s="677">
        <v>13010216</v>
      </c>
      <c r="B216" s="677" t="s">
        <v>853</v>
      </c>
      <c r="C216" s="678">
        <v>2671298534.9200001</v>
      </c>
      <c r="D216" s="679">
        <v>0</v>
      </c>
      <c r="E216" s="678">
        <v>61600000</v>
      </c>
      <c r="F216" s="678">
        <v>7487954.0599999996</v>
      </c>
      <c r="G216" s="678">
        <v>2725410580.8600001</v>
      </c>
      <c r="H216" s="679">
        <v>0</v>
      </c>
      <c r="I216" s="677" t="s">
        <v>854</v>
      </c>
    </row>
    <row r="217" spans="1:9" ht="17.100000000000001" customHeight="1">
      <c r="A217" s="677">
        <v>13010221</v>
      </c>
      <c r="B217" s="677" t="s">
        <v>855</v>
      </c>
      <c r="C217" s="678">
        <v>2592950403.2199998</v>
      </c>
      <c r="D217" s="679">
        <v>0</v>
      </c>
      <c r="E217" s="678">
        <v>15324000</v>
      </c>
      <c r="F217" s="678">
        <v>1617548.15</v>
      </c>
      <c r="G217" s="678">
        <v>2606656855.0700002</v>
      </c>
      <c r="H217" s="679">
        <v>0</v>
      </c>
      <c r="I217" s="677" t="s">
        <v>856</v>
      </c>
    </row>
    <row r="218" spans="1:9" ht="17.100000000000001" customHeight="1">
      <c r="A218" s="677">
        <v>13010226</v>
      </c>
      <c r="B218" s="677" t="s">
        <v>857</v>
      </c>
      <c r="C218" s="678">
        <v>6491210.9299999997</v>
      </c>
      <c r="D218" s="679">
        <v>0</v>
      </c>
      <c r="E218" s="679">
        <v>0</v>
      </c>
      <c r="F218" s="679">
        <v>0</v>
      </c>
      <c r="G218" s="678">
        <v>6491210.9299999997</v>
      </c>
      <c r="H218" s="679">
        <v>0</v>
      </c>
      <c r="I218" s="677" t="s">
        <v>858</v>
      </c>
    </row>
    <row r="219" spans="1:9" ht="17.100000000000001" customHeight="1">
      <c r="A219" s="677">
        <v>1302</v>
      </c>
      <c r="B219" s="677" t="s">
        <v>859</v>
      </c>
      <c r="C219" s="678">
        <v>2801466.16</v>
      </c>
      <c r="D219" s="679">
        <v>0</v>
      </c>
      <c r="E219" s="679">
        <v>0</v>
      </c>
      <c r="F219" s="679">
        <v>0</v>
      </c>
      <c r="G219" s="678">
        <v>2801466.16</v>
      </c>
      <c r="H219" s="679">
        <v>0</v>
      </c>
      <c r="I219" s="677" t="s">
        <v>3954</v>
      </c>
    </row>
    <row r="220" spans="1:9" ht="17.100000000000001" customHeight="1">
      <c r="A220" s="677">
        <v>130201</v>
      </c>
      <c r="B220" s="677" t="s">
        <v>3955</v>
      </c>
      <c r="C220" s="678">
        <v>2801466.16</v>
      </c>
      <c r="D220" s="679">
        <v>0</v>
      </c>
      <c r="E220" s="679">
        <v>0</v>
      </c>
      <c r="F220" s="679">
        <v>0</v>
      </c>
      <c r="G220" s="678">
        <v>2801466.16</v>
      </c>
      <c r="H220" s="679">
        <v>0</v>
      </c>
      <c r="I220" s="677" t="s">
        <v>3956</v>
      </c>
    </row>
    <row r="221" spans="1:9" ht="17.100000000000001" customHeight="1">
      <c r="A221" s="677">
        <v>13020106</v>
      </c>
      <c r="B221" s="677" t="s">
        <v>3957</v>
      </c>
      <c r="C221" s="678">
        <v>2801466.16</v>
      </c>
      <c r="D221" s="679">
        <v>0</v>
      </c>
      <c r="E221" s="679">
        <v>0</v>
      </c>
      <c r="F221" s="679">
        <v>0</v>
      </c>
      <c r="G221" s="678">
        <v>2801466.16</v>
      </c>
      <c r="H221" s="679">
        <v>0</v>
      </c>
      <c r="I221" s="677" t="s">
        <v>3958</v>
      </c>
    </row>
    <row r="222" spans="1:9" ht="17.100000000000001" customHeight="1">
      <c r="A222" s="677">
        <v>1303</v>
      </c>
      <c r="B222" s="677" t="s">
        <v>860</v>
      </c>
      <c r="C222" s="678">
        <v>4283235536.2600002</v>
      </c>
      <c r="D222" s="679">
        <v>0</v>
      </c>
      <c r="E222" s="678">
        <v>48400</v>
      </c>
      <c r="F222" s="679">
        <v>0</v>
      </c>
      <c r="G222" s="678">
        <v>4283283936.2600002</v>
      </c>
      <c r="H222" s="679">
        <v>0</v>
      </c>
      <c r="I222" s="677" t="s">
        <v>861</v>
      </c>
    </row>
    <row r="223" spans="1:9" ht="17.100000000000001" customHeight="1">
      <c r="A223" s="677">
        <v>130301</v>
      </c>
      <c r="B223" s="677" t="s">
        <v>862</v>
      </c>
      <c r="C223" s="678">
        <v>2765105756.0900002</v>
      </c>
      <c r="D223" s="679">
        <v>0</v>
      </c>
      <c r="E223" s="678">
        <v>48400</v>
      </c>
      <c r="F223" s="679">
        <v>0</v>
      </c>
      <c r="G223" s="678">
        <v>2765154156.0900002</v>
      </c>
      <c r="H223" s="679">
        <v>0</v>
      </c>
      <c r="I223" s="677" t="s">
        <v>863</v>
      </c>
    </row>
    <row r="224" spans="1:9" ht="17.100000000000001" customHeight="1">
      <c r="A224" s="677">
        <v>13030101</v>
      </c>
      <c r="B224" s="677" t="s">
        <v>864</v>
      </c>
      <c r="C224" s="678">
        <v>1179980971.4100001</v>
      </c>
      <c r="D224" s="679">
        <v>0</v>
      </c>
      <c r="E224" s="678">
        <v>48400</v>
      </c>
      <c r="F224" s="679">
        <v>0</v>
      </c>
      <c r="G224" s="678">
        <v>1180029371.4100001</v>
      </c>
      <c r="H224" s="679">
        <v>0</v>
      </c>
      <c r="I224" s="677" t="s">
        <v>865</v>
      </c>
    </row>
    <row r="225" spans="1:9" ht="17.100000000000001" customHeight="1">
      <c r="A225" s="677">
        <v>13030106</v>
      </c>
      <c r="B225" s="677" t="s">
        <v>866</v>
      </c>
      <c r="C225" s="678">
        <v>1585124784.6800001</v>
      </c>
      <c r="D225" s="679">
        <v>0</v>
      </c>
      <c r="E225" s="679">
        <v>0</v>
      </c>
      <c r="F225" s="679">
        <v>0</v>
      </c>
      <c r="G225" s="678">
        <v>1585124784.6800001</v>
      </c>
      <c r="H225" s="679">
        <v>0</v>
      </c>
      <c r="I225" s="677" t="s">
        <v>867</v>
      </c>
    </row>
    <row r="226" spans="1:9" ht="17.100000000000001" customHeight="1">
      <c r="A226" s="677">
        <v>130302</v>
      </c>
      <c r="B226" s="677" t="s">
        <v>868</v>
      </c>
      <c r="C226" s="678">
        <v>1518129780.1700001</v>
      </c>
      <c r="D226" s="679">
        <v>0</v>
      </c>
      <c r="E226" s="679">
        <v>0</v>
      </c>
      <c r="F226" s="679">
        <v>0</v>
      </c>
      <c r="G226" s="678">
        <v>1518129780.1700001</v>
      </c>
      <c r="H226" s="679">
        <v>0</v>
      </c>
      <c r="I226" s="677" t="s">
        <v>869</v>
      </c>
    </row>
    <row r="227" spans="1:9" ht="17.100000000000001" customHeight="1">
      <c r="A227" s="677">
        <v>13030201</v>
      </c>
      <c r="B227" s="677" t="s">
        <v>870</v>
      </c>
      <c r="C227" s="678">
        <v>213220000</v>
      </c>
      <c r="D227" s="679">
        <v>0</v>
      </c>
      <c r="E227" s="679">
        <v>0</v>
      </c>
      <c r="F227" s="679">
        <v>0</v>
      </c>
      <c r="G227" s="678">
        <v>213220000</v>
      </c>
      <c r="H227" s="679">
        <v>0</v>
      </c>
      <c r="I227" s="677" t="s">
        <v>871</v>
      </c>
    </row>
    <row r="228" spans="1:9" ht="17.100000000000001" customHeight="1">
      <c r="A228" s="677">
        <v>13030206</v>
      </c>
      <c r="B228" s="677" t="s">
        <v>872</v>
      </c>
      <c r="C228" s="678">
        <v>901187920</v>
      </c>
      <c r="D228" s="679">
        <v>0</v>
      </c>
      <c r="E228" s="679">
        <v>0</v>
      </c>
      <c r="F228" s="679">
        <v>0</v>
      </c>
      <c r="G228" s="678">
        <v>901187920</v>
      </c>
      <c r="H228" s="679">
        <v>0</v>
      </c>
      <c r="I228" s="677" t="s">
        <v>873</v>
      </c>
    </row>
    <row r="229" spans="1:9" ht="17.100000000000001" customHeight="1">
      <c r="A229" s="677">
        <v>13030211</v>
      </c>
      <c r="B229" s="677" t="s">
        <v>874</v>
      </c>
      <c r="C229" s="678">
        <v>403721860.17000002</v>
      </c>
      <c r="D229" s="679">
        <v>0</v>
      </c>
      <c r="E229" s="679">
        <v>0</v>
      </c>
      <c r="F229" s="679">
        <v>0</v>
      </c>
      <c r="G229" s="678">
        <v>403721860.17000002</v>
      </c>
      <c r="H229" s="679">
        <v>0</v>
      </c>
      <c r="I229" s="677" t="s">
        <v>875</v>
      </c>
    </row>
    <row r="230" spans="1:9" ht="17.100000000000001" customHeight="1">
      <c r="A230" s="677">
        <v>1304</v>
      </c>
      <c r="B230" s="677" t="s">
        <v>876</v>
      </c>
      <c r="C230" s="678">
        <v>174025121516.07001</v>
      </c>
      <c r="D230" s="679">
        <v>0</v>
      </c>
      <c r="E230" s="678">
        <v>1717947503.02</v>
      </c>
      <c r="F230" s="678">
        <v>232107548.22</v>
      </c>
      <c r="G230" s="678">
        <v>175510961470.87</v>
      </c>
      <c r="H230" s="679">
        <v>0</v>
      </c>
      <c r="I230" s="677" t="s">
        <v>877</v>
      </c>
    </row>
    <row r="231" spans="1:9" ht="17.100000000000001" customHeight="1">
      <c r="A231" s="677">
        <v>130401</v>
      </c>
      <c r="B231" s="677" t="s">
        <v>878</v>
      </c>
      <c r="C231" s="678">
        <v>35700028836.959999</v>
      </c>
      <c r="D231" s="679">
        <v>0</v>
      </c>
      <c r="E231" s="678">
        <v>119344000</v>
      </c>
      <c r="F231" s="678">
        <v>2634472.44</v>
      </c>
      <c r="G231" s="678">
        <v>35816738364.519997</v>
      </c>
      <c r="H231" s="679">
        <v>0</v>
      </c>
      <c r="I231" s="677" t="s">
        <v>879</v>
      </c>
    </row>
    <row r="232" spans="1:9" ht="28.5" customHeight="1">
      <c r="A232" s="320"/>
      <c r="B232" s="320"/>
      <c r="C232" s="320"/>
      <c r="D232" s="557" t="s">
        <v>4317</v>
      </c>
      <c r="E232" s="320" t="s">
        <v>3721</v>
      </c>
      <c r="F232" s="320"/>
      <c r="G232" s="320"/>
      <c r="H232" s="320"/>
      <c r="I232" s="320"/>
    </row>
    <row r="233" spans="1:9">
      <c r="A233" s="671"/>
      <c r="B233" s="671"/>
      <c r="C233" s="671"/>
      <c r="D233" s="671"/>
      <c r="E233" s="671"/>
      <c r="F233" s="671"/>
      <c r="G233" s="671"/>
      <c r="H233" s="671"/>
      <c r="I233" s="671"/>
    </row>
    <row r="234" spans="1:9" ht="22.5">
      <c r="A234" s="320"/>
      <c r="B234" s="320"/>
      <c r="C234" s="672" t="s">
        <v>4316</v>
      </c>
      <c r="D234" s="320"/>
      <c r="E234" s="320"/>
      <c r="F234" s="671"/>
      <c r="G234" s="671"/>
      <c r="H234" s="671"/>
      <c r="I234" s="671"/>
    </row>
    <row r="235" spans="1:9" ht="14.25">
      <c r="A235" s="673" t="s">
        <v>3708</v>
      </c>
      <c r="B235" s="673"/>
      <c r="C235" s="683">
        <v>42551</v>
      </c>
      <c r="D235" s="673"/>
      <c r="E235" s="557" t="s">
        <v>3709</v>
      </c>
      <c r="F235" s="671"/>
      <c r="G235" s="671"/>
      <c r="H235" s="671"/>
      <c r="I235" s="671"/>
    </row>
    <row r="236" spans="1:9" ht="28.5" customHeight="1">
      <c r="A236" s="676" t="s">
        <v>596</v>
      </c>
      <c r="B236" s="676" t="s">
        <v>597</v>
      </c>
      <c r="C236" s="676" t="s">
        <v>3710</v>
      </c>
      <c r="D236" s="676" t="s">
        <v>3711</v>
      </c>
      <c r="E236" s="676" t="s">
        <v>3712</v>
      </c>
      <c r="F236" s="676" t="s">
        <v>3713</v>
      </c>
      <c r="G236" s="676" t="s">
        <v>3714</v>
      </c>
      <c r="H236" s="676" t="s">
        <v>3715</v>
      </c>
      <c r="I236" s="676" t="s">
        <v>596</v>
      </c>
    </row>
    <row r="237" spans="1:9" ht="17.100000000000001" customHeight="1">
      <c r="A237" s="677">
        <v>13040101</v>
      </c>
      <c r="B237" s="677" t="s">
        <v>880</v>
      </c>
      <c r="C237" s="678">
        <v>323749417.04000002</v>
      </c>
      <c r="D237" s="679">
        <v>0</v>
      </c>
      <c r="E237" s="678">
        <v>6608000</v>
      </c>
      <c r="F237" s="679">
        <v>0</v>
      </c>
      <c r="G237" s="678">
        <v>330357417.04000002</v>
      </c>
      <c r="H237" s="679">
        <v>0</v>
      </c>
      <c r="I237" s="677" t="s">
        <v>881</v>
      </c>
    </row>
    <row r="238" spans="1:9" ht="17.100000000000001" customHeight="1">
      <c r="A238" s="677">
        <v>13040106</v>
      </c>
      <c r="B238" s="677" t="s">
        <v>882</v>
      </c>
      <c r="C238" s="678">
        <v>5857992361.1000004</v>
      </c>
      <c r="D238" s="679">
        <v>0</v>
      </c>
      <c r="E238" s="678">
        <v>35229000</v>
      </c>
      <c r="F238" s="678">
        <v>706843.06</v>
      </c>
      <c r="G238" s="678">
        <v>5892514518.04</v>
      </c>
      <c r="H238" s="679">
        <v>0</v>
      </c>
      <c r="I238" s="677" t="s">
        <v>883</v>
      </c>
    </row>
    <row r="239" spans="1:9" ht="17.100000000000001" customHeight="1">
      <c r="A239" s="677">
        <v>13040111</v>
      </c>
      <c r="B239" s="677" t="s">
        <v>884</v>
      </c>
      <c r="C239" s="678">
        <v>29518287058.82</v>
      </c>
      <c r="D239" s="679">
        <v>0</v>
      </c>
      <c r="E239" s="678">
        <v>77507000</v>
      </c>
      <c r="F239" s="678">
        <v>1927629.38</v>
      </c>
      <c r="G239" s="678">
        <v>29593866429.439999</v>
      </c>
      <c r="H239" s="679">
        <v>0</v>
      </c>
      <c r="I239" s="677" t="s">
        <v>885</v>
      </c>
    </row>
    <row r="240" spans="1:9" ht="17.100000000000001" customHeight="1">
      <c r="A240" s="677">
        <v>130402</v>
      </c>
      <c r="B240" s="677" t="s">
        <v>886</v>
      </c>
      <c r="C240" s="678">
        <v>18121704405.369999</v>
      </c>
      <c r="D240" s="679">
        <v>0</v>
      </c>
      <c r="E240" s="678">
        <v>119550000</v>
      </c>
      <c r="F240" s="678">
        <v>40017589.689999998</v>
      </c>
      <c r="G240" s="678">
        <v>18201236815.68</v>
      </c>
      <c r="H240" s="679">
        <v>0</v>
      </c>
      <c r="I240" s="677" t="s">
        <v>887</v>
      </c>
    </row>
    <row r="241" spans="1:9" ht="17.100000000000001" customHeight="1">
      <c r="A241" s="677">
        <v>13040201</v>
      </c>
      <c r="B241" s="677" t="s">
        <v>888</v>
      </c>
      <c r="C241" s="678">
        <v>9499458365.1800003</v>
      </c>
      <c r="D241" s="679">
        <v>0</v>
      </c>
      <c r="E241" s="678">
        <v>63160000</v>
      </c>
      <c r="F241" s="678">
        <v>36647742.57</v>
      </c>
      <c r="G241" s="678">
        <v>9525970622.6100006</v>
      </c>
      <c r="H241" s="679">
        <v>0</v>
      </c>
      <c r="I241" s="677" t="s">
        <v>889</v>
      </c>
    </row>
    <row r="242" spans="1:9" ht="17.100000000000001" customHeight="1">
      <c r="A242" s="677">
        <v>13040206</v>
      </c>
      <c r="B242" s="677" t="s">
        <v>890</v>
      </c>
      <c r="C242" s="678">
        <v>8490252060.8900003</v>
      </c>
      <c r="D242" s="679">
        <v>0</v>
      </c>
      <c r="E242" s="678">
        <v>56390000</v>
      </c>
      <c r="F242" s="678">
        <v>3369847.12</v>
      </c>
      <c r="G242" s="678">
        <v>8543272213.7700005</v>
      </c>
      <c r="H242" s="679">
        <v>0</v>
      </c>
      <c r="I242" s="677" t="s">
        <v>891</v>
      </c>
    </row>
    <row r="243" spans="1:9" ht="17.100000000000001" customHeight="1">
      <c r="A243" s="677">
        <v>13040211</v>
      </c>
      <c r="B243" s="677" t="s">
        <v>892</v>
      </c>
      <c r="C243" s="678">
        <v>131993979.3</v>
      </c>
      <c r="D243" s="679">
        <v>0</v>
      </c>
      <c r="E243" s="679">
        <v>0</v>
      </c>
      <c r="F243" s="679">
        <v>0</v>
      </c>
      <c r="G243" s="678">
        <v>131993979.3</v>
      </c>
      <c r="H243" s="679">
        <v>0</v>
      </c>
      <c r="I243" s="677" t="s">
        <v>893</v>
      </c>
    </row>
    <row r="244" spans="1:9" ht="17.100000000000001" customHeight="1">
      <c r="A244" s="677">
        <v>130403</v>
      </c>
      <c r="B244" s="677" t="s">
        <v>894</v>
      </c>
      <c r="C244" s="678">
        <v>71108270286.169998</v>
      </c>
      <c r="D244" s="679">
        <v>0</v>
      </c>
      <c r="E244" s="678">
        <v>1134174003.02</v>
      </c>
      <c r="F244" s="678">
        <v>178652933.08000001</v>
      </c>
      <c r="G244" s="678">
        <v>72063791356.110001</v>
      </c>
      <c r="H244" s="679">
        <v>0</v>
      </c>
      <c r="I244" s="677" t="s">
        <v>895</v>
      </c>
    </row>
    <row r="245" spans="1:9" ht="17.100000000000001" customHeight="1">
      <c r="A245" s="677">
        <v>13040301</v>
      </c>
      <c r="B245" s="677" t="s">
        <v>896</v>
      </c>
      <c r="C245" s="678">
        <v>40785242625.709999</v>
      </c>
      <c r="D245" s="679">
        <v>0</v>
      </c>
      <c r="E245" s="678">
        <v>1077994003.02</v>
      </c>
      <c r="F245" s="678">
        <v>175255566.91999999</v>
      </c>
      <c r="G245" s="678">
        <v>41687981061.809998</v>
      </c>
      <c r="H245" s="679">
        <v>0</v>
      </c>
      <c r="I245" s="677" t="s">
        <v>897</v>
      </c>
    </row>
    <row r="246" spans="1:9" ht="17.100000000000001" customHeight="1">
      <c r="A246" s="677">
        <v>13040306</v>
      </c>
      <c r="B246" s="677" t="s">
        <v>898</v>
      </c>
      <c r="C246" s="678">
        <v>30323027660.459999</v>
      </c>
      <c r="D246" s="679">
        <v>0</v>
      </c>
      <c r="E246" s="678">
        <v>56180000</v>
      </c>
      <c r="F246" s="678">
        <v>3397366.16</v>
      </c>
      <c r="G246" s="678">
        <v>30375810294.299999</v>
      </c>
      <c r="H246" s="679">
        <v>0</v>
      </c>
      <c r="I246" s="677" t="s">
        <v>899</v>
      </c>
    </row>
    <row r="247" spans="1:9" ht="17.100000000000001" customHeight="1">
      <c r="A247" s="677">
        <v>130404</v>
      </c>
      <c r="B247" s="677" t="s">
        <v>900</v>
      </c>
      <c r="C247" s="678">
        <v>44454960093.699997</v>
      </c>
      <c r="D247" s="679">
        <v>0</v>
      </c>
      <c r="E247" s="678">
        <v>303550000</v>
      </c>
      <c r="F247" s="678">
        <v>4100000</v>
      </c>
      <c r="G247" s="678">
        <v>44754410093.699997</v>
      </c>
      <c r="H247" s="679">
        <v>0</v>
      </c>
      <c r="I247" s="677" t="s">
        <v>901</v>
      </c>
    </row>
    <row r="248" spans="1:9" ht="17.100000000000001" customHeight="1">
      <c r="A248" s="677">
        <v>13040401</v>
      </c>
      <c r="B248" s="677" t="s">
        <v>902</v>
      </c>
      <c r="C248" s="678">
        <v>594929444</v>
      </c>
      <c r="D248" s="679">
        <v>0</v>
      </c>
      <c r="E248" s="679">
        <v>0</v>
      </c>
      <c r="F248" s="679">
        <v>0</v>
      </c>
      <c r="G248" s="678">
        <v>594929444</v>
      </c>
      <c r="H248" s="679">
        <v>0</v>
      </c>
      <c r="I248" s="677" t="s">
        <v>903</v>
      </c>
    </row>
    <row r="249" spans="1:9" ht="17.100000000000001" customHeight="1">
      <c r="A249" s="677">
        <v>13040406</v>
      </c>
      <c r="B249" s="677" t="s">
        <v>904</v>
      </c>
      <c r="C249" s="678">
        <v>16981430789.49</v>
      </c>
      <c r="D249" s="679">
        <v>0</v>
      </c>
      <c r="E249" s="678">
        <v>303550000</v>
      </c>
      <c r="F249" s="678">
        <v>4100000</v>
      </c>
      <c r="G249" s="678">
        <v>17280880789.490002</v>
      </c>
      <c r="H249" s="679">
        <v>0</v>
      </c>
      <c r="I249" s="677" t="s">
        <v>905</v>
      </c>
    </row>
    <row r="250" spans="1:9" ht="17.100000000000001" customHeight="1">
      <c r="A250" s="677">
        <v>13040411</v>
      </c>
      <c r="B250" s="677" t="s">
        <v>906</v>
      </c>
      <c r="C250" s="678">
        <v>26878599860.209999</v>
      </c>
      <c r="D250" s="679">
        <v>0</v>
      </c>
      <c r="E250" s="679">
        <v>0</v>
      </c>
      <c r="F250" s="679">
        <v>0</v>
      </c>
      <c r="G250" s="678">
        <v>26878599860.209999</v>
      </c>
      <c r="H250" s="679">
        <v>0</v>
      </c>
      <c r="I250" s="677" t="s">
        <v>907</v>
      </c>
    </row>
    <row r="251" spans="1:9" ht="17.100000000000001" customHeight="1">
      <c r="A251" s="677">
        <v>130405</v>
      </c>
      <c r="B251" s="677" t="s">
        <v>908</v>
      </c>
      <c r="C251" s="678">
        <v>4640157893.8699999</v>
      </c>
      <c r="D251" s="679">
        <v>0</v>
      </c>
      <c r="E251" s="678">
        <v>41329500</v>
      </c>
      <c r="F251" s="678">
        <v>6702553.0099999998</v>
      </c>
      <c r="G251" s="678">
        <v>4674784840.8599997</v>
      </c>
      <c r="H251" s="679">
        <v>0</v>
      </c>
      <c r="I251" s="677" t="s">
        <v>909</v>
      </c>
    </row>
    <row r="252" spans="1:9" ht="17.100000000000001" customHeight="1">
      <c r="A252" s="677">
        <v>13040501</v>
      </c>
      <c r="B252" s="677" t="s">
        <v>910</v>
      </c>
      <c r="C252" s="678">
        <v>3103660501.6999998</v>
      </c>
      <c r="D252" s="679">
        <v>0</v>
      </c>
      <c r="E252" s="678">
        <v>25329500</v>
      </c>
      <c r="F252" s="678">
        <v>6233400</v>
      </c>
      <c r="G252" s="678">
        <v>3122756601.6999998</v>
      </c>
      <c r="H252" s="679">
        <v>0</v>
      </c>
      <c r="I252" s="677" t="s">
        <v>911</v>
      </c>
    </row>
    <row r="253" spans="1:9" ht="17.100000000000001" customHeight="1">
      <c r="A253" s="677">
        <v>13040506</v>
      </c>
      <c r="B253" s="677" t="s">
        <v>912</v>
      </c>
      <c r="C253" s="678">
        <v>870198535.90999997</v>
      </c>
      <c r="D253" s="679">
        <v>0</v>
      </c>
      <c r="E253" s="678">
        <v>16000000</v>
      </c>
      <c r="F253" s="678">
        <v>469153.01</v>
      </c>
      <c r="G253" s="678">
        <v>885729382.89999998</v>
      </c>
      <c r="H253" s="679">
        <v>0</v>
      </c>
      <c r="I253" s="677" t="s">
        <v>913</v>
      </c>
    </row>
    <row r="254" spans="1:9" ht="17.100000000000001" customHeight="1">
      <c r="A254" s="677">
        <v>13040511</v>
      </c>
      <c r="B254" s="677" t="s">
        <v>914</v>
      </c>
      <c r="C254" s="678">
        <v>666298856.25999999</v>
      </c>
      <c r="D254" s="679">
        <v>0</v>
      </c>
      <c r="E254" s="679">
        <v>0</v>
      </c>
      <c r="F254" s="679">
        <v>0</v>
      </c>
      <c r="G254" s="678">
        <v>666298856.25999999</v>
      </c>
      <c r="H254" s="679">
        <v>0</v>
      </c>
      <c r="I254" s="677" t="s">
        <v>915</v>
      </c>
    </row>
    <row r="255" spans="1:9" ht="17.100000000000001" customHeight="1">
      <c r="A255" s="677">
        <v>1305</v>
      </c>
      <c r="B255" s="677" t="s">
        <v>494</v>
      </c>
      <c r="C255" s="678">
        <v>5308733523.3599997</v>
      </c>
      <c r="D255" s="679">
        <v>0</v>
      </c>
      <c r="E255" s="678">
        <v>129172021.34</v>
      </c>
      <c r="F255" s="678">
        <v>103662330.65000001</v>
      </c>
      <c r="G255" s="678">
        <v>5334243214.0500002</v>
      </c>
      <c r="H255" s="679">
        <v>0</v>
      </c>
      <c r="I255" s="677" t="s">
        <v>916</v>
      </c>
    </row>
    <row r="256" spans="1:9" ht="17.100000000000001" customHeight="1">
      <c r="A256" s="677">
        <v>130502</v>
      </c>
      <c r="B256" s="677" t="s">
        <v>917</v>
      </c>
      <c r="C256" s="678">
        <v>4161451654.4200001</v>
      </c>
      <c r="D256" s="679">
        <v>0</v>
      </c>
      <c r="E256" s="678">
        <v>115256359.95999999</v>
      </c>
      <c r="F256" s="678">
        <v>103368534.44</v>
      </c>
      <c r="G256" s="678">
        <v>4173339479.9400001</v>
      </c>
      <c r="H256" s="679">
        <v>0</v>
      </c>
      <c r="I256" s="677" t="s">
        <v>918</v>
      </c>
    </row>
    <row r="257" spans="1:9" ht="17.100000000000001" customHeight="1">
      <c r="A257" s="677">
        <v>13050201</v>
      </c>
      <c r="B257" s="677" t="s">
        <v>919</v>
      </c>
      <c r="C257" s="678">
        <v>3900914544.2199998</v>
      </c>
      <c r="D257" s="679">
        <v>0</v>
      </c>
      <c r="E257" s="678">
        <v>115721745.62</v>
      </c>
      <c r="F257" s="678">
        <v>102931132.31</v>
      </c>
      <c r="G257" s="678">
        <v>3913705157.5300002</v>
      </c>
      <c r="H257" s="679">
        <v>0</v>
      </c>
      <c r="I257" s="677" t="s">
        <v>920</v>
      </c>
    </row>
    <row r="258" spans="1:9" ht="17.100000000000001" customHeight="1">
      <c r="A258" s="677">
        <v>13050203</v>
      </c>
      <c r="B258" s="677" t="s">
        <v>921</v>
      </c>
      <c r="C258" s="678">
        <v>189039830.11000001</v>
      </c>
      <c r="D258" s="679">
        <v>0</v>
      </c>
      <c r="E258" s="678">
        <v>-492630.56</v>
      </c>
      <c r="F258" s="679">
        <v>0</v>
      </c>
      <c r="G258" s="678">
        <v>188547199.55000001</v>
      </c>
      <c r="H258" s="679">
        <v>0</v>
      </c>
      <c r="I258" s="677" t="s">
        <v>922</v>
      </c>
    </row>
    <row r="259" spans="1:9" ht="17.100000000000001" customHeight="1">
      <c r="A259" s="677">
        <v>13050206</v>
      </c>
      <c r="B259" s="677" t="s">
        <v>923</v>
      </c>
      <c r="C259" s="678">
        <v>71497280.090000004</v>
      </c>
      <c r="D259" s="679">
        <v>0</v>
      </c>
      <c r="E259" s="678">
        <v>27244.9</v>
      </c>
      <c r="F259" s="678">
        <v>437402.13</v>
      </c>
      <c r="G259" s="678">
        <v>71087122.859999999</v>
      </c>
      <c r="H259" s="679">
        <v>0</v>
      </c>
      <c r="I259" s="677" t="s">
        <v>924</v>
      </c>
    </row>
    <row r="260" spans="1:9" ht="17.100000000000001" customHeight="1">
      <c r="A260" s="677">
        <v>130503</v>
      </c>
      <c r="B260" s="677" t="s">
        <v>925</v>
      </c>
      <c r="C260" s="678">
        <v>1145639017.49</v>
      </c>
      <c r="D260" s="679">
        <v>0</v>
      </c>
      <c r="E260" s="678">
        <v>13906690.85</v>
      </c>
      <c r="F260" s="678">
        <v>59926.99</v>
      </c>
      <c r="G260" s="678">
        <v>1159485781.3499999</v>
      </c>
      <c r="H260" s="679">
        <v>0</v>
      </c>
      <c r="I260" s="677" t="s">
        <v>926</v>
      </c>
    </row>
    <row r="261" spans="1:9" ht="17.100000000000001" customHeight="1">
      <c r="A261" s="677">
        <v>13050301</v>
      </c>
      <c r="B261" s="677" t="s">
        <v>927</v>
      </c>
      <c r="C261" s="678">
        <v>1145639017.49</v>
      </c>
      <c r="D261" s="679">
        <v>0</v>
      </c>
      <c r="E261" s="678">
        <v>13906690.85</v>
      </c>
      <c r="F261" s="678">
        <v>59926.99</v>
      </c>
      <c r="G261" s="678">
        <v>1159485781.3499999</v>
      </c>
      <c r="H261" s="679">
        <v>0</v>
      </c>
      <c r="I261" s="677" t="s">
        <v>928</v>
      </c>
    </row>
    <row r="262" spans="1:9" ht="17.100000000000001" customHeight="1">
      <c r="A262" s="677">
        <v>130504</v>
      </c>
      <c r="B262" s="677" t="s">
        <v>438</v>
      </c>
      <c r="C262" s="678">
        <v>1642851.45</v>
      </c>
      <c r="D262" s="679">
        <v>0</v>
      </c>
      <c r="E262" s="678">
        <v>8970.5300000000007</v>
      </c>
      <c r="F262" s="678">
        <v>233869.22</v>
      </c>
      <c r="G262" s="678">
        <v>1417952.76</v>
      </c>
      <c r="H262" s="679">
        <v>0</v>
      </c>
      <c r="I262" s="677" t="s">
        <v>929</v>
      </c>
    </row>
    <row r="263" spans="1:9" ht="17.100000000000001" customHeight="1">
      <c r="A263" s="677">
        <v>13050401</v>
      </c>
      <c r="B263" s="677" t="s">
        <v>930</v>
      </c>
      <c r="C263" s="678">
        <v>1642851.45</v>
      </c>
      <c r="D263" s="679">
        <v>0</v>
      </c>
      <c r="E263" s="678">
        <v>8970.5300000000007</v>
      </c>
      <c r="F263" s="678">
        <v>233869.22</v>
      </c>
      <c r="G263" s="678">
        <v>1417952.76</v>
      </c>
      <c r="H263" s="679">
        <v>0</v>
      </c>
      <c r="I263" s="677" t="s">
        <v>931</v>
      </c>
    </row>
    <row r="264" spans="1:9" ht="17.100000000000001" customHeight="1">
      <c r="A264" s="677">
        <v>1306</v>
      </c>
      <c r="B264" s="677" t="s">
        <v>932</v>
      </c>
      <c r="C264" s="678">
        <v>36119681867.949997</v>
      </c>
      <c r="D264" s="679">
        <v>0</v>
      </c>
      <c r="E264" s="678">
        <v>156507022.68000001</v>
      </c>
      <c r="F264" s="678">
        <v>3443459338</v>
      </c>
      <c r="G264" s="678">
        <v>32832729552.630001</v>
      </c>
      <c r="H264" s="679">
        <v>0</v>
      </c>
      <c r="I264" s="677" t="s">
        <v>933</v>
      </c>
    </row>
    <row r="265" spans="1:9" ht="17.100000000000001" customHeight="1">
      <c r="A265" s="677">
        <v>130603</v>
      </c>
      <c r="B265" s="677" t="s">
        <v>473</v>
      </c>
      <c r="C265" s="678">
        <v>33298840192.52</v>
      </c>
      <c r="D265" s="679">
        <v>0</v>
      </c>
      <c r="E265" s="678">
        <v>145896865.59</v>
      </c>
      <c r="F265" s="678">
        <v>3442742380</v>
      </c>
      <c r="G265" s="678">
        <v>30001994678.110001</v>
      </c>
      <c r="H265" s="679">
        <v>0</v>
      </c>
      <c r="I265" s="677" t="s">
        <v>934</v>
      </c>
    </row>
    <row r="266" spans="1:9" ht="17.100000000000001" customHeight="1">
      <c r="A266" s="677">
        <v>13060301</v>
      </c>
      <c r="B266" s="677" t="s">
        <v>935</v>
      </c>
      <c r="C266" s="678">
        <v>33770945711.799999</v>
      </c>
      <c r="D266" s="679">
        <v>0</v>
      </c>
      <c r="E266" s="679">
        <v>0</v>
      </c>
      <c r="F266" s="678">
        <v>3442742380</v>
      </c>
      <c r="G266" s="678">
        <v>30328203331.799999</v>
      </c>
      <c r="H266" s="679">
        <v>0</v>
      </c>
      <c r="I266" s="677" t="s">
        <v>936</v>
      </c>
    </row>
    <row r="267" spans="1:9" ht="17.100000000000001" customHeight="1">
      <c r="A267" s="677">
        <v>13060302</v>
      </c>
      <c r="B267" s="677" t="s">
        <v>937</v>
      </c>
      <c r="C267" s="679">
        <v>0</v>
      </c>
      <c r="D267" s="678">
        <v>472105519.27999997</v>
      </c>
      <c r="E267" s="678">
        <v>145896865.59</v>
      </c>
      <c r="F267" s="679">
        <v>0</v>
      </c>
      <c r="G267" s="679">
        <v>0</v>
      </c>
      <c r="H267" s="678">
        <v>326208653.69</v>
      </c>
      <c r="I267" s="677" t="s">
        <v>938</v>
      </c>
    </row>
    <row r="268" spans="1:9" ht="17.100000000000001" customHeight="1">
      <c r="A268" s="677">
        <v>130604</v>
      </c>
      <c r="B268" s="677" t="s">
        <v>474</v>
      </c>
      <c r="C268" s="678">
        <v>1779416835.01</v>
      </c>
      <c r="D268" s="679">
        <v>0</v>
      </c>
      <c r="E268" s="678">
        <v>5950853.54</v>
      </c>
      <c r="F268" s="679">
        <v>0</v>
      </c>
      <c r="G268" s="678">
        <v>1785367688.55</v>
      </c>
      <c r="H268" s="679">
        <v>0</v>
      </c>
      <c r="I268" s="677" t="s">
        <v>939</v>
      </c>
    </row>
    <row r="269" spans="1:9" ht="17.100000000000001" customHeight="1">
      <c r="A269" s="677">
        <v>13060401</v>
      </c>
      <c r="B269" s="677" t="s">
        <v>940</v>
      </c>
      <c r="C269" s="678">
        <v>1811860000</v>
      </c>
      <c r="D269" s="679">
        <v>0</v>
      </c>
      <c r="E269" s="679">
        <v>0</v>
      </c>
      <c r="F269" s="679">
        <v>0</v>
      </c>
      <c r="G269" s="678">
        <v>1811860000</v>
      </c>
      <c r="H269" s="679">
        <v>0</v>
      </c>
      <c r="I269" s="677" t="s">
        <v>941</v>
      </c>
    </row>
    <row r="270" spans="1:9" ht="17.100000000000001" customHeight="1">
      <c r="A270" s="677">
        <v>13060402</v>
      </c>
      <c r="B270" s="677" t="s">
        <v>942</v>
      </c>
      <c r="C270" s="679">
        <v>0</v>
      </c>
      <c r="D270" s="678">
        <v>32443164.989999998</v>
      </c>
      <c r="E270" s="678">
        <v>5950853.54</v>
      </c>
      <c r="F270" s="679">
        <v>0</v>
      </c>
      <c r="G270" s="679">
        <v>0</v>
      </c>
      <c r="H270" s="678">
        <v>26492311.449999999</v>
      </c>
      <c r="I270" s="677" t="s">
        <v>943</v>
      </c>
    </row>
    <row r="271" spans="1:9" ht="28.5" customHeight="1">
      <c r="A271" s="320"/>
      <c r="B271" s="320"/>
      <c r="C271" s="320"/>
      <c r="D271" s="557" t="s">
        <v>4317</v>
      </c>
      <c r="E271" s="320" t="s">
        <v>3722</v>
      </c>
      <c r="F271" s="320"/>
      <c r="G271" s="320"/>
      <c r="H271" s="320"/>
      <c r="I271" s="320"/>
    </row>
    <row r="272" spans="1:9">
      <c r="A272" s="671"/>
      <c r="B272" s="671"/>
      <c r="C272" s="671"/>
      <c r="D272" s="671"/>
      <c r="E272" s="671"/>
      <c r="F272" s="671"/>
      <c r="G272" s="671"/>
      <c r="H272" s="671"/>
      <c r="I272" s="671"/>
    </row>
    <row r="273" spans="1:9" ht="22.5">
      <c r="A273" s="320"/>
      <c r="B273" s="320"/>
      <c r="C273" s="672" t="s">
        <v>4316</v>
      </c>
      <c r="D273" s="320"/>
      <c r="E273" s="320"/>
      <c r="F273" s="671"/>
      <c r="G273" s="671"/>
      <c r="H273" s="671"/>
      <c r="I273" s="671"/>
    </row>
    <row r="274" spans="1:9" ht="14.25">
      <c r="A274" s="673" t="s">
        <v>3708</v>
      </c>
      <c r="B274" s="673"/>
      <c r="C274" s="683">
        <v>42551</v>
      </c>
      <c r="D274" s="673"/>
      <c r="E274" s="557" t="s">
        <v>3709</v>
      </c>
      <c r="F274" s="671"/>
      <c r="G274" s="671"/>
      <c r="H274" s="671"/>
      <c r="I274" s="671"/>
    </row>
    <row r="275" spans="1:9" ht="28.5" customHeight="1">
      <c r="A275" s="676" t="s">
        <v>596</v>
      </c>
      <c r="B275" s="676" t="s">
        <v>597</v>
      </c>
      <c r="C275" s="676" t="s">
        <v>3710</v>
      </c>
      <c r="D275" s="676" t="s">
        <v>3711</v>
      </c>
      <c r="E275" s="676" t="s">
        <v>3712</v>
      </c>
      <c r="F275" s="676" t="s">
        <v>3713</v>
      </c>
      <c r="G275" s="676" t="s">
        <v>3714</v>
      </c>
      <c r="H275" s="676" t="s">
        <v>3715</v>
      </c>
      <c r="I275" s="676" t="s">
        <v>596</v>
      </c>
    </row>
    <row r="276" spans="1:9" ht="17.100000000000001" customHeight="1">
      <c r="A276" s="677">
        <v>130605</v>
      </c>
      <c r="B276" s="677" t="s">
        <v>944</v>
      </c>
      <c r="C276" s="678">
        <v>184073685.09999999</v>
      </c>
      <c r="D276" s="679">
        <v>0</v>
      </c>
      <c r="E276" s="678">
        <v>562036.44999999995</v>
      </c>
      <c r="F276" s="678">
        <v>716958</v>
      </c>
      <c r="G276" s="678">
        <v>183918763.55000001</v>
      </c>
      <c r="H276" s="679">
        <v>0</v>
      </c>
      <c r="I276" s="677" t="s">
        <v>945</v>
      </c>
    </row>
    <row r="277" spans="1:9" ht="17.100000000000001" customHeight="1">
      <c r="A277" s="677">
        <v>13060501</v>
      </c>
      <c r="B277" s="677" t="s">
        <v>946</v>
      </c>
      <c r="C277" s="678">
        <v>186067762.91</v>
      </c>
      <c r="D277" s="679">
        <v>0</v>
      </c>
      <c r="E277" s="679">
        <v>0</v>
      </c>
      <c r="F277" s="678">
        <v>716958</v>
      </c>
      <c r="G277" s="678">
        <v>185350804.91</v>
      </c>
      <c r="H277" s="679">
        <v>0</v>
      </c>
      <c r="I277" s="677" t="s">
        <v>947</v>
      </c>
    </row>
    <row r="278" spans="1:9" ht="17.100000000000001" customHeight="1">
      <c r="A278" s="677">
        <v>13060502</v>
      </c>
      <c r="B278" s="677" t="s">
        <v>948</v>
      </c>
      <c r="C278" s="679">
        <v>0</v>
      </c>
      <c r="D278" s="678">
        <v>1994077.81</v>
      </c>
      <c r="E278" s="678">
        <v>562036.44999999995</v>
      </c>
      <c r="F278" s="679">
        <v>0</v>
      </c>
      <c r="G278" s="679">
        <v>0</v>
      </c>
      <c r="H278" s="678">
        <v>1432041.36</v>
      </c>
      <c r="I278" s="677" t="s">
        <v>949</v>
      </c>
    </row>
    <row r="279" spans="1:9" ht="17.100000000000001" customHeight="1">
      <c r="A279" s="677">
        <v>130606</v>
      </c>
      <c r="B279" s="677" t="s">
        <v>950</v>
      </c>
      <c r="C279" s="678">
        <v>857351155.32000005</v>
      </c>
      <c r="D279" s="679">
        <v>0</v>
      </c>
      <c r="E279" s="678">
        <v>4097267.1</v>
      </c>
      <c r="F279" s="679">
        <v>0</v>
      </c>
      <c r="G279" s="678">
        <v>861448422.41999996</v>
      </c>
      <c r="H279" s="679">
        <v>0</v>
      </c>
      <c r="I279" s="677" t="s">
        <v>951</v>
      </c>
    </row>
    <row r="280" spans="1:9" ht="17.100000000000001" customHeight="1">
      <c r="A280" s="677">
        <v>13060601</v>
      </c>
      <c r="B280" s="677" t="s">
        <v>952</v>
      </c>
      <c r="C280" s="678">
        <v>872207500</v>
      </c>
      <c r="D280" s="679">
        <v>0</v>
      </c>
      <c r="E280" s="679">
        <v>0</v>
      </c>
      <c r="F280" s="679">
        <v>0</v>
      </c>
      <c r="G280" s="678">
        <v>872207500</v>
      </c>
      <c r="H280" s="679">
        <v>0</v>
      </c>
      <c r="I280" s="677" t="s">
        <v>953</v>
      </c>
    </row>
    <row r="281" spans="1:9" ht="17.100000000000001" customHeight="1">
      <c r="A281" s="677">
        <v>13060602</v>
      </c>
      <c r="B281" s="677" t="s">
        <v>954</v>
      </c>
      <c r="C281" s="679">
        <v>0</v>
      </c>
      <c r="D281" s="678">
        <v>14856344.68</v>
      </c>
      <c r="E281" s="678">
        <v>4097267.1</v>
      </c>
      <c r="F281" s="679">
        <v>0</v>
      </c>
      <c r="G281" s="679">
        <v>0</v>
      </c>
      <c r="H281" s="678">
        <v>10759077.58</v>
      </c>
      <c r="I281" s="677" t="s">
        <v>955</v>
      </c>
    </row>
    <row r="282" spans="1:9" ht="17.100000000000001" customHeight="1">
      <c r="A282" s="677">
        <v>1307</v>
      </c>
      <c r="B282" s="677" t="s">
        <v>956</v>
      </c>
      <c r="C282" s="678">
        <v>660721213.25</v>
      </c>
      <c r="D282" s="679">
        <v>0</v>
      </c>
      <c r="E282" s="678">
        <v>19706127.620000001</v>
      </c>
      <c r="F282" s="679">
        <v>0</v>
      </c>
      <c r="G282" s="678">
        <v>680427340.87</v>
      </c>
      <c r="H282" s="679">
        <v>0</v>
      </c>
      <c r="I282" s="677" t="s">
        <v>957</v>
      </c>
    </row>
    <row r="283" spans="1:9" ht="17.100000000000001" customHeight="1">
      <c r="A283" s="677">
        <v>130701</v>
      </c>
      <c r="B283" s="677" t="s">
        <v>958</v>
      </c>
      <c r="C283" s="678">
        <v>21011006.199999999</v>
      </c>
      <c r="D283" s="679">
        <v>0</v>
      </c>
      <c r="E283" s="678">
        <v>19706127.620000001</v>
      </c>
      <c r="F283" s="679">
        <v>0</v>
      </c>
      <c r="G283" s="678">
        <v>40717133.82</v>
      </c>
      <c r="H283" s="679">
        <v>0</v>
      </c>
      <c r="I283" s="677" t="s">
        <v>959</v>
      </c>
    </row>
    <row r="284" spans="1:9" ht="17.100000000000001" customHeight="1">
      <c r="A284" s="677">
        <v>13070101</v>
      </c>
      <c r="B284" s="677" t="s">
        <v>960</v>
      </c>
      <c r="C284" s="678">
        <v>21011006.199999999</v>
      </c>
      <c r="D284" s="679">
        <v>0</v>
      </c>
      <c r="E284" s="678">
        <v>19706127.620000001</v>
      </c>
      <c r="F284" s="679">
        <v>0</v>
      </c>
      <c r="G284" s="678">
        <v>40717133.82</v>
      </c>
      <c r="H284" s="679">
        <v>0</v>
      </c>
      <c r="I284" s="677" t="s">
        <v>961</v>
      </c>
    </row>
    <row r="285" spans="1:9" ht="17.100000000000001" customHeight="1">
      <c r="A285" s="677">
        <v>130705</v>
      </c>
      <c r="B285" s="677" t="s">
        <v>3431</v>
      </c>
      <c r="C285" s="678">
        <v>19999207.050000001</v>
      </c>
      <c r="D285" s="679">
        <v>0</v>
      </c>
      <c r="E285" s="679">
        <v>0</v>
      </c>
      <c r="F285" s="679">
        <v>0</v>
      </c>
      <c r="G285" s="678">
        <v>19999207.050000001</v>
      </c>
      <c r="H285" s="679">
        <v>0</v>
      </c>
      <c r="I285" s="677" t="s">
        <v>3432</v>
      </c>
    </row>
    <row r="286" spans="1:9" ht="17.100000000000001" customHeight="1">
      <c r="A286" s="677">
        <v>13070501</v>
      </c>
      <c r="B286" s="677" t="s">
        <v>3433</v>
      </c>
      <c r="C286" s="678">
        <v>19999207.050000001</v>
      </c>
      <c r="D286" s="679">
        <v>0</v>
      </c>
      <c r="E286" s="679">
        <v>0</v>
      </c>
      <c r="F286" s="679">
        <v>0</v>
      </c>
      <c r="G286" s="678">
        <v>19999207.050000001</v>
      </c>
      <c r="H286" s="679">
        <v>0</v>
      </c>
      <c r="I286" s="677" t="s">
        <v>3434</v>
      </c>
    </row>
    <row r="287" spans="1:9" ht="17.100000000000001" customHeight="1">
      <c r="A287" s="677">
        <v>130799</v>
      </c>
      <c r="B287" s="677" t="s">
        <v>962</v>
      </c>
      <c r="C287" s="678">
        <v>619711000</v>
      </c>
      <c r="D287" s="679">
        <v>0</v>
      </c>
      <c r="E287" s="679">
        <v>0</v>
      </c>
      <c r="F287" s="679">
        <v>0</v>
      </c>
      <c r="G287" s="678">
        <v>619711000</v>
      </c>
      <c r="H287" s="679">
        <v>0</v>
      </c>
      <c r="I287" s="677" t="s">
        <v>963</v>
      </c>
    </row>
    <row r="288" spans="1:9" ht="17.100000000000001" customHeight="1">
      <c r="A288" s="677">
        <v>13079901</v>
      </c>
      <c r="B288" s="677" t="s">
        <v>964</v>
      </c>
      <c r="C288" s="678">
        <v>619711000</v>
      </c>
      <c r="D288" s="679">
        <v>0</v>
      </c>
      <c r="E288" s="679">
        <v>0</v>
      </c>
      <c r="F288" s="679">
        <v>0</v>
      </c>
      <c r="G288" s="678">
        <v>619711000</v>
      </c>
      <c r="H288" s="679">
        <v>0</v>
      </c>
      <c r="I288" s="677" t="s">
        <v>965</v>
      </c>
    </row>
    <row r="289" spans="1:9" ht="17.100000000000001" customHeight="1">
      <c r="A289" s="677">
        <v>1308</v>
      </c>
      <c r="B289" s="677" t="s">
        <v>415</v>
      </c>
      <c r="C289" s="678">
        <v>394889060.19</v>
      </c>
      <c r="D289" s="679">
        <v>0</v>
      </c>
      <c r="E289" s="679">
        <v>0</v>
      </c>
      <c r="F289" s="679">
        <v>0</v>
      </c>
      <c r="G289" s="678">
        <v>394889060.19</v>
      </c>
      <c r="H289" s="679">
        <v>0</v>
      </c>
      <c r="I289" s="677" t="s">
        <v>966</v>
      </c>
    </row>
    <row r="290" spans="1:9" ht="17.100000000000001" customHeight="1">
      <c r="A290" s="677">
        <v>130801</v>
      </c>
      <c r="B290" s="677" t="s">
        <v>967</v>
      </c>
      <c r="C290" s="678">
        <v>34995525.799999997</v>
      </c>
      <c r="D290" s="679">
        <v>0</v>
      </c>
      <c r="E290" s="679">
        <v>0</v>
      </c>
      <c r="F290" s="679">
        <v>0</v>
      </c>
      <c r="G290" s="678">
        <v>34995525.799999997</v>
      </c>
      <c r="H290" s="679">
        <v>0</v>
      </c>
      <c r="I290" s="677" t="s">
        <v>968</v>
      </c>
    </row>
    <row r="291" spans="1:9" ht="17.100000000000001" customHeight="1">
      <c r="A291" s="677">
        <v>13080101</v>
      </c>
      <c r="B291" s="677" t="s">
        <v>969</v>
      </c>
      <c r="C291" s="678">
        <v>34995525.799999997</v>
      </c>
      <c r="D291" s="679">
        <v>0</v>
      </c>
      <c r="E291" s="679">
        <v>0</v>
      </c>
      <c r="F291" s="679">
        <v>0</v>
      </c>
      <c r="G291" s="678">
        <v>34995525.799999997</v>
      </c>
      <c r="H291" s="679">
        <v>0</v>
      </c>
      <c r="I291" s="677" t="s">
        <v>970</v>
      </c>
    </row>
    <row r="292" spans="1:9" ht="17.100000000000001" customHeight="1">
      <c r="A292" s="677">
        <v>130802</v>
      </c>
      <c r="B292" s="677" t="s">
        <v>416</v>
      </c>
      <c r="C292" s="678">
        <v>348218511.06999999</v>
      </c>
      <c r="D292" s="679">
        <v>0</v>
      </c>
      <c r="E292" s="679">
        <v>0</v>
      </c>
      <c r="F292" s="679">
        <v>0</v>
      </c>
      <c r="G292" s="678">
        <v>348218511.06999999</v>
      </c>
      <c r="H292" s="679">
        <v>0</v>
      </c>
      <c r="I292" s="677" t="s">
        <v>971</v>
      </c>
    </row>
    <row r="293" spans="1:9" ht="17.100000000000001" customHeight="1">
      <c r="A293" s="677">
        <v>13080201</v>
      </c>
      <c r="B293" s="677" t="s">
        <v>972</v>
      </c>
      <c r="C293" s="678">
        <v>348218511.06999999</v>
      </c>
      <c r="D293" s="679">
        <v>0</v>
      </c>
      <c r="E293" s="679">
        <v>0</v>
      </c>
      <c r="F293" s="679">
        <v>0</v>
      </c>
      <c r="G293" s="678">
        <v>348218511.06999999</v>
      </c>
      <c r="H293" s="679">
        <v>0</v>
      </c>
      <c r="I293" s="677" t="s">
        <v>973</v>
      </c>
    </row>
    <row r="294" spans="1:9" ht="17.100000000000001" customHeight="1">
      <c r="A294" s="677">
        <v>130803</v>
      </c>
      <c r="B294" s="677" t="s">
        <v>2664</v>
      </c>
      <c r="C294" s="678">
        <v>11675023.32</v>
      </c>
      <c r="D294" s="679">
        <v>0</v>
      </c>
      <c r="E294" s="679">
        <v>0</v>
      </c>
      <c r="F294" s="679">
        <v>0</v>
      </c>
      <c r="G294" s="678">
        <v>11675023.32</v>
      </c>
      <c r="H294" s="679">
        <v>0</v>
      </c>
      <c r="I294" s="677" t="s">
        <v>2665</v>
      </c>
    </row>
    <row r="295" spans="1:9" ht="17.100000000000001" customHeight="1">
      <c r="A295" s="677">
        <v>13080301</v>
      </c>
      <c r="B295" s="677" t="s">
        <v>2666</v>
      </c>
      <c r="C295" s="678">
        <v>11675023.32</v>
      </c>
      <c r="D295" s="679">
        <v>0</v>
      </c>
      <c r="E295" s="679">
        <v>0</v>
      </c>
      <c r="F295" s="679">
        <v>0</v>
      </c>
      <c r="G295" s="678">
        <v>11675023.32</v>
      </c>
      <c r="H295" s="679">
        <v>0</v>
      </c>
      <c r="I295" s="677" t="s">
        <v>2667</v>
      </c>
    </row>
    <row r="296" spans="1:9" ht="17.100000000000001" customHeight="1">
      <c r="A296" s="677">
        <v>1309</v>
      </c>
      <c r="B296" s="677" t="s">
        <v>974</v>
      </c>
      <c r="C296" s="679">
        <v>0</v>
      </c>
      <c r="D296" s="678">
        <v>6806049570.8100004</v>
      </c>
      <c r="E296" s="678">
        <v>11401799.029999999</v>
      </c>
      <c r="F296" s="678">
        <v>17405004.59</v>
      </c>
      <c r="G296" s="679">
        <v>0</v>
      </c>
      <c r="H296" s="678">
        <v>6812052776.3699999</v>
      </c>
      <c r="I296" s="677" t="s">
        <v>975</v>
      </c>
    </row>
    <row r="297" spans="1:9" ht="17.100000000000001" customHeight="1">
      <c r="A297" s="677">
        <v>130901</v>
      </c>
      <c r="B297" s="677" t="s">
        <v>3959</v>
      </c>
      <c r="C297" s="679">
        <v>0</v>
      </c>
      <c r="D297" s="678">
        <v>513135100</v>
      </c>
      <c r="E297" s="679">
        <v>0</v>
      </c>
      <c r="F297" s="679">
        <v>0</v>
      </c>
      <c r="G297" s="679">
        <v>0</v>
      </c>
      <c r="H297" s="678">
        <v>513135100</v>
      </c>
      <c r="I297" s="677" t="s">
        <v>3960</v>
      </c>
    </row>
    <row r="298" spans="1:9" ht="17.100000000000001" customHeight="1">
      <c r="A298" s="677">
        <v>13090103</v>
      </c>
      <c r="B298" s="677" t="s">
        <v>3961</v>
      </c>
      <c r="C298" s="679">
        <v>0</v>
      </c>
      <c r="D298" s="678">
        <v>513135100</v>
      </c>
      <c r="E298" s="679">
        <v>0</v>
      </c>
      <c r="F298" s="679">
        <v>0</v>
      </c>
      <c r="G298" s="679">
        <v>0</v>
      </c>
      <c r="H298" s="678">
        <v>513135100</v>
      </c>
      <c r="I298" s="677" t="s">
        <v>3962</v>
      </c>
    </row>
    <row r="299" spans="1:9" ht="17.100000000000001" customHeight="1">
      <c r="A299" s="677">
        <v>130902</v>
      </c>
      <c r="B299" s="677" t="s">
        <v>976</v>
      </c>
      <c r="C299" s="679">
        <v>0</v>
      </c>
      <c r="D299" s="678">
        <v>6292914470.8100004</v>
      </c>
      <c r="E299" s="678">
        <v>11401799.029999999</v>
      </c>
      <c r="F299" s="678">
        <v>17405004.59</v>
      </c>
      <c r="G299" s="679">
        <v>0</v>
      </c>
      <c r="H299" s="678">
        <v>6298917676.3699999</v>
      </c>
      <c r="I299" s="677" t="s">
        <v>977</v>
      </c>
    </row>
    <row r="300" spans="1:9" ht="17.100000000000001" customHeight="1">
      <c r="A300" s="677">
        <v>13090201</v>
      </c>
      <c r="B300" s="677" t="s">
        <v>978</v>
      </c>
      <c r="C300" s="679">
        <v>0</v>
      </c>
      <c r="D300" s="678">
        <v>6100012087.8500004</v>
      </c>
      <c r="E300" s="678">
        <v>11401799.029999999</v>
      </c>
      <c r="F300" s="678">
        <v>17396449.59</v>
      </c>
      <c r="G300" s="679">
        <v>0</v>
      </c>
      <c r="H300" s="678">
        <v>6106006738.4099998</v>
      </c>
      <c r="I300" s="677" t="s">
        <v>979</v>
      </c>
    </row>
    <row r="301" spans="1:9" ht="17.100000000000001" customHeight="1">
      <c r="A301" s="677">
        <v>13090204</v>
      </c>
      <c r="B301" s="677" t="s">
        <v>980</v>
      </c>
      <c r="C301" s="679">
        <v>0</v>
      </c>
      <c r="D301" s="678">
        <v>2041778.41</v>
      </c>
      <c r="E301" s="679">
        <v>0</v>
      </c>
      <c r="F301" s="678">
        <v>8555</v>
      </c>
      <c r="G301" s="679">
        <v>0</v>
      </c>
      <c r="H301" s="678">
        <v>2050333.41</v>
      </c>
      <c r="I301" s="677" t="s">
        <v>981</v>
      </c>
    </row>
    <row r="302" spans="1:9" ht="17.100000000000001" customHeight="1">
      <c r="A302" s="677">
        <v>13090299</v>
      </c>
      <c r="B302" s="677" t="s">
        <v>982</v>
      </c>
      <c r="C302" s="679">
        <v>0</v>
      </c>
      <c r="D302" s="678">
        <v>190860604.55000001</v>
      </c>
      <c r="E302" s="679">
        <v>0</v>
      </c>
      <c r="F302" s="679">
        <v>0</v>
      </c>
      <c r="G302" s="679">
        <v>0</v>
      </c>
      <c r="H302" s="678">
        <v>190860604.55000001</v>
      </c>
      <c r="I302" s="677" t="s">
        <v>983</v>
      </c>
    </row>
    <row r="303" spans="1:9" ht="17.100000000000001" customHeight="1">
      <c r="A303" s="677">
        <v>1321</v>
      </c>
      <c r="B303" s="677" t="s">
        <v>984</v>
      </c>
      <c r="C303" s="678">
        <v>156703911796.13</v>
      </c>
      <c r="D303" s="679">
        <v>0</v>
      </c>
      <c r="E303" s="678">
        <v>276071962.67000002</v>
      </c>
      <c r="F303" s="678">
        <v>473537032.38999999</v>
      </c>
      <c r="G303" s="678">
        <v>156506446726.41</v>
      </c>
      <c r="H303" s="679">
        <v>0</v>
      </c>
      <c r="I303" s="677" t="s">
        <v>985</v>
      </c>
    </row>
    <row r="304" spans="1:9" ht="17.100000000000001" customHeight="1">
      <c r="A304" s="677">
        <v>132101</v>
      </c>
      <c r="B304" s="677" t="s">
        <v>986</v>
      </c>
      <c r="C304" s="678">
        <v>116569353044.95</v>
      </c>
      <c r="D304" s="679">
        <v>0</v>
      </c>
      <c r="E304" s="678">
        <v>126071762.67</v>
      </c>
      <c r="F304" s="678">
        <v>473535258.02999997</v>
      </c>
      <c r="G304" s="678">
        <v>116221889549.59</v>
      </c>
      <c r="H304" s="679">
        <v>0</v>
      </c>
      <c r="I304" s="677" t="s">
        <v>987</v>
      </c>
    </row>
    <row r="305" spans="1:9" ht="17.100000000000001" customHeight="1">
      <c r="A305" s="677">
        <v>13210101</v>
      </c>
      <c r="B305" s="677" t="s">
        <v>988</v>
      </c>
      <c r="C305" s="678">
        <v>114693630994.71001</v>
      </c>
      <c r="D305" s="679">
        <v>0</v>
      </c>
      <c r="E305" s="678">
        <v>175000000</v>
      </c>
      <c r="F305" s="678">
        <v>432000000</v>
      </c>
      <c r="G305" s="678">
        <v>114436630994.71001</v>
      </c>
      <c r="H305" s="679">
        <v>0</v>
      </c>
      <c r="I305" s="677" t="s">
        <v>989</v>
      </c>
    </row>
    <row r="306" spans="1:9" ht="17.100000000000001" customHeight="1">
      <c r="A306" s="677">
        <v>13210102</v>
      </c>
      <c r="B306" s="677" t="s">
        <v>3435</v>
      </c>
      <c r="C306" s="679">
        <v>0</v>
      </c>
      <c r="D306" s="678">
        <v>-1982630031.29</v>
      </c>
      <c r="E306" s="678">
        <v>-48928107.009999998</v>
      </c>
      <c r="F306" s="678">
        <v>7940534.7999999998</v>
      </c>
      <c r="G306" s="679">
        <v>0</v>
      </c>
      <c r="H306" s="678">
        <v>-1925761389.48</v>
      </c>
      <c r="I306" s="677" t="s">
        <v>990</v>
      </c>
    </row>
    <row r="307" spans="1:9" ht="17.100000000000001" customHeight="1">
      <c r="A307" s="677">
        <v>13210103</v>
      </c>
      <c r="B307" s="677" t="s">
        <v>3436</v>
      </c>
      <c r="C307" s="679">
        <v>0</v>
      </c>
      <c r="D307" s="678">
        <v>757204.06</v>
      </c>
      <c r="E307" s="679">
        <v>-130.32</v>
      </c>
      <c r="F307" s="678">
        <v>-2244.14</v>
      </c>
      <c r="G307" s="679">
        <v>0</v>
      </c>
      <c r="H307" s="678">
        <v>755090.24</v>
      </c>
      <c r="I307" s="677" t="s">
        <v>3437</v>
      </c>
    </row>
    <row r="308" spans="1:9" ht="17.100000000000001" customHeight="1">
      <c r="A308" s="677">
        <v>13210104</v>
      </c>
      <c r="B308" s="677" t="s">
        <v>3438</v>
      </c>
      <c r="C308" s="679">
        <v>0</v>
      </c>
      <c r="D308" s="678">
        <v>106150776.98999999</v>
      </c>
      <c r="E308" s="679">
        <v>0</v>
      </c>
      <c r="F308" s="678">
        <v>33596967.369999997</v>
      </c>
      <c r="G308" s="679">
        <v>0</v>
      </c>
      <c r="H308" s="678">
        <v>139747744.36000001</v>
      </c>
      <c r="I308" s="677" t="s">
        <v>3439</v>
      </c>
    </row>
    <row r="309" spans="1:9" ht="17.100000000000001" customHeight="1">
      <c r="A309" s="677">
        <v>132102</v>
      </c>
      <c r="B309" s="677" t="s">
        <v>991</v>
      </c>
      <c r="C309" s="678">
        <v>30522726174.830002</v>
      </c>
      <c r="D309" s="679">
        <v>0</v>
      </c>
      <c r="E309" s="678">
        <v>150000200</v>
      </c>
      <c r="F309" s="678">
        <v>1774.36</v>
      </c>
      <c r="G309" s="678">
        <v>30672724600.470001</v>
      </c>
      <c r="H309" s="679">
        <v>0</v>
      </c>
      <c r="I309" s="677" t="s">
        <v>992</v>
      </c>
    </row>
    <row r="310" spans="1:9" ht="28.5" customHeight="1">
      <c r="A310" s="320"/>
      <c r="B310" s="320"/>
      <c r="C310" s="320"/>
      <c r="D310" s="557" t="s">
        <v>4317</v>
      </c>
      <c r="E310" s="320" t="s">
        <v>3723</v>
      </c>
      <c r="F310" s="320"/>
      <c r="G310" s="320"/>
      <c r="H310" s="320"/>
      <c r="I310" s="320"/>
    </row>
    <row r="311" spans="1:9">
      <c r="A311" s="671"/>
      <c r="B311" s="671"/>
      <c r="C311" s="671"/>
      <c r="D311" s="671"/>
      <c r="E311" s="671"/>
      <c r="F311" s="671"/>
      <c r="G311" s="671"/>
      <c r="H311" s="671"/>
      <c r="I311" s="671"/>
    </row>
    <row r="312" spans="1:9" ht="22.5">
      <c r="A312" s="320"/>
      <c r="B312" s="320"/>
      <c r="C312" s="672" t="s">
        <v>4316</v>
      </c>
      <c r="D312" s="320"/>
      <c r="E312" s="320"/>
      <c r="F312" s="671"/>
      <c r="G312" s="671"/>
      <c r="H312" s="671"/>
      <c r="I312" s="671"/>
    </row>
    <row r="313" spans="1:9" ht="14.25">
      <c r="A313" s="673" t="s">
        <v>3708</v>
      </c>
      <c r="B313" s="673"/>
      <c r="C313" s="683">
        <v>42551</v>
      </c>
      <c r="D313" s="673"/>
      <c r="E313" s="557" t="s">
        <v>3709</v>
      </c>
      <c r="F313" s="671"/>
      <c r="G313" s="671"/>
      <c r="H313" s="671"/>
      <c r="I313" s="671"/>
    </row>
    <row r="314" spans="1:9" ht="28.5" customHeight="1">
      <c r="A314" s="676" t="s">
        <v>596</v>
      </c>
      <c r="B314" s="676" t="s">
        <v>597</v>
      </c>
      <c r="C314" s="676" t="s">
        <v>3710</v>
      </c>
      <c r="D314" s="676" t="s">
        <v>3711</v>
      </c>
      <c r="E314" s="676" t="s">
        <v>3712</v>
      </c>
      <c r="F314" s="676" t="s">
        <v>3713</v>
      </c>
      <c r="G314" s="676" t="s">
        <v>3714</v>
      </c>
      <c r="H314" s="676" t="s">
        <v>3715</v>
      </c>
      <c r="I314" s="676" t="s">
        <v>596</v>
      </c>
    </row>
    <row r="315" spans="1:9" ht="17.100000000000001" customHeight="1">
      <c r="A315" s="677">
        <v>13210201</v>
      </c>
      <c r="B315" s="677" t="s">
        <v>993</v>
      </c>
      <c r="C315" s="678">
        <v>87000000</v>
      </c>
      <c r="D315" s="679">
        <v>0</v>
      </c>
      <c r="E315" s="679">
        <v>0</v>
      </c>
      <c r="F315" s="679">
        <v>0</v>
      </c>
      <c r="G315" s="678">
        <v>87000000</v>
      </c>
      <c r="H315" s="679">
        <v>0</v>
      </c>
      <c r="I315" s="677" t="s">
        <v>994</v>
      </c>
    </row>
    <row r="316" spans="1:9" ht="17.100000000000001" customHeight="1">
      <c r="A316" s="677">
        <v>13210203</v>
      </c>
      <c r="B316" s="677" t="s">
        <v>995</v>
      </c>
      <c r="C316" s="678">
        <v>578198366.35000002</v>
      </c>
      <c r="D316" s="679">
        <v>0</v>
      </c>
      <c r="E316" s="679">
        <v>0</v>
      </c>
      <c r="F316" s="678">
        <v>1774.36</v>
      </c>
      <c r="G316" s="678">
        <v>578196591.99000001</v>
      </c>
      <c r="H316" s="679">
        <v>0</v>
      </c>
      <c r="I316" s="677" t="s">
        <v>996</v>
      </c>
    </row>
    <row r="317" spans="1:9" ht="17.100000000000001" customHeight="1">
      <c r="A317" s="677">
        <v>13210205</v>
      </c>
      <c r="B317" s="677" t="s">
        <v>997</v>
      </c>
      <c r="C317" s="678">
        <v>24207524359.299999</v>
      </c>
      <c r="D317" s="679">
        <v>0</v>
      </c>
      <c r="E317" s="679">
        <v>0</v>
      </c>
      <c r="F317" s="679">
        <v>0</v>
      </c>
      <c r="G317" s="678">
        <v>24207524359.299999</v>
      </c>
      <c r="H317" s="679">
        <v>0</v>
      </c>
      <c r="I317" s="677" t="s">
        <v>998</v>
      </c>
    </row>
    <row r="318" spans="1:9" ht="17.100000000000001" customHeight="1">
      <c r="A318" s="677">
        <v>13210207</v>
      </c>
      <c r="B318" s="677" t="s">
        <v>999</v>
      </c>
      <c r="C318" s="678">
        <v>5460185679.5600004</v>
      </c>
      <c r="D318" s="679">
        <v>0</v>
      </c>
      <c r="E318" s="678">
        <v>150000000</v>
      </c>
      <c r="F318" s="679">
        <v>0</v>
      </c>
      <c r="G318" s="678">
        <v>5610185679.5600004</v>
      </c>
      <c r="H318" s="679">
        <v>0</v>
      </c>
      <c r="I318" s="677" t="s">
        <v>1000</v>
      </c>
    </row>
    <row r="319" spans="1:9" ht="17.100000000000001" customHeight="1">
      <c r="A319" s="677">
        <v>13210209</v>
      </c>
      <c r="B319" s="677" t="s">
        <v>1001</v>
      </c>
      <c r="C319" s="678">
        <v>189817769.62</v>
      </c>
      <c r="D319" s="679">
        <v>0</v>
      </c>
      <c r="E319" s="679">
        <v>200</v>
      </c>
      <c r="F319" s="679">
        <v>0</v>
      </c>
      <c r="G319" s="678">
        <v>189817969.62</v>
      </c>
      <c r="H319" s="679">
        <v>0</v>
      </c>
      <c r="I319" s="677" t="s">
        <v>1002</v>
      </c>
    </row>
    <row r="320" spans="1:9" ht="17.100000000000001" customHeight="1">
      <c r="A320" s="677">
        <v>132103</v>
      </c>
      <c r="B320" s="677" t="s">
        <v>384</v>
      </c>
      <c r="C320" s="678">
        <v>9217717780.8199997</v>
      </c>
      <c r="D320" s="679">
        <v>0</v>
      </c>
      <c r="E320" s="679">
        <v>0</v>
      </c>
      <c r="F320" s="679">
        <v>0</v>
      </c>
      <c r="G320" s="678">
        <v>9217717780.8199997</v>
      </c>
      <c r="H320" s="679">
        <v>0</v>
      </c>
      <c r="I320" s="677" t="s">
        <v>1003</v>
      </c>
    </row>
    <row r="321" spans="1:9" ht="17.100000000000001" customHeight="1">
      <c r="A321" s="677">
        <v>13210301</v>
      </c>
      <c r="B321" s="677" t="s">
        <v>1004</v>
      </c>
      <c r="C321" s="678">
        <v>9217717780.8199997</v>
      </c>
      <c r="D321" s="679">
        <v>0</v>
      </c>
      <c r="E321" s="679">
        <v>0</v>
      </c>
      <c r="F321" s="679">
        <v>0</v>
      </c>
      <c r="G321" s="678">
        <v>9217717780.8199997</v>
      </c>
      <c r="H321" s="679">
        <v>0</v>
      </c>
      <c r="I321" s="677" t="s">
        <v>1005</v>
      </c>
    </row>
    <row r="322" spans="1:9" ht="17.100000000000001" customHeight="1">
      <c r="A322" s="677">
        <v>132106</v>
      </c>
      <c r="B322" s="677" t="s">
        <v>3963</v>
      </c>
      <c r="C322" s="678">
        <v>394114795.52999997</v>
      </c>
      <c r="D322" s="679">
        <v>0</v>
      </c>
      <c r="E322" s="679">
        <v>0</v>
      </c>
      <c r="F322" s="679">
        <v>0</v>
      </c>
      <c r="G322" s="678">
        <v>394114795.52999997</v>
      </c>
      <c r="H322" s="679">
        <v>0</v>
      </c>
      <c r="I322" s="677" t="s">
        <v>3964</v>
      </c>
    </row>
    <row r="323" spans="1:9" ht="17.100000000000001" customHeight="1">
      <c r="A323" s="677">
        <v>13210601</v>
      </c>
      <c r="B323" s="677" t="s">
        <v>3965</v>
      </c>
      <c r="C323" s="678">
        <v>394114795.52999997</v>
      </c>
      <c r="D323" s="679">
        <v>0</v>
      </c>
      <c r="E323" s="679">
        <v>0</v>
      </c>
      <c r="F323" s="679">
        <v>0</v>
      </c>
      <c r="G323" s="678">
        <v>394114795.52999997</v>
      </c>
      <c r="H323" s="679">
        <v>0</v>
      </c>
      <c r="I323" s="677" t="s">
        <v>3966</v>
      </c>
    </row>
    <row r="324" spans="1:9" ht="17.100000000000001" customHeight="1">
      <c r="A324" s="677">
        <v>1441</v>
      </c>
      <c r="B324" s="677" t="s">
        <v>1006</v>
      </c>
      <c r="C324" s="678">
        <v>666060836.84000003</v>
      </c>
      <c r="D324" s="679">
        <v>0</v>
      </c>
      <c r="E324" s="679">
        <v>0</v>
      </c>
      <c r="F324" s="679">
        <v>0</v>
      </c>
      <c r="G324" s="678">
        <v>666060836.84000003</v>
      </c>
      <c r="H324" s="679">
        <v>0</v>
      </c>
      <c r="I324" s="677" t="s">
        <v>1007</v>
      </c>
    </row>
    <row r="325" spans="1:9" ht="17.100000000000001" customHeight="1">
      <c r="A325" s="677">
        <v>144101</v>
      </c>
      <c r="B325" s="677" t="s">
        <v>1008</v>
      </c>
      <c r="C325" s="678">
        <v>650670922.10000002</v>
      </c>
      <c r="D325" s="679">
        <v>0</v>
      </c>
      <c r="E325" s="679">
        <v>0</v>
      </c>
      <c r="F325" s="679">
        <v>0</v>
      </c>
      <c r="G325" s="678">
        <v>650670922.10000002</v>
      </c>
      <c r="H325" s="679">
        <v>0</v>
      </c>
      <c r="I325" s="677" t="s">
        <v>1009</v>
      </c>
    </row>
    <row r="326" spans="1:9" ht="17.100000000000001" customHeight="1">
      <c r="A326" s="677">
        <v>14410101</v>
      </c>
      <c r="B326" s="677" t="s">
        <v>1008</v>
      </c>
      <c r="C326" s="678">
        <v>650670922.10000002</v>
      </c>
      <c r="D326" s="679">
        <v>0</v>
      </c>
      <c r="E326" s="679">
        <v>0</v>
      </c>
      <c r="F326" s="679">
        <v>0</v>
      </c>
      <c r="G326" s="678">
        <v>650670922.10000002</v>
      </c>
      <c r="H326" s="679">
        <v>0</v>
      </c>
      <c r="I326" s="677" t="s">
        <v>1010</v>
      </c>
    </row>
    <row r="327" spans="1:9" ht="17.100000000000001" customHeight="1">
      <c r="A327" s="677">
        <v>144102</v>
      </c>
      <c r="B327" s="677" t="s">
        <v>1011</v>
      </c>
      <c r="C327" s="678">
        <v>14559914.74</v>
      </c>
      <c r="D327" s="679">
        <v>0</v>
      </c>
      <c r="E327" s="679">
        <v>0</v>
      </c>
      <c r="F327" s="679">
        <v>0</v>
      </c>
      <c r="G327" s="678">
        <v>14559914.74</v>
      </c>
      <c r="H327" s="679">
        <v>0</v>
      </c>
      <c r="I327" s="677" t="s">
        <v>1012</v>
      </c>
    </row>
    <row r="328" spans="1:9" ht="17.100000000000001" customHeight="1">
      <c r="A328" s="677">
        <v>14410201</v>
      </c>
      <c r="B328" s="677" t="s">
        <v>1011</v>
      </c>
      <c r="C328" s="678">
        <v>14559914.74</v>
      </c>
      <c r="D328" s="679">
        <v>0</v>
      </c>
      <c r="E328" s="679">
        <v>0</v>
      </c>
      <c r="F328" s="679">
        <v>0</v>
      </c>
      <c r="G328" s="678">
        <v>14559914.74</v>
      </c>
      <c r="H328" s="679">
        <v>0</v>
      </c>
      <c r="I328" s="677" t="s">
        <v>1013</v>
      </c>
    </row>
    <row r="329" spans="1:9" ht="17.100000000000001" customHeight="1">
      <c r="A329" s="677">
        <v>144103</v>
      </c>
      <c r="B329" s="677" t="s">
        <v>1014</v>
      </c>
      <c r="C329" s="678">
        <v>830000</v>
      </c>
      <c r="D329" s="679">
        <v>0</v>
      </c>
      <c r="E329" s="679">
        <v>0</v>
      </c>
      <c r="F329" s="679">
        <v>0</v>
      </c>
      <c r="G329" s="678">
        <v>830000</v>
      </c>
      <c r="H329" s="679">
        <v>0</v>
      </c>
      <c r="I329" s="677" t="s">
        <v>1015</v>
      </c>
    </row>
    <row r="330" spans="1:9" ht="17.100000000000001" customHeight="1">
      <c r="A330" s="677">
        <v>14410301</v>
      </c>
      <c r="B330" s="677" t="s">
        <v>1014</v>
      </c>
      <c r="C330" s="678">
        <v>830000</v>
      </c>
      <c r="D330" s="679">
        <v>0</v>
      </c>
      <c r="E330" s="679">
        <v>0</v>
      </c>
      <c r="F330" s="679">
        <v>0</v>
      </c>
      <c r="G330" s="678">
        <v>830000</v>
      </c>
      <c r="H330" s="679">
        <v>0</v>
      </c>
      <c r="I330" s="677" t="s">
        <v>1016</v>
      </c>
    </row>
    <row r="331" spans="1:9" ht="17.100000000000001" customHeight="1">
      <c r="A331" s="677">
        <v>1442</v>
      </c>
      <c r="B331" s="677" t="s">
        <v>1017</v>
      </c>
      <c r="C331" s="679">
        <v>0</v>
      </c>
      <c r="D331" s="678">
        <v>111631471.77</v>
      </c>
      <c r="E331" s="679">
        <v>0</v>
      </c>
      <c r="F331" s="679">
        <v>0</v>
      </c>
      <c r="G331" s="679">
        <v>0</v>
      </c>
      <c r="H331" s="678">
        <v>111631471.77</v>
      </c>
      <c r="I331" s="677" t="s">
        <v>1018</v>
      </c>
    </row>
    <row r="332" spans="1:9" ht="17.100000000000001" customHeight="1">
      <c r="A332" s="677">
        <v>144201</v>
      </c>
      <c r="B332" s="677" t="s">
        <v>1019</v>
      </c>
      <c r="C332" s="679">
        <v>0</v>
      </c>
      <c r="D332" s="678">
        <v>65299210.600000001</v>
      </c>
      <c r="E332" s="679">
        <v>0</v>
      </c>
      <c r="F332" s="679">
        <v>0</v>
      </c>
      <c r="G332" s="679">
        <v>0</v>
      </c>
      <c r="H332" s="678">
        <v>65299210.600000001</v>
      </c>
      <c r="I332" s="677" t="s">
        <v>1020</v>
      </c>
    </row>
    <row r="333" spans="1:9" ht="17.100000000000001" customHeight="1">
      <c r="A333" s="677">
        <v>14420101</v>
      </c>
      <c r="B333" s="677" t="s">
        <v>1019</v>
      </c>
      <c r="C333" s="679">
        <v>0</v>
      </c>
      <c r="D333" s="678">
        <v>65299210.600000001</v>
      </c>
      <c r="E333" s="679">
        <v>0</v>
      </c>
      <c r="F333" s="679">
        <v>0</v>
      </c>
      <c r="G333" s="679">
        <v>0</v>
      </c>
      <c r="H333" s="678">
        <v>65299210.600000001</v>
      </c>
      <c r="I333" s="677" t="s">
        <v>1021</v>
      </c>
    </row>
    <row r="334" spans="1:9" ht="17.100000000000001" customHeight="1">
      <c r="A334" s="677">
        <v>144202</v>
      </c>
      <c r="B334" s="677" t="s">
        <v>1022</v>
      </c>
      <c r="C334" s="679">
        <v>0</v>
      </c>
      <c r="D334" s="678">
        <v>46072261.170000002</v>
      </c>
      <c r="E334" s="679">
        <v>0</v>
      </c>
      <c r="F334" s="679">
        <v>0</v>
      </c>
      <c r="G334" s="679">
        <v>0</v>
      </c>
      <c r="H334" s="678">
        <v>46072261.170000002</v>
      </c>
      <c r="I334" s="677" t="s">
        <v>1023</v>
      </c>
    </row>
    <row r="335" spans="1:9" ht="17.100000000000001" customHeight="1">
      <c r="A335" s="677">
        <v>14420201</v>
      </c>
      <c r="B335" s="677" t="s">
        <v>1022</v>
      </c>
      <c r="C335" s="679">
        <v>0</v>
      </c>
      <c r="D335" s="678">
        <v>46072261.170000002</v>
      </c>
      <c r="E335" s="679">
        <v>0</v>
      </c>
      <c r="F335" s="679">
        <v>0</v>
      </c>
      <c r="G335" s="679">
        <v>0</v>
      </c>
      <c r="H335" s="678">
        <v>46072261.170000002</v>
      </c>
      <c r="I335" s="677" t="s">
        <v>1024</v>
      </c>
    </row>
    <row r="336" spans="1:9" ht="17.100000000000001" customHeight="1">
      <c r="A336" s="677">
        <v>144203</v>
      </c>
      <c r="B336" s="677" t="s">
        <v>1025</v>
      </c>
      <c r="C336" s="679">
        <v>0</v>
      </c>
      <c r="D336" s="678">
        <v>260000</v>
      </c>
      <c r="E336" s="679">
        <v>0</v>
      </c>
      <c r="F336" s="679">
        <v>0</v>
      </c>
      <c r="G336" s="679">
        <v>0</v>
      </c>
      <c r="H336" s="678">
        <v>260000</v>
      </c>
      <c r="I336" s="677" t="s">
        <v>1026</v>
      </c>
    </row>
    <row r="337" spans="1:9" ht="17.100000000000001" customHeight="1">
      <c r="A337" s="677">
        <v>14420301</v>
      </c>
      <c r="B337" s="677" t="s">
        <v>1025</v>
      </c>
      <c r="C337" s="679">
        <v>0</v>
      </c>
      <c r="D337" s="678">
        <v>260000</v>
      </c>
      <c r="E337" s="679">
        <v>0</v>
      </c>
      <c r="F337" s="679">
        <v>0</v>
      </c>
      <c r="G337" s="679">
        <v>0</v>
      </c>
      <c r="H337" s="678">
        <v>260000</v>
      </c>
      <c r="I337" s="677" t="s">
        <v>1027</v>
      </c>
    </row>
    <row r="338" spans="1:9" ht="17.100000000000001" customHeight="1">
      <c r="A338" s="677">
        <v>1501</v>
      </c>
      <c r="B338" s="677" t="s">
        <v>1028</v>
      </c>
      <c r="C338" s="678">
        <v>14155135742.58</v>
      </c>
      <c r="D338" s="679">
        <v>0</v>
      </c>
      <c r="E338" s="679">
        <v>0</v>
      </c>
      <c r="F338" s="679">
        <v>0</v>
      </c>
      <c r="G338" s="678">
        <v>14155135742.58</v>
      </c>
      <c r="H338" s="679">
        <v>0</v>
      </c>
      <c r="I338" s="677" t="s">
        <v>1029</v>
      </c>
    </row>
    <row r="339" spans="1:9" ht="17.100000000000001" customHeight="1">
      <c r="A339" s="677">
        <v>150101</v>
      </c>
      <c r="B339" s="677" t="s">
        <v>1030</v>
      </c>
      <c r="C339" s="678">
        <v>14155135742.58</v>
      </c>
      <c r="D339" s="679">
        <v>0</v>
      </c>
      <c r="E339" s="679">
        <v>0</v>
      </c>
      <c r="F339" s="679">
        <v>0</v>
      </c>
      <c r="G339" s="678">
        <v>14155135742.58</v>
      </c>
      <c r="H339" s="679">
        <v>0</v>
      </c>
      <c r="I339" s="677" t="s">
        <v>1031</v>
      </c>
    </row>
    <row r="340" spans="1:9" ht="17.100000000000001" customHeight="1">
      <c r="A340" s="677">
        <v>15010101</v>
      </c>
      <c r="B340" s="677" t="s">
        <v>1032</v>
      </c>
      <c r="C340" s="678">
        <v>14114320000</v>
      </c>
      <c r="D340" s="679">
        <v>0</v>
      </c>
      <c r="E340" s="679">
        <v>0</v>
      </c>
      <c r="F340" s="679">
        <v>0</v>
      </c>
      <c r="G340" s="678">
        <v>14114320000</v>
      </c>
      <c r="H340" s="679">
        <v>0</v>
      </c>
      <c r="I340" s="677" t="s">
        <v>1033</v>
      </c>
    </row>
    <row r="341" spans="1:9" ht="17.100000000000001" customHeight="1">
      <c r="A341" s="677">
        <v>15010102</v>
      </c>
      <c r="B341" s="677" t="s">
        <v>1034</v>
      </c>
      <c r="C341" s="678">
        <v>40815742.579999998</v>
      </c>
      <c r="D341" s="679">
        <v>0</v>
      </c>
      <c r="E341" s="679">
        <v>0</v>
      </c>
      <c r="F341" s="679">
        <v>0</v>
      </c>
      <c r="G341" s="678">
        <v>40815742.579999998</v>
      </c>
      <c r="H341" s="679">
        <v>0</v>
      </c>
      <c r="I341" s="677" t="s">
        <v>1035</v>
      </c>
    </row>
    <row r="342" spans="1:9" ht="17.100000000000001" customHeight="1">
      <c r="A342" s="677">
        <v>1502</v>
      </c>
      <c r="B342" s="677" t="s">
        <v>2782</v>
      </c>
      <c r="C342" s="679">
        <v>0</v>
      </c>
      <c r="D342" s="678">
        <v>3800000</v>
      </c>
      <c r="E342" s="679">
        <v>0</v>
      </c>
      <c r="F342" s="678">
        <v>81211781.909999996</v>
      </c>
      <c r="G342" s="679">
        <v>0</v>
      </c>
      <c r="H342" s="678">
        <v>85011781.909999996</v>
      </c>
      <c r="I342" s="677" t="s">
        <v>2783</v>
      </c>
    </row>
    <row r="343" spans="1:9" ht="17.100000000000001" customHeight="1">
      <c r="A343" s="677">
        <v>150202</v>
      </c>
      <c r="B343" s="677" t="s">
        <v>2784</v>
      </c>
      <c r="C343" s="679">
        <v>0</v>
      </c>
      <c r="D343" s="678">
        <v>3800000</v>
      </c>
      <c r="E343" s="679">
        <v>0</v>
      </c>
      <c r="F343" s="678">
        <v>81211781.909999996</v>
      </c>
      <c r="G343" s="679">
        <v>0</v>
      </c>
      <c r="H343" s="678">
        <v>85011781.909999996</v>
      </c>
      <c r="I343" s="677" t="s">
        <v>2785</v>
      </c>
    </row>
    <row r="344" spans="1:9" ht="17.100000000000001" customHeight="1">
      <c r="A344" s="677">
        <v>15020201</v>
      </c>
      <c r="B344" s="677" t="s">
        <v>2784</v>
      </c>
      <c r="C344" s="679">
        <v>0</v>
      </c>
      <c r="D344" s="678">
        <v>3800000</v>
      </c>
      <c r="E344" s="679">
        <v>0</v>
      </c>
      <c r="F344" s="678">
        <v>81211781.909999996</v>
      </c>
      <c r="G344" s="679">
        <v>0</v>
      </c>
      <c r="H344" s="678">
        <v>85011781.909999996</v>
      </c>
      <c r="I344" s="677" t="s">
        <v>2786</v>
      </c>
    </row>
    <row r="345" spans="1:9" ht="17.100000000000001" customHeight="1">
      <c r="A345" s="677">
        <v>1503</v>
      </c>
      <c r="B345" s="677" t="s">
        <v>1036</v>
      </c>
      <c r="C345" s="678">
        <v>56823420021.629997</v>
      </c>
      <c r="D345" s="679">
        <v>0</v>
      </c>
      <c r="E345" s="678">
        <v>19440</v>
      </c>
      <c r="F345" s="678">
        <v>3629770</v>
      </c>
      <c r="G345" s="678">
        <v>56819809691.629997</v>
      </c>
      <c r="H345" s="679">
        <v>0</v>
      </c>
      <c r="I345" s="677" t="s">
        <v>1037</v>
      </c>
    </row>
    <row r="346" spans="1:9" ht="17.100000000000001" customHeight="1">
      <c r="A346" s="677">
        <v>150301</v>
      </c>
      <c r="B346" s="677" t="s">
        <v>1038</v>
      </c>
      <c r="C346" s="678">
        <v>56667886862.620003</v>
      </c>
      <c r="D346" s="679">
        <v>0</v>
      </c>
      <c r="E346" s="678">
        <v>19440</v>
      </c>
      <c r="F346" s="678">
        <v>3629770</v>
      </c>
      <c r="G346" s="678">
        <v>56664276532.620003</v>
      </c>
      <c r="H346" s="679">
        <v>0</v>
      </c>
      <c r="I346" s="677" t="s">
        <v>1039</v>
      </c>
    </row>
    <row r="347" spans="1:9" ht="17.100000000000001" customHeight="1">
      <c r="A347" s="677">
        <v>15030101</v>
      </c>
      <c r="B347" s="677" t="s">
        <v>1040</v>
      </c>
      <c r="C347" s="678">
        <v>55050367354.550003</v>
      </c>
      <c r="D347" s="679">
        <v>0</v>
      </c>
      <c r="E347" s="679">
        <v>0</v>
      </c>
      <c r="F347" s="679">
        <v>0</v>
      </c>
      <c r="G347" s="678">
        <v>55050367354.550003</v>
      </c>
      <c r="H347" s="679">
        <v>0</v>
      </c>
      <c r="I347" s="677" t="s">
        <v>1041</v>
      </c>
    </row>
    <row r="348" spans="1:9" ht="17.100000000000001" customHeight="1">
      <c r="A348" s="677">
        <v>15030102</v>
      </c>
      <c r="B348" s="677" t="s">
        <v>1042</v>
      </c>
      <c r="C348" s="678">
        <v>1080362513.98</v>
      </c>
      <c r="D348" s="679">
        <v>0</v>
      </c>
      <c r="E348" s="679">
        <v>0</v>
      </c>
      <c r="F348" s="679">
        <v>0</v>
      </c>
      <c r="G348" s="678">
        <v>1080362513.98</v>
      </c>
      <c r="H348" s="679">
        <v>0</v>
      </c>
      <c r="I348" s="677" t="s">
        <v>1043</v>
      </c>
    </row>
    <row r="349" spans="1:9" ht="28.5" customHeight="1">
      <c r="A349" s="320"/>
      <c r="B349" s="320"/>
      <c r="C349" s="320"/>
      <c r="D349" s="557" t="s">
        <v>4317</v>
      </c>
      <c r="E349" s="320" t="s">
        <v>3728</v>
      </c>
      <c r="F349" s="320"/>
      <c r="G349" s="320"/>
      <c r="H349" s="320"/>
      <c r="I349" s="320"/>
    </row>
    <row r="350" spans="1:9">
      <c r="A350" s="671"/>
      <c r="B350" s="671"/>
      <c r="C350" s="671"/>
      <c r="D350" s="671"/>
      <c r="E350" s="671"/>
      <c r="F350" s="671"/>
      <c r="G350" s="671"/>
      <c r="H350" s="671"/>
      <c r="I350" s="671"/>
    </row>
    <row r="351" spans="1:9" ht="22.5">
      <c r="A351" s="320"/>
      <c r="B351" s="320"/>
      <c r="C351" s="672" t="s">
        <v>4316</v>
      </c>
      <c r="D351" s="320"/>
      <c r="E351" s="320"/>
      <c r="F351" s="671"/>
      <c r="G351" s="671"/>
      <c r="H351" s="671"/>
      <c r="I351" s="671"/>
    </row>
    <row r="352" spans="1:9" ht="14.25">
      <c r="A352" s="673" t="s">
        <v>3708</v>
      </c>
      <c r="B352" s="673"/>
      <c r="C352" s="683">
        <v>42551</v>
      </c>
      <c r="D352" s="673"/>
      <c r="E352" s="557" t="s">
        <v>3709</v>
      </c>
      <c r="F352" s="671"/>
      <c r="G352" s="671"/>
      <c r="H352" s="671"/>
      <c r="I352" s="671"/>
    </row>
    <row r="353" spans="1:9" ht="28.5" customHeight="1">
      <c r="A353" s="676" t="s">
        <v>596</v>
      </c>
      <c r="B353" s="676" t="s">
        <v>597</v>
      </c>
      <c r="C353" s="676" t="s">
        <v>3710</v>
      </c>
      <c r="D353" s="676" t="s">
        <v>3711</v>
      </c>
      <c r="E353" s="676" t="s">
        <v>3712</v>
      </c>
      <c r="F353" s="676" t="s">
        <v>3713</v>
      </c>
      <c r="G353" s="676" t="s">
        <v>3714</v>
      </c>
      <c r="H353" s="676" t="s">
        <v>3715</v>
      </c>
      <c r="I353" s="676" t="s">
        <v>596</v>
      </c>
    </row>
    <row r="354" spans="1:9" ht="17.100000000000001" customHeight="1">
      <c r="A354" s="677">
        <v>15030104</v>
      </c>
      <c r="B354" s="677" t="s">
        <v>1044</v>
      </c>
      <c r="C354" s="678">
        <v>537156994.09000003</v>
      </c>
      <c r="D354" s="679">
        <v>0</v>
      </c>
      <c r="E354" s="678">
        <v>19440</v>
      </c>
      <c r="F354" s="678">
        <v>3629770</v>
      </c>
      <c r="G354" s="678">
        <v>533546664.08999997</v>
      </c>
      <c r="H354" s="679">
        <v>0</v>
      </c>
      <c r="I354" s="677" t="s">
        <v>1045</v>
      </c>
    </row>
    <row r="355" spans="1:9" ht="17.100000000000001" customHeight="1">
      <c r="A355" s="677">
        <v>150302</v>
      </c>
      <c r="B355" s="677" t="s">
        <v>2590</v>
      </c>
      <c r="C355" s="678">
        <v>41053959.009999998</v>
      </c>
      <c r="D355" s="679">
        <v>0</v>
      </c>
      <c r="E355" s="679">
        <v>0</v>
      </c>
      <c r="F355" s="679">
        <v>0</v>
      </c>
      <c r="G355" s="678">
        <v>41053959.009999998</v>
      </c>
      <c r="H355" s="679">
        <v>0</v>
      </c>
      <c r="I355" s="677" t="s">
        <v>2591</v>
      </c>
    </row>
    <row r="356" spans="1:9" ht="17.100000000000001" customHeight="1">
      <c r="A356" s="677">
        <v>15030201</v>
      </c>
      <c r="B356" s="677" t="s">
        <v>2592</v>
      </c>
      <c r="C356" s="678">
        <v>41053959.009999998</v>
      </c>
      <c r="D356" s="679">
        <v>0</v>
      </c>
      <c r="E356" s="679">
        <v>0</v>
      </c>
      <c r="F356" s="679">
        <v>0</v>
      </c>
      <c r="G356" s="678">
        <v>41053959.009999998</v>
      </c>
      <c r="H356" s="679">
        <v>0</v>
      </c>
      <c r="I356" s="677" t="s">
        <v>2593</v>
      </c>
    </row>
    <row r="357" spans="1:9" ht="17.100000000000001" customHeight="1">
      <c r="A357" s="677">
        <v>150399</v>
      </c>
      <c r="B357" s="677" t="s">
        <v>1046</v>
      </c>
      <c r="C357" s="678">
        <v>114479200</v>
      </c>
      <c r="D357" s="679">
        <v>0</v>
      </c>
      <c r="E357" s="679">
        <v>0</v>
      </c>
      <c r="F357" s="679">
        <v>0</v>
      </c>
      <c r="G357" s="678">
        <v>114479200</v>
      </c>
      <c r="H357" s="679">
        <v>0</v>
      </c>
      <c r="I357" s="677" t="s">
        <v>1047</v>
      </c>
    </row>
    <row r="358" spans="1:9" ht="17.100000000000001" customHeight="1">
      <c r="A358" s="677">
        <v>15039901</v>
      </c>
      <c r="B358" s="677" t="s">
        <v>1048</v>
      </c>
      <c r="C358" s="678">
        <v>110000000</v>
      </c>
      <c r="D358" s="679">
        <v>0</v>
      </c>
      <c r="E358" s="679">
        <v>0</v>
      </c>
      <c r="F358" s="679">
        <v>0</v>
      </c>
      <c r="G358" s="678">
        <v>110000000</v>
      </c>
      <c r="H358" s="679">
        <v>0</v>
      </c>
      <c r="I358" s="677" t="s">
        <v>1049</v>
      </c>
    </row>
    <row r="359" spans="1:9" ht="17.100000000000001" customHeight="1">
      <c r="A359" s="677">
        <v>15039904</v>
      </c>
      <c r="B359" s="677" t="s">
        <v>2787</v>
      </c>
      <c r="C359" s="678">
        <v>4479200</v>
      </c>
      <c r="D359" s="679">
        <v>0</v>
      </c>
      <c r="E359" s="679">
        <v>0</v>
      </c>
      <c r="F359" s="679">
        <v>0</v>
      </c>
      <c r="G359" s="678">
        <v>4479200</v>
      </c>
      <c r="H359" s="679">
        <v>0</v>
      </c>
      <c r="I359" s="677" t="s">
        <v>2788</v>
      </c>
    </row>
    <row r="360" spans="1:9" ht="17.100000000000001" customHeight="1">
      <c r="A360" s="677">
        <v>1511</v>
      </c>
      <c r="B360" s="677" t="s">
        <v>1050</v>
      </c>
      <c r="C360" s="678">
        <v>2109736650</v>
      </c>
      <c r="D360" s="679">
        <v>0</v>
      </c>
      <c r="E360" s="679">
        <v>0</v>
      </c>
      <c r="F360" s="679">
        <v>0</v>
      </c>
      <c r="G360" s="678">
        <v>2109736650</v>
      </c>
      <c r="H360" s="679">
        <v>0</v>
      </c>
      <c r="I360" s="677" t="s">
        <v>1051</v>
      </c>
    </row>
    <row r="361" spans="1:9" ht="17.100000000000001" customHeight="1">
      <c r="A361" s="677">
        <v>151101</v>
      </c>
      <c r="B361" s="677" t="s">
        <v>2789</v>
      </c>
      <c r="C361" s="678">
        <v>2109736650</v>
      </c>
      <c r="D361" s="679">
        <v>0</v>
      </c>
      <c r="E361" s="679">
        <v>0</v>
      </c>
      <c r="F361" s="679">
        <v>0</v>
      </c>
      <c r="G361" s="678">
        <v>2109736650</v>
      </c>
      <c r="H361" s="679">
        <v>0</v>
      </c>
      <c r="I361" s="677" t="s">
        <v>2790</v>
      </c>
    </row>
    <row r="362" spans="1:9" ht="17.100000000000001" customHeight="1">
      <c r="A362" s="677">
        <v>15110101</v>
      </c>
      <c r="B362" s="677" t="s">
        <v>2791</v>
      </c>
      <c r="C362" s="678">
        <v>2109578000</v>
      </c>
      <c r="D362" s="679">
        <v>0</v>
      </c>
      <c r="E362" s="679">
        <v>0</v>
      </c>
      <c r="F362" s="679">
        <v>0</v>
      </c>
      <c r="G362" s="678">
        <v>2109578000</v>
      </c>
      <c r="H362" s="679">
        <v>0</v>
      </c>
      <c r="I362" s="677" t="s">
        <v>2792</v>
      </c>
    </row>
    <row r="363" spans="1:9" ht="17.100000000000001" customHeight="1">
      <c r="A363" s="677">
        <v>15110104</v>
      </c>
      <c r="B363" s="677" t="s">
        <v>3368</v>
      </c>
      <c r="C363" s="678">
        <v>158650</v>
      </c>
      <c r="D363" s="679">
        <v>0</v>
      </c>
      <c r="E363" s="679">
        <v>0</v>
      </c>
      <c r="F363" s="679">
        <v>0</v>
      </c>
      <c r="G363" s="678">
        <v>158650</v>
      </c>
      <c r="H363" s="679">
        <v>0</v>
      </c>
      <c r="I363" s="677" t="s">
        <v>3369</v>
      </c>
    </row>
    <row r="364" spans="1:9" ht="17.100000000000001" customHeight="1">
      <c r="A364" s="677">
        <v>1521</v>
      </c>
      <c r="B364" s="677" t="s">
        <v>1052</v>
      </c>
      <c r="C364" s="678">
        <v>443007061.99000001</v>
      </c>
      <c r="D364" s="679">
        <v>0</v>
      </c>
      <c r="E364" s="678">
        <v>2308909.52</v>
      </c>
      <c r="F364" s="679">
        <v>0</v>
      </c>
      <c r="G364" s="678">
        <v>445315971.50999999</v>
      </c>
      <c r="H364" s="679">
        <v>0</v>
      </c>
      <c r="I364" s="677" t="s">
        <v>1053</v>
      </c>
    </row>
    <row r="365" spans="1:9" ht="17.100000000000001" customHeight="1">
      <c r="A365" s="677">
        <v>152101</v>
      </c>
      <c r="B365" s="677" t="s">
        <v>1054</v>
      </c>
      <c r="C365" s="678">
        <v>443007061.99000001</v>
      </c>
      <c r="D365" s="679">
        <v>0</v>
      </c>
      <c r="E365" s="678">
        <v>2308909.52</v>
      </c>
      <c r="F365" s="679">
        <v>0</v>
      </c>
      <c r="G365" s="678">
        <v>445315971.50999999</v>
      </c>
      <c r="H365" s="679">
        <v>0</v>
      </c>
      <c r="I365" s="677" t="s">
        <v>1055</v>
      </c>
    </row>
    <row r="366" spans="1:9" ht="17.100000000000001" customHeight="1">
      <c r="A366" s="677">
        <v>15210101</v>
      </c>
      <c r="B366" s="677" t="s">
        <v>1054</v>
      </c>
      <c r="C366" s="678">
        <v>443007061.99000001</v>
      </c>
      <c r="D366" s="679">
        <v>0</v>
      </c>
      <c r="E366" s="678">
        <v>2308909.52</v>
      </c>
      <c r="F366" s="679">
        <v>0</v>
      </c>
      <c r="G366" s="678">
        <v>445315971.50999999</v>
      </c>
      <c r="H366" s="679">
        <v>0</v>
      </c>
      <c r="I366" s="677" t="s">
        <v>1056</v>
      </c>
    </row>
    <row r="367" spans="1:9" ht="17.100000000000001" customHeight="1">
      <c r="A367" s="677">
        <v>1522</v>
      </c>
      <c r="B367" s="677" t="s">
        <v>1057</v>
      </c>
      <c r="C367" s="679">
        <v>0</v>
      </c>
      <c r="D367" s="678">
        <v>241784080.91</v>
      </c>
      <c r="E367" s="679">
        <v>0</v>
      </c>
      <c r="F367" s="678">
        <v>3561056.82</v>
      </c>
      <c r="G367" s="679">
        <v>0</v>
      </c>
      <c r="H367" s="678">
        <v>245345137.72999999</v>
      </c>
      <c r="I367" s="677" t="s">
        <v>1058</v>
      </c>
    </row>
    <row r="368" spans="1:9" ht="17.100000000000001" customHeight="1">
      <c r="A368" s="677">
        <v>152201</v>
      </c>
      <c r="B368" s="677" t="s">
        <v>1059</v>
      </c>
      <c r="C368" s="679">
        <v>0</v>
      </c>
      <c r="D368" s="678">
        <v>241784080.91</v>
      </c>
      <c r="E368" s="679">
        <v>0</v>
      </c>
      <c r="F368" s="678">
        <v>3561056.82</v>
      </c>
      <c r="G368" s="679">
        <v>0</v>
      </c>
      <c r="H368" s="678">
        <v>245345137.72999999</v>
      </c>
      <c r="I368" s="677" t="s">
        <v>1060</v>
      </c>
    </row>
    <row r="369" spans="1:9" ht="17.100000000000001" customHeight="1">
      <c r="A369" s="677">
        <v>15220101</v>
      </c>
      <c r="B369" s="677" t="s">
        <v>1059</v>
      </c>
      <c r="C369" s="679">
        <v>0</v>
      </c>
      <c r="D369" s="678">
        <v>241784080.91</v>
      </c>
      <c r="E369" s="679">
        <v>0</v>
      </c>
      <c r="F369" s="678">
        <v>3561056.82</v>
      </c>
      <c r="G369" s="679">
        <v>0</v>
      </c>
      <c r="H369" s="678">
        <v>245345137.72999999</v>
      </c>
      <c r="I369" s="677" t="s">
        <v>1061</v>
      </c>
    </row>
    <row r="370" spans="1:9" ht="17.100000000000001" customHeight="1">
      <c r="A370" s="677">
        <v>1531</v>
      </c>
      <c r="B370" s="677" t="s">
        <v>1062</v>
      </c>
      <c r="C370" s="678">
        <v>123715485984.75</v>
      </c>
      <c r="D370" s="679">
        <v>0</v>
      </c>
      <c r="E370" s="678">
        <v>5606108630.1099997</v>
      </c>
      <c r="F370" s="678">
        <v>627679078.48000002</v>
      </c>
      <c r="G370" s="681">
        <v>128693915536.38</v>
      </c>
      <c r="H370" s="679">
        <v>0</v>
      </c>
      <c r="I370" s="677" t="s">
        <v>1063</v>
      </c>
    </row>
    <row r="371" spans="1:9" ht="17.100000000000001" customHeight="1">
      <c r="A371" s="677">
        <v>153199</v>
      </c>
      <c r="B371" s="677" t="s">
        <v>1064</v>
      </c>
      <c r="C371" s="678">
        <v>123715485984.75</v>
      </c>
      <c r="D371" s="679">
        <v>0</v>
      </c>
      <c r="E371" s="678">
        <v>5606108630.1099997</v>
      </c>
      <c r="F371" s="678">
        <v>627679078.48000002</v>
      </c>
      <c r="G371" s="678">
        <v>128693915536.38</v>
      </c>
      <c r="H371" s="679">
        <v>0</v>
      </c>
      <c r="I371" s="677" t="s">
        <v>1065</v>
      </c>
    </row>
    <row r="372" spans="1:9" ht="17.100000000000001" customHeight="1">
      <c r="A372" s="677">
        <v>15319901</v>
      </c>
      <c r="B372" s="677" t="s">
        <v>1066</v>
      </c>
      <c r="C372" s="678">
        <v>123089068564.50999</v>
      </c>
      <c r="D372" s="679">
        <v>0</v>
      </c>
      <c r="E372" s="678">
        <v>5600091800.6300001</v>
      </c>
      <c r="F372" s="678">
        <v>623000000</v>
      </c>
      <c r="G372" s="678">
        <v>128066160365.14</v>
      </c>
      <c r="H372" s="679">
        <v>0</v>
      </c>
      <c r="I372" s="677" t="s">
        <v>1067</v>
      </c>
    </row>
    <row r="373" spans="1:9" ht="17.100000000000001" customHeight="1">
      <c r="A373" s="677">
        <v>15319902</v>
      </c>
      <c r="B373" s="677" t="s">
        <v>3440</v>
      </c>
      <c r="C373" s="678">
        <v>6788376.7699999996</v>
      </c>
      <c r="D373" s="679">
        <v>0</v>
      </c>
      <c r="E373" s="678">
        <v>35745.300000000003</v>
      </c>
      <c r="F373" s="678">
        <v>61341.59</v>
      </c>
      <c r="G373" s="678">
        <v>6762780.4800000004</v>
      </c>
      <c r="H373" s="679">
        <v>0</v>
      </c>
      <c r="I373" s="677" t="s">
        <v>3441</v>
      </c>
    </row>
    <row r="374" spans="1:9" ht="17.100000000000001" customHeight="1">
      <c r="A374" s="677">
        <v>15319903</v>
      </c>
      <c r="B374" s="677" t="s">
        <v>1068</v>
      </c>
      <c r="C374" s="678">
        <v>619629043.47000003</v>
      </c>
      <c r="D374" s="679">
        <v>0</v>
      </c>
      <c r="E374" s="678">
        <v>5981084.1799999997</v>
      </c>
      <c r="F374" s="678">
        <v>4617736.8899999997</v>
      </c>
      <c r="G374" s="678">
        <v>620992390.75999999</v>
      </c>
      <c r="H374" s="679">
        <v>0</v>
      </c>
      <c r="I374" s="677" t="s">
        <v>1069</v>
      </c>
    </row>
    <row r="375" spans="1:9" ht="17.100000000000001" customHeight="1">
      <c r="A375" s="677">
        <v>1601</v>
      </c>
      <c r="B375" s="677" t="s">
        <v>1070</v>
      </c>
      <c r="C375" s="678">
        <v>4961331394.9399996</v>
      </c>
      <c r="D375" s="679">
        <v>0</v>
      </c>
      <c r="E375" s="678">
        <v>9863813.7300000004</v>
      </c>
      <c r="F375" s="678">
        <v>2043011.71</v>
      </c>
      <c r="G375" s="678">
        <v>4969152196.96</v>
      </c>
      <c r="H375" s="679">
        <v>0</v>
      </c>
      <c r="I375" s="677" t="s">
        <v>1071</v>
      </c>
    </row>
    <row r="376" spans="1:9" ht="17.100000000000001" customHeight="1">
      <c r="A376" s="677">
        <v>160101</v>
      </c>
      <c r="B376" s="677" t="s">
        <v>1070</v>
      </c>
      <c r="C376" s="678">
        <v>4961331394.9399996</v>
      </c>
      <c r="D376" s="679">
        <v>0</v>
      </c>
      <c r="E376" s="678">
        <v>9863813.7300000004</v>
      </c>
      <c r="F376" s="678">
        <v>2043011.71</v>
      </c>
      <c r="G376" s="678">
        <v>4969152196.96</v>
      </c>
      <c r="H376" s="679">
        <v>0</v>
      </c>
      <c r="I376" s="677" t="s">
        <v>1072</v>
      </c>
    </row>
    <row r="377" spans="1:9" ht="17.100000000000001" customHeight="1">
      <c r="A377" s="677">
        <v>16010101</v>
      </c>
      <c r="B377" s="677" t="s">
        <v>1070</v>
      </c>
      <c r="C377" s="678">
        <v>4961331394.9399996</v>
      </c>
      <c r="D377" s="679">
        <v>0</v>
      </c>
      <c r="E377" s="678">
        <v>9863813.7300000004</v>
      </c>
      <c r="F377" s="678">
        <v>2043011.71</v>
      </c>
      <c r="G377" s="678">
        <v>4969152196.96</v>
      </c>
      <c r="H377" s="679">
        <v>0</v>
      </c>
      <c r="I377" s="677" t="s">
        <v>1073</v>
      </c>
    </row>
    <row r="378" spans="1:9" ht="17.100000000000001" customHeight="1">
      <c r="A378" s="677">
        <v>1602</v>
      </c>
      <c r="B378" s="677" t="s">
        <v>1074</v>
      </c>
      <c r="C378" s="679">
        <v>0</v>
      </c>
      <c r="D378" s="678">
        <v>3456580730.0100002</v>
      </c>
      <c r="E378" s="678">
        <v>1748928.92</v>
      </c>
      <c r="F378" s="678">
        <v>28495261.710000001</v>
      </c>
      <c r="G378" s="679">
        <v>0</v>
      </c>
      <c r="H378" s="678">
        <v>3483327062.8000002</v>
      </c>
      <c r="I378" s="677" t="s">
        <v>1075</v>
      </c>
    </row>
    <row r="379" spans="1:9" ht="17.100000000000001" customHeight="1">
      <c r="A379" s="677">
        <v>160201</v>
      </c>
      <c r="B379" s="677" t="s">
        <v>1074</v>
      </c>
      <c r="C379" s="679">
        <v>0</v>
      </c>
      <c r="D379" s="678">
        <v>3456580730.0100002</v>
      </c>
      <c r="E379" s="678">
        <v>1748928.92</v>
      </c>
      <c r="F379" s="678">
        <v>28495261.710000001</v>
      </c>
      <c r="G379" s="679">
        <v>0</v>
      </c>
      <c r="H379" s="678">
        <v>3483327062.8000002</v>
      </c>
      <c r="I379" s="677" t="s">
        <v>1076</v>
      </c>
    </row>
    <row r="380" spans="1:9" ht="17.100000000000001" customHeight="1">
      <c r="A380" s="677">
        <v>16020101</v>
      </c>
      <c r="B380" s="677" t="s">
        <v>1074</v>
      </c>
      <c r="C380" s="679">
        <v>0</v>
      </c>
      <c r="D380" s="678">
        <v>3456580730.0100002</v>
      </c>
      <c r="E380" s="678">
        <v>1748928.92</v>
      </c>
      <c r="F380" s="678">
        <v>28495261.710000001</v>
      </c>
      <c r="G380" s="679">
        <v>0</v>
      </c>
      <c r="H380" s="678">
        <v>3483327062.8000002</v>
      </c>
      <c r="I380" s="677" t="s">
        <v>1077</v>
      </c>
    </row>
    <row r="381" spans="1:9" ht="17.100000000000001" customHeight="1">
      <c r="A381" s="677">
        <v>1604</v>
      </c>
      <c r="B381" s="677" t="s">
        <v>1078</v>
      </c>
      <c r="C381" s="678">
        <v>187085941.63999999</v>
      </c>
      <c r="D381" s="679">
        <v>0</v>
      </c>
      <c r="E381" s="678">
        <v>11277455.84</v>
      </c>
      <c r="F381" s="678">
        <v>5104445.5599999996</v>
      </c>
      <c r="G381" s="678">
        <v>193258951.91999999</v>
      </c>
      <c r="H381" s="679">
        <v>0</v>
      </c>
      <c r="I381" s="677" t="s">
        <v>1079</v>
      </c>
    </row>
    <row r="382" spans="1:9" ht="17.100000000000001" customHeight="1">
      <c r="A382" s="677">
        <v>160401</v>
      </c>
      <c r="B382" s="677" t="s">
        <v>1078</v>
      </c>
      <c r="C382" s="678">
        <v>187085941.63999999</v>
      </c>
      <c r="D382" s="679">
        <v>0</v>
      </c>
      <c r="E382" s="678">
        <v>11277455.84</v>
      </c>
      <c r="F382" s="678">
        <v>5104445.5599999996</v>
      </c>
      <c r="G382" s="678">
        <v>193258951.91999999</v>
      </c>
      <c r="H382" s="679">
        <v>0</v>
      </c>
      <c r="I382" s="677" t="s">
        <v>1080</v>
      </c>
    </row>
    <row r="383" spans="1:9" ht="17.100000000000001" customHeight="1">
      <c r="A383" s="677">
        <v>16040101</v>
      </c>
      <c r="B383" s="677" t="s">
        <v>1078</v>
      </c>
      <c r="C383" s="678">
        <v>187085941.63999999</v>
      </c>
      <c r="D383" s="679">
        <v>0</v>
      </c>
      <c r="E383" s="678">
        <v>11277455.84</v>
      </c>
      <c r="F383" s="678">
        <v>5104445.5599999996</v>
      </c>
      <c r="G383" s="678">
        <v>193258951.91999999</v>
      </c>
      <c r="H383" s="679">
        <v>0</v>
      </c>
      <c r="I383" s="677" t="s">
        <v>1081</v>
      </c>
    </row>
    <row r="384" spans="1:9" ht="17.100000000000001" customHeight="1">
      <c r="A384" s="677">
        <v>1606</v>
      </c>
      <c r="B384" s="677" t="s">
        <v>1082</v>
      </c>
      <c r="C384" s="678">
        <v>4783980.79</v>
      </c>
      <c r="D384" s="679">
        <v>0</v>
      </c>
      <c r="E384" s="678">
        <v>86675.91</v>
      </c>
      <c r="F384" s="679">
        <v>0</v>
      </c>
      <c r="G384" s="678">
        <v>4870656.7</v>
      </c>
      <c r="H384" s="679">
        <v>0</v>
      </c>
      <c r="I384" s="677" t="s">
        <v>1083</v>
      </c>
    </row>
    <row r="385" spans="1:9" ht="17.100000000000001" customHeight="1">
      <c r="A385" s="677">
        <v>160601</v>
      </c>
      <c r="B385" s="677" t="s">
        <v>3442</v>
      </c>
      <c r="C385" s="678">
        <v>4783980.79</v>
      </c>
      <c r="D385" s="679">
        <v>0</v>
      </c>
      <c r="E385" s="678">
        <v>86675.91</v>
      </c>
      <c r="F385" s="679">
        <v>0</v>
      </c>
      <c r="G385" s="678">
        <v>4870656.7</v>
      </c>
      <c r="H385" s="679">
        <v>0</v>
      </c>
      <c r="I385" s="677" t="s">
        <v>1084</v>
      </c>
    </row>
    <row r="386" spans="1:9" ht="17.100000000000001" customHeight="1">
      <c r="A386" s="677">
        <v>16060101</v>
      </c>
      <c r="B386" s="677" t="s">
        <v>3443</v>
      </c>
      <c r="C386" s="678">
        <v>4783980.79</v>
      </c>
      <c r="D386" s="679">
        <v>0</v>
      </c>
      <c r="E386" s="678">
        <v>86675.91</v>
      </c>
      <c r="F386" s="679">
        <v>0</v>
      </c>
      <c r="G386" s="678">
        <v>4870656.7</v>
      </c>
      <c r="H386" s="679">
        <v>0</v>
      </c>
      <c r="I386" s="677" t="s">
        <v>1085</v>
      </c>
    </row>
    <row r="387" spans="1:9" ht="17.100000000000001" customHeight="1">
      <c r="A387" s="677" t="s">
        <v>3850</v>
      </c>
      <c r="B387" s="677" t="s">
        <v>3851</v>
      </c>
      <c r="C387" s="678">
        <v>18973759.710000001</v>
      </c>
      <c r="D387" s="679">
        <v>0</v>
      </c>
      <c r="E387" s="678">
        <v>6359849.7199999997</v>
      </c>
      <c r="F387" s="678">
        <v>25333609.43</v>
      </c>
      <c r="G387" s="679">
        <v>0</v>
      </c>
      <c r="H387" s="679">
        <v>0</v>
      </c>
      <c r="I387" s="677" t="s">
        <v>3852</v>
      </c>
    </row>
    <row r="388" spans="1:9" ht="28.5" customHeight="1">
      <c r="A388" s="320"/>
      <c r="B388" s="320"/>
      <c r="C388" s="320"/>
      <c r="D388" s="557" t="s">
        <v>4317</v>
      </c>
      <c r="E388" s="320" t="s">
        <v>3729</v>
      </c>
      <c r="F388" s="320"/>
      <c r="G388" s="320"/>
      <c r="H388" s="320"/>
      <c r="I388" s="320"/>
    </row>
    <row r="389" spans="1:9">
      <c r="A389" s="671"/>
      <c r="B389" s="671"/>
      <c r="C389" s="671"/>
      <c r="D389" s="671"/>
      <c r="E389" s="671"/>
      <c r="F389" s="671"/>
      <c r="G389" s="671"/>
      <c r="H389" s="671"/>
      <c r="I389" s="671"/>
    </row>
    <row r="390" spans="1:9" ht="22.5">
      <c r="A390" s="320"/>
      <c r="B390" s="320"/>
      <c r="C390" s="672" t="s">
        <v>4316</v>
      </c>
      <c r="D390" s="320"/>
      <c r="E390" s="320"/>
      <c r="F390" s="671"/>
      <c r="G390" s="671"/>
      <c r="H390" s="671"/>
      <c r="I390" s="671"/>
    </row>
    <row r="391" spans="1:9" ht="14.25">
      <c r="A391" s="673" t="s">
        <v>3708</v>
      </c>
      <c r="B391" s="673"/>
      <c r="C391" s="683">
        <v>42551</v>
      </c>
      <c r="D391" s="673"/>
      <c r="E391" s="557" t="s">
        <v>3709</v>
      </c>
      <c r="F391" s="671"/>
      <c r="G391" s="671"/>
      <c r="H391" s="671"/>
      <c r="I391" s="671"/>
    </row>
    <row r="392" spans="1:9" ht="28.5" customHeight="1">
      <c r="A392" s="676" t="s">
        <v>596</v>
      </c>
      <c r="B392" s="676" t="s">
        <v>597</v>
      </c>
      <c r="C392" s="676" t="s">
        <v>3710</v>
      </c>
      <c r="D392" s="676" t="s">
        <v>3711</v>
      </c>
      <c r="E392" s="676" t="s">
        <v>3712</v>
      </c>
      <c r="F392" s="676" t="s">
        <v>3713</v>
      </c>
      <c r="G392" s="676" t="s">
        <v>3714</v>
      </c>
      <c r="H392" s="676" t="s">
        <v>3715</v>
      </c>
      <c r="I392" s="676" t="s">
        <v>596</v>
      </c>
    </row>
    <row r="393" spans="1:9" ht="17.100000000000001" customHeight="1">
      <c r="A393" s="677" t="s">
        <v>1086</v>
      </c>
      <c r="B393" s="677" t="s">
        <v>1087</v>
      </c>
      <c r="C393" s="678">
        <v>-52163713.210000001</v>
      </c>
      <c r="D393" s="679">
        <v>0</v>
      </c>
      <c r="E393" s="678">
        <v>8570</v>
      </c>
      <c r="F393" s="678">
        <v>10235647.140000001</v>
      </c>
      <c r="G393" s="678">
        <v>-62390790.350000001</v>
      </c>
      <c r="H393" s="679">
        <v>0</v>
      </c>
      <c r="I393" s="677" t="s">
        <v>1088</v>
      </c>
    </row>
    <row r="394" spans="1:9" ht="17.100000000000001" customHeight="1">
      <c r="A394" s="677" t="s">
        <v>1089</v>
      </c>
      <c r="B394" s="677" t="s">
        <v>1087</v>
      </c>
      <c r="C394" s="678">
        <v>-52163713.210000001</v>
      </c>
      <c r="D394" s="679">
        <v>0</v>
      </c>
      <c r="E394" s="678">
        <v>8570</v>
      </c>
      <c r="F394" s="678">
        <v>10235647.140000001</v>
      </c>
      <c r="G394" s="678">
        <v>-62390790.350000001</v>
      </c>
      <c r="H394" s="679">
        <v>0</v>
      </c>
      <c r="I394" s="677" t="s">
        <v>1090</v>
      </c>
    </row>
    <row r="395" spans="1:9" ht="17.100000000000001" customHeight="1">
      <c r="A395" s="677" t="s">
        <v>1091</v>
      </c>
      <c r="B395" s="677" t="s">
        <v>1092</v>
      </c>
      <c r="C395" s="678">
        <v>-9039945.0700000003</v>
      </c>
      <c r="D395" s="679">
        <v>0</v>
      </c>
      <c r="E395" s="679">
        <v>0</v>
      </c>
      <c r="F395" s="678">
        <v>581867.72</v>
      </c>
      <c r="G395" s="678">
        <v>-9621812.7899999991</v>
      </c>
      <c r="H395" s="679">
        <v>0</v>
      </c>
      <c r="I395" s="677" t="s">
        <v>1093</v>
      </c>
    </row>
    <row r="396" spans="1:9" ht="17.100000000000001" customHeight="1">
      <c r="A396" s="677" t="s">
        <v>1094</v>
      </c>
      <c r="B396" s="677" t="s">
        <v>1092</v>
      </c>
      <c r="C396" s="678">
        <v>-9039945.0700000003</v>
      </c>
      <c r="D396" s="679">
        <v>0</v>
      </c>
      <c r="E396" s="679">
        <v>0</v>
      </c>
      <c r="F396" s="678">
        <v>581867.72</v>
      </c>
      <c r="G396" s="678">
        <v>-9621812.7899999991</v>
      </c>
      <c r="H396" s="679">
        <v>0</v>
      </c>
      <c r="I396" s="677" t="s">
        <v>1095</v>
      </c>
    </row>
    <row r="397" spans="1:9" ht="17.100000000000001" customHeight="1">
      <c r="A397" s="677" t="s">
        <v>3967</v>
      </c>
      <c r="B397" s="677" t="s">
        <v>3968</v>
      </c>
      <c r="C397" s="678">
        <v>-3169778.38</v>
      </c>
      <c r="D397" s="679">
        <v>0</v>
      </c>
      <c r="E397" s="678">
        <v>-66037.740000000005</v>
      </c>
      <c r="F397" s="678">
        <v>3214562.73</v>
      </c>
      <c r="G397" s="678">
        <v>-6450378.8499999996</v>
      </c>
      <c r="H397" s="679">
        <v>0</v>
      </c>
      <c r="I397" s="677" t="s">
        <v>3969</v>
      </c>
    </row>
    <row r="398" spans="1:9" ht="17.100000000000001" customHeight="1">
      <c r="A398" s="677" t="s">
        <v>3970</v>
      </c>
      <c r="B398" s="677" t="s">
        <v>3968</v>
      </c>
      <c r="C398" s="678">
        <v>-3169778.38</v>
      </c>
      <c r="D398" s="679">
        <v>0</v>
      </c>
      <c r="E398" s="678">
        <v>-66037.740000000005</v>
      </c>
      <c r="F398" s="678">
        <v>3214562.73</v>
      </c>
      <c r="G398" s="678">
        <v>-6450378.8499999996</v>
      </c>
      <c r="H398" s="679">
        <v>0</v>
      </c>
      <c r="I398" s="677" t="s">
        <v>3971</v>
      </c>
    </row>
    <row r="399" spans="1:9" ht="17.100000000000001" customHeight="1">
      <c r="A399" s="677" t="s">
        <v>1096</v>
      </c>
      <c r="B399" s="677" t="s">
        <v>1097</v>
      </c>
      <c r="C399" s="678">
        <v>83347196.370000005</v>
      </c>
      <c r="D399" s="679">
        <v>0</v>
      </c>
      <c r="E399" s="678">
        <v>6417317.46</v>
      </c>
      <c r="F399" s="678">
        <v>11301531.84</v>
      </c>
      <c r="G399" s="678">
        <v>78462981.989999995</v>
      </c>
      <c r="H399" s="679">
        <v>0</v>
      </c>
      <c r="I399" s="677" t="s">
        <v>1098</v>
      </c>
    </row>
    <row r="400" spans="1:9" ht="17.100000000000001" customHeight="1">
      <c r="A400" s="677" t="s">
        <v>1099</v>
      </c>
      <c r="B400" s="677" t="s">
        <v>1097</v>
      </c>
      <c r="C400" s="678">
        <v>83347196.370000005</v>
      </c>
      <c r="D400" s="679">
        <v>0</v>
      </c>
      <c r="E400" s="678">
        <v>6417317.46</v>
      </c>
      <c r="F400" s="678">
        <v>11301531.84</v>
      </c>
      <c r="G400" s="678">
        <v>78462981.989999995</v>
      </c>
      <c r="H400" s="679">
        <v>0</v>
      </c>
      <c r="I400" s="677" t="s">
        <v>1100</v>
      </c>
    </row>
    <row r="401" spans="1:9" ht="17.100000000000001" customHeight="1">
      <c r="A401" s="677">
        <v>1701</v>
      </c>
      <c r="B401" s="677" t="s">
        <v>1101</v>
      </c>
      <c r="C401" s="678">
        <v>225204385.61000001</v>
      </c>
      <c r="D401" s="679">
        <v>0</v>
      </c>
      <c r="E401" s="678">
        <v>3214562.73</v>
      </c>
      <c r="F401" s="678">
        <v>1000000</v>
      </c>
      <c r="G401" s="678">
        <v>227418948.34</v>
      </c>
      <c r="H401" s="679">
        <v>0</v>
      </c>
      <c r="I401" s="677" t="s">
        <v>1102</v>
      </c>
    </row>
    <row r="402" spans="1:9" ht="17.100000000000001" customHeight="1">
      <c r="A402" s="677">
        <v>170101</v>
      </c>
      <c r="B402" s="677" t="s">
        <v>1101</v>
      </c>
      <c r="C402" s="678">
        <v>225204385.61000001</v>
      </c>
      <c r="D402" s="679">
        <v>0</v>
      </c>
      <c r="E402" s="678">
        <v>3214562.73</v>
      </c>
      <c r="F402" s="678">
        <v>1000000</v>
      </c>
      <c r="G402" s="678">
        <v>227418948.34</v>
      </c>
      <c r="H402" s="679">
        <v>0</v>
      </c>
      <c r="I402" s="677" t="s">
        <v>1103</v>
      </c>
    </row>
    <row r="403" spans="1:9" ht="17.100000000000001" customHeight="1">
      <c r="A403" s="677">
        <v>17010101</v>
      </c>
      <c r="B403" s="677" t="s">
        <v>1101</v>
      </c>
      <c r="C403" s="678">
        <v>225204385.61000001</v>
      </c>
      <c r="D403" s="679">
        <v>0</v>
      </c>
      <c r="E403" s="678">
        <v>3214562.73</v>
      </c>
      <c r="F403" s="678">
        <v>1000000</v>
      </c>
      <c r="G403" s="678">
        <v>227418948.34</v>
      </c>
      <c r="H403" s="679">
        <v>0</v>
      </c>
      <c r="I403" s="677" t="s">
        <v>1104</v>
      </c>
    </row>
    <row r="404" spans="1:9" ht="17.100000000000001" customHeight="1">
      <c r="A404" s="677">
        <v>1702</v>
      </c>
      <c r="B404" s="677" t="s">
        <v>1105</v>
      </c>
      <c r="C404" s="679">
        <v>0</v>
      </c>
      <c r="D404" s="678">
        <v>121874637.40000001</v>
      </c>
      <c r="E404" s="678">
        <v>412499.98</v>
      </c>
      <c r="F404" s="678">
        <v>3766251.65</v>
      </c>
      <c r="G404" s="679">
        <v>0</v>
      </c>
      <c r="H404" s="678">
        <v>125228389.06999999</v>
      </c>
      <c r="I404" s="677" t="s">
        <v>1106</v>
      </c>
    </row>
    <row r="405" spans="1:9" ht="17.100000000000001" customHeight="1">
      <c r="A405" s="677">
        <v>170201</v>
      </c>
      <c r="B405" s="677" t="s">
        <v>1105</v>
      </c>
      <c r="C405" s="679">
        <v>0</v>
      </c>
      <c r="D405" s="678">
        <v>121874637.40000001</v>
      </c>
      <c r="E405" s="678">
        <v>412499.98</v>
      </c>
      <c r="F405" s="678">
        <v>3766251.65</v>
      </c>
      <c r="G405" s="679">
        <v>0</v>
      </c>
      <c r="H405" s="678">
        <v>125228389.06999999</v>
      </c>
      <c r="I405" s="677" t="s">
        <v>1107</v>
      </c>
    </row>
    <row r="406" spans="1:9" ht="17.100000000000001" customHeight="1">
      <c r="A406" s="677">
        <v>17020101</v>
      </c>
      <c r="B406" s="677" t="s">
        <v>1105</v>
      </c>
      <c r="C406" s="679">
        <v>0</v>
      </c>
      <c r="D406" s="678">
        <v>121874637.40000001</v>
      </c>
      <c r="E406" s="678">
        <v>412499.98</v>
      </c>
      <c r="F406" s="678">
        <v>3766251.65</v>
      </c>
      <c r="G406" s="679">
        <v>0</v>
      </c>
      <c r="H406" s="678">
        <v>125228389.06999999</v>
      </c>
      <c r="I406" s="677" t="s">
        <v>1108</v>
      </c>
    </row>
    <row r="407" spans="1:9" ht="17.100000000000001" customHeight="1">
      <c r="A407" s="677">
        <v>1801</v>
      </c>
      <c r="B407" s="677" t="s">
        <v>1092</v>
      </c>
      <c r="C407" s="678">
        <v>117307591.51000001</v>
      </c>
      <c r="D407" s="679">
        <v>0</v>
      </c>
      <c r="E407" s="678">
        <v>946492.65</v>
      </c>
      <c r="F407" s="678">
        <v>5009465.51</v>
      </c>
      <c r="G407" s="678">
        <v>113244618.65000001</v>
      </c>
      <c r="H407" s="679">
        <v>0</v>
      </c>
      <c r="I407" s="677" t="s">
        <v>1109</v>
      </c>
    </row>
    <row r="408" spans="1:9" ht="17.100000000000001" customHeight="1">
      <c r="A408" s="677">
        <v>180101</v>
      </c>
      <c r="B408" s="677" t="s">
        <v>1092</v>
      </c>
      <c r="C408" s="678">
        <v>117307591.51000001</v>
      </c>
      <c r="D408" s="679">
        <v>0</v>
      </c>
      <c r="E408" s="678">
        <v>946492.65</v>
      </c>
      <c r="F408" s="678">
        <v>5009465.51</v>
      </c>
      <c r="G408" s="678">
        <v>113244618.65000001</v>
      </c>
      <c r="H408" s="679">
        <v>0</v>
      </c>
      <c r="I408" s="677" t="s">
        <v>1110</v>
      </c>
    </row>
    <row r="409" spans="1:9" ht="17.100000000000001" customHeight="1">
      <c r="A409" s="677">
        <v>18010101</v>
      </c>
      <c r="B409" s="677" t="s">
        <v>1092</v>
      </c>
      <c r="C409" s="678">
        <v>117307591.51000001</v>
      </c>
      <c r="D409" s="679">
        <v>0</v>
      </c>
      <c r="E409" s="678">
        <v>946492.65</v>
      </c>
      <c r="F409" s="678">
        <v>5009465.51</v>
      </c>
      <c r="G409" s="678">
        <v>113244618.65000001</v>
      </c>
      <c r="H409" s="679">
        <v>0</v>
      </c>
      <c r="I409" s="677" t="s">
        <v>1111</v>
      </c>
    </row>
    <row r="410" spans="1:9" ht="17.100000000000001" customHeight="1">
      <c r="A410" s="677">
        <v>1811</v>
      </c>
      <c r="B410" s="677" t="s">
        <v>1112</v>
      </c>
      <c r="C410" s="678">
        <v>1408768410.3199999</v>
      </c>
      <c r="D410" s="679">
        <v>0</v>
      </c>
      <c r="E410" s="679">
        <v>0</v>
      </c>
      <c r="F410" s="679">
        <v>0</v>
      </c>
      <c r="G410" s="678">
        <v>1408768410.3199999</v>
      </c>
      <c r="H410" s="679">
        <v>0</v>
      </c>
      <c r="I410" s="677" t="s">
        <v>1113</v>
      </c>
    </row>
    <row r="411" spans="1:9" ht="17.100000000000001" customHeight="1">
      <c r="A411" s="677">
        <v>181199</v>
      </c>
      <c r="B411" s="677" t="s">
        <v>1114</v>
      </c>
      <c r="C411" s="678">
        <v>1408768410.3199999</v>
      </c>
      <c r="D411" s="679">
        <v>0</v>
      </c>
      <c r="E411" s="679">
        <v>0</v>
      </c>
      <c r="F411" s="679">
        <v>0</v>
      </c>
      <c r="G411" s="678">
        <v>1408768410.3199999</v>
      </c>
      <c r="H411" s="679">
        <v>0</v>
      </c>
      <c r="I411" s="677" t="s">
        <v>1115</v>
      </c>
    </row>
    <row r="412" spans="1:9" ht="17.100000000000001" customHeight="1">
      <c r="A412" s="677">
        <v>18119999</v>
      </c>
      <c r="B412" s="677" t="s">
        <v>1114</v>
      </c>
      <c r="C412" s="678">
        <v>1408768410.3199999</v>
      </c>
      <c r="D412" s="679">
        <v>0</v>
      </c>
      <c r="E412" s="679">
        <v>0</v>
      </c>
      <c r="F412" s="679">
        <v>0</v>
      </c>
      <c r="G412" s="678">
        <v>1408768410.3199999</v>
      </c>
      <c r="H412" s="679">
        <v>0</v>
      </c>
      <c r="I412" s="677" t="s">
        <v>1116</v>
      </c>
    </row>
    <row r="413" spans="1:9" ht="17.100000000000001" customHeight="1">
      <c r="A413" s="677">
        <v>1901</v>
      </c>
      <c r="B413" s="677" t="s">
        <v>1117</v>
      </c>
      <c r="C413" s="678">
        <v>297365914.58999997</v>
      </c>
      <c r="D413" s="679">
        <v>0</v>
      </c>
      <c r="E413" s="679">
        <v>0</v>
      </c>
      <c r="F413" s="679">
        <v>0</v>
      </c>
      <c r="G413" s="678">
        <v>297365914.58999997</v>
      </c>
      <c r="H413" s="679">
        <v>0</v>
      </c>
      <c r="I413" s="677" t="s">
        <v>1118</v>
      </c>
    </row>
    <row r="414" spans="1:9" ht="17.100000000000001" customHeight="1">
      <c r="A414" s="677">
        <v>190101</v>
      </c>
      <c r="B414" s="677" t="s">
        <v>1119</v>
      </c>
      <c r="C414" s="678">
        <v>786917.37</v>
      </c>
      <c r="D414" s="679">
        <v>0</v>
      </c>
      <c r="E414" s="679">
        <v>0</v>
      </c>
      <c r="F414" s="679">
        <v>0</v>
      </c>
      <c r="G414" s="678">
        <v>786917.37</v>
      </c>
      <c r="H414" s="679">
        <v>0</v>
      </c>
      <c r="I414" s="677" t="s">
        <v>1120</v>
      </c>
    </row>
    <row r="415" spans="1:9" ht="17.100000000000001" customHeight="1">
      <c r="A415" s="677">
        <v>19010101</v>
      </c>
      <c r="B415" s="677" t="s">
        <v>1119</v>
      </c>
      <c r="C415" s="678">
        <v>786917.37</v>
      </c>
      <c r="D415" s="679">
        <v>0</v>
      </c>
      <c r="E415" s="679">
        <v>0</v>
      </c>
      <c r="F415" s="679">
        <v>0</v>
      </c>
      <c r="G415" s="678">
        <v>786917.37</v>
      </c>
      <c r="H415" s="679">
        <v>0</v>
      </c>
      <c r="I415" s="677" t="s">
        <v>1121</v>
      </c>
    </row>
    <row r="416" spans="1:9" ht="17.100000000000001" customHeight="1">
      <c r="A416" s="677">
        <v>190102</v>
      </c>
      <c r="B416" s="677" t="s">
        <v>1122</v>
      </c>
      <c r="C416" s="678">
        <v>296578997.22000003</v>
      </c>
      <c r="D416" s="679">
        <v>0</v>
      </c>
      <c r="E416" s="679">
        <v>0</v>
      </c>
      <c r="F416" s="679">
        <v>0</v>
      </c>
      <c r="G416" s="678">
        <v>296578997.22000003</v>
      </c>
      <c r="H416" s="679">
        <v>0</v>
      </c>
      <c r="I416" s="677" t="s">
        <v>1123</v>
      </c>
    </row>
    <row r="417" spans="1:9" ht="17.100000000000001" customHeight="1">
      <c r="A417" s="677">
        <v>19010201</v>
      </c>
      <c r="B417" s="677" t="s">
        <v>1122</v>
      </c>
      <c r="C417" s="678">
        <v>296578997.22000003</v>
      </c>
      <c r="D417" s="679">
        <v>0</v>
      </c>
      <c r="E417" s="679">
        <v>0</v>
      </c>
      <c r="F417" s="679">
        <v>0</v>
      </c>
      <c r="G417" s="678">
        <v>296578997.22000003</v>
      </c>
      <c r="H417" s="679">
        <v>0</v>
      </c>
      <c r="I417" s="677" t="s">
        <v>1124</v>
      </c>
    </row>
    <row r="418" spans="1:9" ht="17.100000000000001" customHeight="1">
      <c r="A418" s="677" t="s">
        <v>3853</v>
      </c>
      <c r="B418" s="677" t="s">
        <v>3854</v>
      </c>
      <c r="C418" s="679">
        <v>0</v>
      </c>
      <c r="D418" s="678">
        <v>66543.509999999995</v>
      </c>
      <c r="E418" s="678">
        <v>186387899.59</v>
      </c>
      <c r="F418" s="678">
        <v>186321356.08000001</v>
      </c>
      <c r="G418" s="679">
        <v>0</v>
      </c>
      <c r="H418" s="679">
        <v>0</v>
      </c>
      <c r="I418" s="677" t="s">
        <v>3855</v>
      </c>
    </row>
    <row r="419" spans="1:9" ht="17.100000000000001" customHeight="1">
      <c r="A419" s="677" t="s">
        <v>3856</v>
      </c>
      <c r="B419" s="677" t="s">
        <v>3854</v>
      </c>
      <c r="C419" s="679">
        <v>0</v>
      </c>
      <c r="D419" s="678">
        <v>66543.509999999995</v>
      </c>
      <c r="E419" s="678">
        <v>186387899.59</v>
      </c>
      <c r="F419" s="678">
        <v>186321356.08000001</v>
      </c>
      <c r="G419" s="679">
        <v>0</v>
      </c>
      <c r="H419" s="679">
        <v>0</v>
      </c>
      <c r="I419" s="677" t="s">
        <v>3857</v>
      </c>
    </row>
    <row r="420" spans="1:9" ht="17.100000000000001" customHeight="1">
      <c r="A420" s="677" t="s">
        <v>3858</v>
      </c>
      <c r="B420" s="677" t="s">
        <v>3859</v>
      </c>
      <c r="C420" s="679">
        <v>0</v>
      </c>
      <c r="D420" s="678">
        <v>66543.509999999995</v>
      </c>
      <c r="E420" s="678">
        <v>186387899.59</v>
      </c>
      <c r="F420" s="678">
        <v>186321356.08000001</v>
      </c>
      <c r="G420" s="679">
        <v>0</v>
      </c>
      <c r="H420" s="679">
        <v>0</v>
      </c>
      <c r="I420" s="677" t="s">
        <v>3860</v>
      </c>
    </row>
    <row r="421" spans="1:9" ht="17.100000000000001" customHeight="1">
      <c r="A421" s="677"/>
      <c r="B421" s="684" t="s">
        <v>3730</v>
      </c>
      <c r="C421" s="678">
        <v>751299642803.83997</v>
      </c>
      <c r="D421" s="678">
        <v>10464077476.620001</v>
      </c>
      <c r="E421" s="678">
        <v>91802370532.830002</v>
      </c>
      <c r="F421" s="678">
        <v>100955205344.36</v>
      </c>
      <c r="G421" s="678">
        <v>742475124967.89001</v>
      </c>
      <c r="H421" s="678">
        <v>10792394452.200001</v>
      </c>
      <c r="I421" s="677" t="s">
        <v>1125</v>
      </c>
    </row>
    <row r="422" spans="1:9" ht="17.100000000000001" customHeight="1">
      <c r="A422" s="320"/>
      <c r="B422" s="320"/>
      <c r="C422" s="320"/>
      <c r="D422" s="557" t="s">
        <v>4317</v>
      </c>
      <c r="E422" s="320" t="s">
        <v>3731</v>
      </c>
      <c r="F422" s="320"/>
      <c r="G422" s="320"/>
      <c r="H422" s="320"/>
      <c r="I422" s="320"/>
    </row>
    <row r="423" spans="1:9" ht="28.5" customHeight="1">
      <c r="A423" s="671"/>
      <c r="B423" s="671"/>
      <c r="C423" s="671"/>
      <c r="D423" s="671"/>
      <c r="E423" s="671"/>
      <c r="F423" s="671"/>
      <c r="G423" s="671"/>
      <c r="H423" s="671"/>
      <c r="I423" s="671"/>
    </row>
    <row r="424" spans="1:9" ht="22.5">
      <c r="A424" s="320"/>
      <c r="B424" s="320"/>
      <c r="C424" s="672" t="s">
        <v>4316</v>
      </c>
      <c r="D424" s="320"/>
      <c r="E424" s="320"/>
      <c r="F424" s="671"/>
      <c r="G424" s="671"/>
      <c r="H424" s="671"/>
      <c r="I424" s="671"/>
    </row>
    <row r="425" spans="1:9" ht="14.25">
      <c r="A425" s="673" t="s">
        <v>3708</v>
      </c>
      <c r="B425" s="673"/>
      <c r="C425" s="683">
        <v>42551</v>
      </c>
      <c r="D425" s="673"/>
      <c r="E425" s="557" t="s">
        <v>3709</v>
      </c>
      <c r="F425" s="671"/>
      <c r="G425" s="671"/>
      <c r="H425" s="671"/>
      <c r="I425" s="671"/>
    </row>
    <row r="426" spans="1:9">
      <c r="A426" s="676" t="s">
        <v>596</v>
      </c>
      <c r="B426" s="676" t="s">
        <v>597</v>
      </c>
      <c r="C426" s="676" t="s">
        <v>3710</v>
      </c>
      <c r="D426" s="676" t="s">
        <v>3711</v>
      </c>
      <c r="E426" s="676" t="s">
        <v>3712</v>
      </c>
      <c r="F426" s="676" t="s">
        <v>3713</v>
      </c>
      <c r="G426" s="676" t="s">
        <v>3714</v>
      </c>
      <c r="H426" s="676" t="s">
        <v>3715</v>
      </c>
      <c r="I426" s="676" t="s">
        <v>596</v>
      </c>
    </row>
    <row r="427" spans="1:9" ht="28.5" customHeight="1">
      <c r="A427" s="677">
        <v>2001</v>
      </c>
      <c r="B427" s="677" t="s">
        <v>230</v>
      </c>
      <c r="C427" s="679">
        <v>0</v>
      </c>
      <c r="D427" s="678">
        <v>64261506438.980003</v>
      </c>
      <c r="E427" s="678">
        <v>13282392370.629999</v>
      </c>
      <c r="F427" s="678">
        <v>14256668726.719999</v>
      </c>
      <c r="G427" s="679">
        <v>0</v>
      </c>
      <c r="H427" s="678">
        <v>65235782795.07</v>
      </c>
      <c r="I427" s="677" t="s">
        <v>1126</v>
      </c>
    </row>
    <row r="428" spans="1:9" ht="17.100000000000001" customHeight="1">
      <c r="A428" s="677">
        <v>200101</v>
      </c>
      <c r="B428" s="677" t="s">
        <v>230</v>
      </c>
      <c r="C428" s="679">
        <v>0</v>
      </c>
      <c r="D428" s="678">
        <v>64261506438.980003</v>
      </c>
      <c r="E428" s="678">
        <v>13282392370.629999</v>
      </c>
      <c r="F428" s="678">
        <v>14256668726.719999</v>
      </c>
      <c r="G428" s="679">
        <v>0</v>
      </c>
      <c r="H428" s="678">
        <v>65235782795.07</v>
      </c>
      <c r="I428" s="677" t="s">
        <v>1127</v>
      </c>
    </row>
    <row r="429" spans="1:9" ht="17.100000000000001" customHeight="1">
      <c r="A429" s="677">
        <v>20010101</v>
      </c>
      <c r="B429" s="677" t="s">
        <v>1128</v>
      </c>
      <c r="C429" s="679">
        <v>0</v>
      </c>
      <c r="D429" s="678">
        <v>64261506438.980003</v>
      </c>
      <c r="E429" s="678">
        <v>13282392370.629999</v>
      </c>
      <c r="F429" s="678">
        <v>14256668726.719999</v>
      </c>
      <c r="G429" s="679">
        <v>0</v>
      </c>
      <c r="H429" s="678">
        <v>65235782795.07</v>
      </c>
      <c r="I429" s="677" t="s">
        <v>1129</v>
      </c>
    </row>
    <row r="430" spans="1:9" ht="17.100000000000001" customHeight="1">
      <c r="A430" s="677">
        <v>2002</v>
      </c>
      <c r="B430" s="677" t="s">
        <v>241</v>
      </c>
      <c r="C430" s="679">
        <v>0</v>
      </c>
      <c r="D430" s="678">
        <v>74068704819.759995</v>
      </c>
      <c r="E430" s="678">
        <v>156661572.21000001</v>
      </c>
      <c r="F430" s="678">
        <v>274199579.79000002</v>
      </c>
      <c r="G430" s="679">
        <v>0</v>
      </c>
      <c r="H430" s="678">
        <v>74186242827.339996</v>
      </c>
      <c r="I430" s="677" t="s">
        <v>1130</v>
      </c>
    </row>
    <row r="431" spans="1:9" ht="17.100000000000001" customHeight="1">
      <c r="A431" s="677">
        <v>200201</v>
      </c>
      <c r="B431" s="677" t="s">
        <v>1131</v>
      </c>
      <c r="C431" s="679">
        <v>0</v>
      </c>
      <c r="D431" s="678">
        <v>59110383506.120003</v>
      </c>
      <c r="E431" s="678">
        <v>156661572.21000001</v>
      </c>
      <c r="F431" s="678">
        <v>261120050.91999999</v>
      </c>
      <c r="G431" s="679">
        <v>0</v>
      </c>
      <c r="H431" s="678">
        <v>59214841984.830002</v>
      </c>
      <c r="I431" s="677" t="s">
        <v>1132</v>
      </c>
    </row>
    <row r="432" spans="1:9" ht="17.100000000000001" customHeight="1">
      <c r="A432" s="677">
        <v>20020103</v>
      </c>
      <c r="B432" s="677" t="s">
        <v>1133</v>
      </c>
      <c r="C432" s="679">
        <v>0</v>
      </c>
      <c r="D432" s="678">
        <v>1802291600.49</v>
      </c>
      <c r="E432" s="679">
        <v>70.36</v>
      </c>
      <c r="F432" s="678">
        <v>30124697.199999999</v>
      </c>
      <c r="G432" s="679">
        <v>0</v>
      </c>
      <c r="H432" s="678">
        <v>1832416227.3299999</v>
      </c>
      <c r="I432" s="677" t="s">
        <v>1134</v>
      </c>
    </row>
    <row r="433" spans="1:9" ht="17.100000000000001" customHeight="1">
      <c r="A433" s="677">
        <v>20020105</v>
      </c>
      <c r="B433" s="677" t="s">
        <v>1135</v>
      </c>
      <c r="C433" s="679">
        <v>0</v>
      </c>
      <c r="D433" s="678">
        <v>3415220147.6999998</v>
      </c>
      <c r="E433" s="678">
        <v>500000</v>
      </c>
      <c r="F433" s="678">
        <v>22000000</v>
      </c>
      <c r="G433" s="679">
        <v>0</v>
      </c>
      <c r="H433" s="678">
        <v>3436720147.6999998</v>
      </c>
      <c r="I433" s="677" t="s">
        <v>1136</v>
      </c>
    </row>
    <row r="434" spans="1:9" ht="17.100000000000001" customHeight="1">
      <c r="A434" s="677">
        <v>20020109</v>
      </c>
      <c r="B434" s="677" t="s">
        <v>1137</v>
      </c>
      <c r="C434" s="679">
        <v>0</v>
      </c>
      <c r="D434" s="678">
        <v>22305310145.48</v>
      </c>
      <c r="E434" s="678">
        <v>107841325.52</v>
      </c>
      <c r="F434" s="678">
        <v>165141092.38999999</v>
      </c>
      <c r="G434" s="679">
        <v>0</v>
      </c>
      <c r="H434" s="678">
        <v>22362609912.349998</v>
      </c>
      <c r="I434" s="677" t="s">
        <v>1138</v>
      </c>
    </row>
    <row r="435" spans="1:9" ht="17.100000000000001" customHeight="1">
      <c r="A435" s="677">
        <v>20020111</v>
      </c>
      <c r="B435" s="677" t="s">
        <v>1139</v>
      </c>
      <c r="C435" s="679">
        <v>0</v>
      </c>
      <c r="D435" s="678">
        <v>3244561662.6399999</v>
      </c>
      <c r="E435" s="679">
        <v>0</v>
      </c>
      <c r="F435" s="678">
        <v>4750000</v>
      </c>
      <c r="G435" s="679">
        <v>0</v>
      </c>
      <c r="H435" s="678">
        <v>3249311662.6399999</v>
      </c>
      <c r="I435" s="677" t="s">
        <v>1140</v>
      </c>
    </row>
    <row r="436" spans="1:9" ht="17.100000000000001" customHeight="1">
      <c r="A436" s="677">
        <v>20020113</v>
      </c>
      <c r="B436" s="677" t="s">
        <v>1141</v>
      </c>
      <c r="C436" s="679">
        <v>0</v>
      </c>
      <c r="D436" s="678">
        <v>11418532335.799999</v>
      </c>
      <c r="E436" s="679">
        <v>0</v>
      </c>
      <c r="F436" s="678">
        <v>13000000</v>
      </c>
      <c r="G436" s="679">
        <v>0</v>
      </c>
      <c r="H436" s="678">
        <v>11431532335.799999</v>
      </c>
      <c r="I436" s="677" t="s">
        <v>1142</v>
      </c>
    </row>
    <row r="437" spans="1:9" ht="17.100000000000001" customHeight="1">
      <c r="A437" s="677">
        <v>20020115</v>
      </c>
      <c r="B437" s="677" t="s">
        <v>1143</v>
      </c>
      <c r="C437" s="679">
        <v>0</v>
      </c>
      <c r="D437" s="678">
        <v>16924467614.01</v>
      </c>
      <c r="E437" s="678">
        <v>48320176.329999998</v>
      </c>
      <c r="F437" s="678">
        <v>26104261.329999998</v>
      </c>
      <c r="G437" s="679">
        <v>0</v>
      </c>
      <c r="H437" s="678">
        <v>16902251699.01</v>
      </c>
      <c r="I437" s="677" t="s">
        <v>1144</v>
      </c>
    </row>
    <row r="438" spans="1:9" ht="17.100000000000001" customHeight="1">
      <c r="A438" s="680">
        <v>200202</v>
      </c>
      <c r="B438" s="680" t="s">
        <v>283</v>
      </c>
      <c r="C438" s="682">
        <v>0</v>
      </c>
      <c r="D438" s="681">
        <v>9225000000</v>
      </c>
      <c r="E438" s="682">
        <v>0</v>
      </c>
      <c r="F438" s="682">
        <v>0</v>
      </c>
      <c r="G438" s="682">
        <v>0</v>
      </c>
      <c r="H438" s="681">
        <v>9225000000</v>
      </c>
      <c r="I438" s="680" t="s">
        <v>1145</v>
      </c>
    </row>
    <row r="439" spans="1:9" ht="17.100000000000001" customHeight="1">
      <c r="A439" s="677">
        <v>20020201</v>
      </c>
      <c r="B439" s="677" t="s">
        <v>1146</v>
      </c>
      <c r="C439" s="679">
        <v>0</v>
      </c>
      <c r="D439" s="678">
        <v>9225000000</v>
      </c>
      <c r="E439" s="679">
        <v>0</v>
      </c>
      <c r="F439" s="679">
        <v>0</v>
      </c>
      <c r="G439" s="679">
        <v>0</v>
      </c>
      <c r="H439" s="678">
        <v>9225000000</v>
      </c>
      <c r="I439" s="677" t="s">
        <v>1147</v>
      </c>
    </row>
    <row r="440" spans="1:9" ht="17.100000000000001" customHeight="1">
      <c r="A440" s="677">
        <v>200203</v>
      </c>
      <c r="B440" s="677" t="s">
        <v>1148</v>
      </c>
      <c r="C440" s="679">
        <v>0</v>
      </c>
      <c r="D440" s="678">
        <v>4317121313.6400003</v>
      </c>
      <c r="E440" s="679">
        <v>0</v>
      </c>
      <c r="F440" s="678">
        <v>13079528.869999999</v>
      </c>
      <c r="G440" s="679">
        <v>0</v>
      </c>
      <c r="H440" s="678">
        <v>4330200842.5100002</v>
      </c>
      <c r="I440" s="677" t="s">
        <v>1149</v>
      </c>
    </row>
    <row r="441" spans="1:9" ht="17.100000000000001" customHeight="1">
      <c r="A441" s="677">
        <v>20020301</v>
      </c>
      <c r="B441" s="677" t="s">
        <v>1150</v>
      </c>
      <c r="C441" s="679">
        <v>0</v>
      </c>
      <c r="D441" s="678">
        <v>4317121313.6400003</v>
      </c>
      <c r="E441" s="679">
        <v>0</v>
      </c>
      <c r="F441" s="678">
        <v>13079528.869999999</v>
      </c>
      <c r="G441" s="679">
        <v>0</v>
      </c>
      <c r="H441" s="678">
        <v>4330200842.5100002</v>
      </c>
      <c r="I441" s="677" t="s">
        <v>1151</v>
      </c>
    </row>
    <row r="442" spans="1:9" ht="17.100000000000001" customHeight="1">
      <c r="A442" s="677">
        <v>200204</v>
      </c>
      <c r="B442" s="677" t="s">
        <v>2668</v>
      </c>
      <c r="C442" s="679">
        <v>0</v>
      </c>
      <c r="D442" s="678">
        <v>1416200000</v>
      </c>
      <c r="E442" s="679">
        <v>0</v>
      </c>
      <c r="F442" s="679">
        <v>0</v>
      </c>
      <c r="G442" s="679">
        <v>0</v>
      </c>
      <c r="H442" s="678">
        <v>1416200000</v>
      </c>
      <c r="I442" s="677" t="s">
        <v>2669</v>
      </c>
    </row>
    <row r="443" spans="1:9" ht="17.100000000000001" customHeight="1">
      <c r="A443" s="677">
        <v>20020401</v>
      </c>
      <c r="B443" s="677" t="s">
        <v>2670</v>
      </c>
      <c r="C443" s="679">
        <v>0</v>
      </c>
      <c r="D443" s="678">
        <v>1416200000</v>
      </c>
      <c r="E443" s="679">
        <v>0</v>
      </c>
      <c r="F443" s="679">
        <v>0</v>
      </c>
      <c r="G443" s="679">
        <v>0</v>
      </c>
      <c r="H443" s="678">
        <v>1416200000</v>
      </c>
      <c r="I443" s="677" t="s">
        <v>2671</v>
      </c>
    </row>
    <row r="444" spans="1:9" ht="17.100000000000001" customHeight="1">
      <c r="A444" s="677">
        <v>2003</v>
      </c>
      <c r="B444" s="677" t="s">
        <v>325</v>
      </c>
      <c r="C444" s="679">
        <v>0</v>
      </c>
      <c r="D444" s="678">
        <v>73469918357.910004</v>
      </c>
      <c r="E444" s="678">
        <v>3815163307.6500001</v>
      </c>
      <c r="F444" s="678">
        <v>5215068315.0699997</v>
      </c>
      <c r="G444" s="679">
        <v>0</v>
      </c>
      <c r="H444" s="678">
        <v>74869823365.330002</v>
      </c>
      <c r="I444" s="677" t="s">
        <v>1152</v>
      </c>
    </row>
    <row r="445" spans="1:9" ht="17.100000000000001" customHeight="1">
      <c r="A445" s="677">
        <v>200301</v>
      </c>
      <c r="B445" s="677" t="s">
        <v>1153</v>
      </c>
      <c r="C445" s="679">
        <v>0</v>
      </c>
      <c r="D445" s="678">
        <v>830607493.52999997</v>
      </c>
      <c r="E445" s="678">
        <v>5142976.78</v>
      </c>
      <c r="F445" s="678">
        <v>5117652.38</v>
      </c>
      <c r="G445" s="679">
        <v>0</v>
      </c>
      <c r="H445" s="678">
        <v>830582169.13</v>
      </c>
      <c r="I445" s="677" t="s">
        <v>1154</v>
      </c>
    </row>
    <row r="446" spans="1:9" ht="17.100000000000001" customHeight="1">
      <c r="A446" s="677">
        <v>20030101</v>
      </c>
      <c r="B446" s="677" t="s">
        <v>1155</v>
      </c>
      <c r="C446" s="679">
        <v>0</v>
      </c>
      <c r="D446" s="678">
        <v>830099055.38</v>
      </c>
      <c r="E446" s="678">
        <v>5142976.78</v>
      </c>
      <c r="F446" s="678">
        <v>5117652.38</v>
      </c>
      <c r="G446" s="679">
        <v>0</v>
      </c>
      <c r="H446" s="678">
        <v>830073730.98000002</v>
      </c>
      <c r="I446" s="677" t="s">
        <v>1156</v>
      </c>
    </row>
    <row r="447" spans="1:9" ht="17.100000000000001" customHeight="1">
      <c r="A447" s="677">
        <v>20030103</v>
      </c>
      <c r="B447" s="677" t="s">
        <v>1157</v>
      </c>
      <c r="C447" s="679">
        <v>0</v>
      </c>
      <c r="D447" s="678">
        <v>508438.15</v>
      </c>
      <c r="E447" s="679">
        <v>0</v>
      </c>
      <c r="F447" s="679">
        <v>0</v>
      </c>
      <c r="G447" s="679">
        <v>0</v>
      </c>
      <c r="H447" s="678">
        <v>508438.15</v>
      </c>
      <c r="I447" s="677" t="s">
        <v>1158</v>
      </c>
    </row>
    <row r="448" spans="1:9" ht="17.100000000000001" customHeight="1">
      <c r="A448" s="677">
        <v>200302</v>
      </c>
      <c r="B448" s="677" t="s">
        <v>1159</v>
      </c>
      <c r="C448" s="679">
        <v>0</v>
      </c>
      <c r="D448" s="678">
        <v>72639310864.380005</v>
      </c>
      <c r="E448" s="678">
        <v>3810020330.8699999</v>
      </c>
      <c r="F448" s="678">
        <v>5209950662.6899996</v>
      </c>
      <c r="G448" s="679">
        <v>0</v>
      </c>
      <c r="H448" s="678">
        <v>74039241196.199997</v>
      </c>
      <c r="I448" s="677" t="s">
        <v>1160</v>
      </c>
    </row>
    <row r="449" spans="1:9" ht="17.100000000000001" customHeight="1">
      <c r="A449" s="677">
        <v>20030201</v>
      </c>
      <c r="B449" s="677" t="s">
        <v>1161</v>
      </c>
      <c r="C449" s="679">
        <v>0</v>
      </c>
      <c r="D449" s="678">
        <v>72639310864.380005</v>
      </c>
      <c r="E449" s="678">
        <v>3810020330.8699999</v>
      </c>
      <c r="F449" s="678">
        <v>5209950662.6899996</v>
      </c>
      <c r="G449" s="679">
        <v>0</v>
      </c>
      <c r="H449" s="678">
        <v>74039241196.199997</v>
      </c>
      <c r="I449" s="677" t="s">
        <v>1162</v>
      </c>
    </row>
    <row r="450" spans="1:9" ht="17.100000000000001" customHeight="1">
      <c r="A450" s="677">
        <v>2004</v>
      </c>
      <c r="B450" s="677" t="s">
        <v>334</v>
      </c>
      <c r="C450" s="679">
        <v>0</v>
      </c>
      <c r="D450" s="678">
        <v>104665379469.69</v>
      </c>
      <c r="E450" s="678">
        <v>424516042.79000002</v>
      </c>
      <c r="F450" s="678">
        <v>368529095.95999998</v>
      </c>
      <c r="G450" s="679">
        <v>0</v>
      </c>
      <c r="H450" s="678">
        <v>104609392522.86</v>
      </c>
      <c r="I450" s="677" t="s">
        <v>1163</v>
      </c>
    </row>
    <row r="451" spans="1:9" ht="17.100000000000001" customHeight="1">
      <c r="A451" s="677">
        <v>200401</v>
      </c>
      <c r="B451" s="677" t="s">
        <v>1164</v>
      </c>
      <c r="C451" s="679">
        <v>0</v>
      </c>
      <c r="D451" s="678">
        <v>102585957113.09</v>
      </c>
      <c r="E451" s="678">
        <v>255778910.77000001</v>
      </c>
      <c r="F451" s="678">
        <v>284491648.01999998</v>
      </c>
      <c r="G451" s="679">
        <v>0</v>
      </c>
      <c r="H451" s="678">
        <v>102614669850.34</v>
      </c>
      <c r="I451" s="677" t="s">
        <v>1165</v>
      </c>
    </row>
    <row r="452" spans="1:9" ht="17.100000000000001" customHeight="1">
      <c r="A452" s="677">
        <v>20040101</v>
      </c>
      <c r="B452" s="677" t="s">
        <v>1166</v>
      </c>
      <c r="C452" s="679">
        <v>0</v>
      </c>
      <c r="D452" s="678">
        <v>178153.44</v>
      </c>
      <c r="E452" s="679">
        <v>0</v>
      </c>
      <c r="F452" s="678">
        <v>1559.99</v>
      </c>
      <c r="G452" s="679">
        <v>0</v>
      </c>
      <c r="H452" s="678">
        <v>179713.43</v>
      </c>
      <c r="I452" s="677" t="s">
        <v>1167</v>
      </c>
    </row>
    <row r="453" spans="1:9" ht="17.100000000000001" customHeight="1">
      <c r="A453" s="677">
        <v>20040103</v>
      </c>
      <c r="B453" s="677" t="s">
        <v>1168</v>
      </c>
      <c r="C453" s="679">
        <v>0</v>
      </c>
      <c r="D453" s="678">
        <v>3947688475.8000002</v>
      </c>
      <c r="E453" s="678">
        <v>23229109.440000001</v>
      </c>
      <c r="F453" s="678">
        <v>49765671.130000003</v>
      </c>
      <c r="G453" s="679">
        <v>0</v>
      </c>
      <c r="H453" s="678">
        <v>3974225037.4899998</v>
      </c>
      <c r="I453" s="677" t="s">
        <v>1169</v>
      </c>
    </row>
    <row r="454" spans="1:9" ht="17.100000000000001" customHeight="1">
      <c r="A454" s="677">
        <v>20040105</v>
      </c>
      <c r="B454" s="677" t="s">
        <v>1170</v>
      </c>
      <c r="C454" s="679">
        <v>0</v>
      </c>
      <c r="D454" s="678">
        <v>5996916247.7299995</v>
      </c>
      <c r="E454" s="678">
        <v>19367849.34</v>
      </c>
      <c r="F454" s="678">
        <v>22326197.469999999</v>
      </c>
      <c r="G454" s="679">
        <v>0</v>
      </c>
      <c r="H454" s="678">
        <v>5999874595.8599997</v>
      </c>
      <c r="I454" s="677" t="s">
        <v>1171</v>
      </c>
    </row>
    <row r="455" spans="1:9" ht="17.100000000000001" customHeight="1">
      <c r="A455" s="677">
        <v>20040107</v>
      </c>
      <c r="B455" s="677" t="s">
        <v>1172</v>
      </c>
      <c r="C455" s="679">
        <v>0</v>
      </c>
      <c r="D455" s="678">
        <v>5171.87</v>
      </c>
      <c r="E455" s="679">
        <v>0</v>
      </c>
      <c r="F455" s="679">
        <v>0</v>
      </c>
      <c r="G455" s="679">
        <v>0</v>
      </c>
      <c r="H455" s="678">
        <v>5171.87</v>
      </c>
      <c r="I455" s="677" t="s">
        <v>1173</v>
      </c>
    </row>
    <row r="456" spans="1:9" ht="17.100000000000001" customHeight="1">
      <c r="A456" s="677">
        <v>20040109</v>
      </c>
      <c r="B456" s="677" t="s">
        <v>1174</v>
      </c>
      <c r="C456" s="679">
        <v>0</v>
      </c>
      <c r="D456" s="678">
        <v>52897155140.110001</v>
      </c>
      <c r="E456" s="678">
        <v>186025208.87</v>
      </c>
      <c r="F456" s="678">
        <v>191543232.16999999</v>
      </c>
      <c r="G456" s="679">
        <v>0</v>
      </c>
      <c r="H456" s="678">
        <v>52902673163.410004</v>
      </c>
      <c r="I456" s="677" t="s">
        <v>1175</v>
      </c>
    </row>
    <row r="457" spans="1:9" ht="17.100000000000001" customHeight="1">
      <c r="A457" s="677">
        <v>20040111</v>
      </c>
      <c r="B457" s="677" t="s">
        <v>1176</v>
      </c>
      <c r="C457" s="679">
        <v>0</v>
      </c>
      <c r="D457" s="678">
        <v>16928766803.879999</v>
      </c>
      <c r="E457" s="678">
        <v>17839545.559999999</v>
      </c>
      <c r="F457" s="678">
        <v>11693298.34</v>
      </c>
      <c r="G457" s="679">
        <v>0</v>
      </c>
      <c r="H457" s="678">
        <v>16922620556.66</v>
      </c>
      <c r="I457" s="677" t="s">
        <v>1177</v>
      </c>
    </row>
    <row r="458" spans="1:9" ht="17.100000000000001" customHeight="1">
      <c r="A458" s="677">
        <v>20040113</v>
      </c>
      <c r="B458" s="677" t="s">
        <v>1178</v>
      </c>
      <c r="C458" s="679">
        <v>0</v>
      </c>
      <c r="D458" s="678">
        <v>16526913672.889999</v>
      </c>
      <c r="E458" s="678">
        <v>7891130.9699999997</v>
      </c>
      <c r="F458" s="678">
        <v>8168821.2999999998</v>
      </c>
      <c r="G458" s="679">
        <v>0</v>
      </c>
      <c r="H458" s="678">
        <v>16527191363.219999</v>
      </c>
      <c r="I458" s="677" t="s">
        <v>1179</v>
      </c>
    </row>
    <row r="459" spans="1:9" ht="17.100000000000001" customHeight="1">
      <c r="A459" s="677">
        <v>20040115</v>
      </c>
      <c r="B459" s="677" t="s">
        <v>1180</v>
      </c>
      <c r="C459" s="679">
        <v>0</v>
      </c>
      <c r="D459" s="678">
        <v>6288198286.1400003</v>
      </c>
      <c r="E459" s="678">
        <v>1426066.59</v>
      </c>
      <c r="F459" s="678">
        <v>992867.62</v>
      </c>
      <c r="G459" s="679">
        <v>0</v>
      </c>
      <c r="H459" s="678">
        <v>6287765087.1700001</v>
      </c>
      <c r="I459" s="677" t="s">
        <v>1181</v>
      </c>
    </row>
    <row r="460" spans="1:9" ht="17.100000000000001" customHeight="1">
      <c r="A460" s="677">
        <v>20040117</v>
      </c>
      <c r="B460" s="677" t="s">
        <v>1182</v>
      </c>
      <c r="C460" s="679">
        <v>0</v>
      </c>
      <c r="D460" s="678">
        <v>135161.23000000001</v>
      </c>
      <c r="E460" s="679">
        <v>0</v>
      </c>
      <c r="F460" s="679">
        <v>0</v>
      </c>
      <c r="G460" s="679">
        <v>0</v>
      </c>
      <c r="H460" s="678">
        <v>135161.23000000001</v>
      </c>
      <c r="I460" s="677" t="s">
        <v>1183</v>
      </c>
    </row>
    <row r="461" spans="1:9" ht="17.100000000000001" customHeight="1">
      <c r="A461" s="320"/>
      <c r="B461" s="320"/>
      <c r="C461" s="320"/>
      <c r="D461" s="557" t="s">
        <v>4317</v>
      </c>
      <c r="E461" s="320" t="s">
        <v>3732</v>
      </c>
      <c r="F461" s="320"/>
      <c r="G461" s="320"/>
      <c r="H461" s="320"/>
      <c r="I461" s="320"/>
    </row>
    <row r="462" spans="1:9" ht="28.5" customHeight="1">
      <c r="A462" s="671"/>
      <c r="B462" s="671"/>
      <c r="C462" s="671"/>
      <c r="D462" s="671"/>
      <c r="E462" s="671"/>
      <c r="F462" s="671"/>
      <c r="G462" s="671"/>
      <c r="H462" s="671"/>
      <c r="I462" s="671"/>
    </row>
    <row r="463" spans="1:9" ht="22.5">
      <c r="A463" s="320"/>
      <c r="B463" s="320"/>
      <c r="C463" s="672" t="s">
        <v>4316</v>
      </c>
      <c r="D463" s="320"/>
      <c r="E463" s="320"/>
      <c r="F463" s="671"/>
      <c r="G463" s="671"/>
      <c r="H463" s="671"/>
      <c r="I463" s="671"/>
    </row>
    <row r="464" spans="1:9" ht="14.25">
      <c r="A464" s="673" t="s">
        <v>3708</v>
      </c>
      <c r="B464" s="673"/>
      <c r="C464" s="683">
        <v>42551</v>
      </c>
      <c r="D464" s="673"/>
      <c r="E464" s="557" t="s">
        <v>3709</v>
      </c>
      <c r="F464" s="671"/>
      <c r="G464" s="671"/>
      <c r="H464" s="671"/>
      <c r="I464" s="671"/>
    </row>
    <row r="465" spans="1:9">
      <c r="A465" s="676" t="s">
        <v>596</v>
      </c>
      <c r="B465" s="676" t="s">
        <v>597</v>
      </c>
      <c r="C465" s="676" t="s">
        <v>3710</v>
      </c>
      <c r="D465" s="676" t="s">
        <v>3711</v>
      </c>
      <c r="E465" s="676" t="s">
        <v>3712</v>
      </c>
      <c r="F465" s="676" t="s">
        <v>3713</v>
      </c>
      <c r="G465" s="676" t="s">
        <v>3714</v>
      </c>
      <c r="H465" s="676" t="s">
        <v>3715</v>
      </c>
      <c r="I465" s="676" t="s">
        <v>596</v>
      </c>
    </row>
    <row r="466" spans="1:9" ht="28.5" customHeight="1">
      <c r="A466" s="677">
        <v>200402</v>
      </c>
      <c r="B466" s="677" t="s">
        <v>1184</v>
      </c>
      <c r="C466" s="679">
        <v>0</v>
      </c>
      <c r="D466" s="678">
        <v>1352031.23</v>
      </c>
      <c r="E466" s="679">
        <v>0</v>
      </c>
      <c r="F466" s="678">
        <v>5000</v>
      </c>
      <c r="G466" s="679">
        <v>0</v>
      </c>
      <c r="H466" s="678">
        <v>1357031.23</v>
      </c>
      <c r="I466" s="677" t="s">
        <v>1185</v>
      </c>
    </row>
    <row r="467" spans="1:9" ht="17.100000000000001" customHeight="1">
      <c r="A467" s="677">
        <v>20040201</v>
      </c>
      <c r="B467" s="677" t="s">
        <v>1186</v>
      </c>
      <c r="C467" s="679">
        <v>0</v>
      </c>
      <c r="D467" s="678">
        <v>749581.23</v>
      </c>
      <c r="E467" s="679">
        <v>0</v>
      </c>
      <c r="F467" s="678">
        <v>2000</v>
      </c>
      <c r="G467" s="679">
        <v>0</v>
      </c>
      <c r="H467" s="678">
        <v>751581.23</v>
      </c>
      <c r="I467" s="677" t="s">
        <v>1187</v>
      </c>
    </row>
    <row r="468" spans="1:9" ht="17.100000000000001" customHeight="1">
      <c r="A468" s="677">
        <v>20040203</v>
      </c>
      <c r="B468" s="677" t="s">
        <v>1188</v>
      </c>
      <c r="C468" s="679">
        <v>0</v>
      </c>
      <c r="D468" s="678">
        <v>387800</v>
      </c>
      <c r="E468" s="679">
        <v>0</v>
      </c>
      <c r="F468" s="678">
        <v>3000</v>
      </c>
      <c r="G468" s="679">
        <v>0</v>
      </c>
      <c r="H468" s="678">
        <v>390800</v>
      </c>
      <c r="I468" s="677" t="s">
        <v>1189</v>
      </c>
    </row>
    <row r="469" spans="1:9" ht="17.100000000000001" customHeight="1">
      <c r="A469" s="677">
        <v>20040205</v>
      </c>
      <c r="B469" s="677" t="s">
        <v>1190</v>
      </c>
      <c r="C469" s="679">
        <v>0</v>
      </c>
      <c r="D469" s="678">
        <v>214650</v>
      </c>
      <c r="E469" s="679">
        <v>0</v>
      </c>
      <c r="F469" s="679">
        <v>0</v>
      </c>
      <c r="G469" s="679">
        <v>0</v>
      </c>
      <c r="H469" s="678">
        <v>214650</v>
      </c>
      <c r="I469" s="677" t="s">
        <v>1191</v>
      </c>
    </row>
    <row r="470" spans="1:9" ht="17.100000000000001" customHeight="1">
      <c r="A470" s="677">
        <v>200403</v>
      </c>
      <c r="B470" s="677" t="s">
        <v>1192</v>
      </c>
      <c r="C470" s="679">
        <v>0</v>
      </c>
      <c r="D470" s="678">
        <v>250000</v>
      </c>
      <c r="E470" s="679">
        <v>0</v>
      </c>
      <c r="F470" s="679">
        <v>0</v>
      </c>
      <c r="G470" s="679">
        <v>0</v>
      </c>
      <c r="H470" s="678">
        <v>250000</v>
      </c>
      <c r="I470" s="677" t="s">
        <v>1193</v>
      </c>
    </row>
    <row r="471" spans="1:9" ht="17.100000000000001" customHeight="1">
      <c r="A471" s="677">
        <v>20040303</v>
      </c>
      <c r="B471" s="677" t="s">
        <v>1194</v>
      </c>
      <c r="C471" s="679">
        <v>0</v>
      </c>
      <c r="D471" s="678">
        <v>250000</v>
      </c>
      <c r="E471" s="679">
        <v>0</v>
      </c>
      <c r="F471" s="679">
        <v>0</v>
      </c>
      <c r="G471" s="679">
        <v>0</v>
      </c>
      <c r="H471" s="678">
        <v>250000</v>
      </c>
      <c r="I471" s="677" t="s">
        <v>1195</v>
      </c>
    </row>
    <row r="472" spans="1:9" ht="17.100000000000001" customHeight="1">
      <c r="A472" s="677">
        <v>200406</v>
      </c>
      <c r="B472" s="677" t="s">
        <v>1196</v>
      </c>
      <c r="C472" s="679">
        <v>0</v>
      </c>
      <c r="D472" s="678">
        <v>1762333684.74</v>
      </c>
      <c r="E472" s="678">
        <v>166437132.02000001</v>
      </c>
      <c r="F472" s="678">
        <v>83212447.939999998</v>
      </c>
      <c r="G472" s="679">
        <v>0</v>
      </c>
      <c r="H472" s="678">
        <v>1679109000.6600001</v>
      </c>
      <c r="I472" s="677" t="s">
        <v>1197</v>
      </c>
    </row>
    <row r="473" spans="1:9" ht="17.100000000000001" customHeight="1">
      <c r="A473" s="677">
        <v>20040601</v>
      </c>
      <c r="B473" s="677" t="s">
        <v>1198</v>
      </c>
      <c r="C473" s="679">
        <v>0</v>
      </c>
      <c r="D473" s="678">
        <v>1762333684.74</v>
      </c>
      <c r="E473" s="678">
        <v>166437132.02000001</v>
      </c>
      <c r="F473" s="678">
        <v>83212447.939999998</v>
      </c>
      <c r="G473" s="679">
        <v>0</v>
      </c>
      <c r="H473" s="678">
        <v>1679109000.6600001</v>
      </c>
      <c r="I473" s="677" t="s">
        <v>1199</v>
      </c>
    </row>
    <row r="474" spans="1:9" ht="17.100000000000001" customHeight="1">
      <c r="A474" s="677">
        <v>200407</v>
      </c>
      <c r="B474" s="677" t="s">
        <v>1200</v>
      </c>
      <c r="C474" s="679">
        <v>0</v>
      </c>
      <c r="D474" s="678">
        <v>41984.6</v>
      </c>
      <c r="E474" s="679">
        <v>0</v>
      </c>
      <c r="F474" s="679">
        <v>0</v>
      </c>
      <c r="G474" s="679">
        <v>0</v>
      </c>
      <c r="H474" s="678">
        <v>41984.6</v>
      </c>
      <c r="I474" s="677" t="s">
        <v>1201</v>
      </c>
    </row>
    <row r="475" spans="1:9" ht="17.100000000000001" customHeight="1">
      <c r="A475" s="677">
        <v>20040701</v>
      </c>
      <c r="B475" s="677" t="s">
        <v>1202</v>
      </c>
      <c r="C475" s="679">
        <v>0</v>
      </c>
      <c r="D475" s="678">
        <v>41984.6</v>
      </c>
      <c r="E475" s="679">
        <v>0</v>
      </c>
      <c r="F475" s="679">
        <v>0</v>
      </c>
      <c r="G475" s="679">
        <v>0</v>
      </c>
      <c r="H475" s="678">
        <v>41984.6</v>
      </c>
      <c r="I475" s="677" t="s">
        <v>1203</v>
      </c>
    </row>
    <row r="476" spans="1:9" ht="17.100000000000001" customHeight="1">
      <c r="A476" s="677">
        <v>200408</v>
      </c>
      <c r="B476" s="677" t="s">
        <v>1204</v>
      </c>
      <c r="C476" s="679">
        <v>0</v>
      </c>
      <c r="D476" s="678">
        <v>899255.03</v>
      </c>
      <c r="E476" s="679">
        <v>0</v>
      </c>
      <c r="F476" s="679">
        <v>0</v>
      </c>
      <c r="G476" s="679">
        <v>0</v>
      </c>
      <c r="H476" s="678">
        <v>899255.03</v>
      </c>
      <c r="I476" s="677" t="s">
        <v>1205</v>
      </c>
    </row>
    <row r="477" spans="1:9" ht="17.100000000000001" customHeight="1">
      <c r="A477" s="677">
        <v>20040801</v>
      </c>
      <c r="B477" s="677" t="s">
        <v>1204</v>
      </c>
      <c r="C477" s="679">
        <v>0</v>
      </c>
      <c r="D477" s="678">
        <v>899255.03</v>
      </c>
      <c r="E477" s="679">
        <v>0</v>
      </c>
      <c r="F477" s="679">
        <v>0</v>
      </c>
      <c r="G477" s="679">
        <v>0</v>
      </c>
      <c r="H477" s="678">
        <v>899255.03</v>
      </c>
      <c r="I477" s="677" t="s">
        <v>1206</v>
      </c>
    </row>
    <row r="478" spans="1:9" ht="17.100000000000001" customHeight="1">
      <c r="A478" s="677">
        <v>200409</v>
      </c>
      <c r="B478" s="677" t="s">
        <v>2672</v>
      </c>
      <c r="C478" s="679">
        <v>0</v>
      </c>
      <c r="D478" s="678">
        <v>313750000</v>
      </c>
      <c r="E478" s="678">
        <v>2300000</v>
      </c>
      <c r="F478" s="678">
        <v>820000</v>
      </c>
      <c r="G478" s="679">
        <v>0</v>
      </c>
      <c r="H478" s="678">
        <v>312270000</v>
      </c>
      <c r="I478" s="677" t="s">
        <v>2673</v>
      </c>
    </row>
    <row r="479" spans="1:9" ht="17.100000000000001" customHeight="1">
      <c r="A479" s="677">
        <v>20040901</v>
      </c>
      <c r="B479" s="677" t="s">
        <v>2674</v>
      </c>
      <c r="C479" s="679">
        <v>0</v>
      </c>
      <c r="D479" s="678">
        <v>313750000</v>
      </c>
      <c r="E479" s="678">
        <v>2300000</v>
      </c>
      <c r="F479" s="678">
        <v>820000</v>
      </c>
      <c r="G479" s="679">
        <v>0</v>
      </c>
      <c r="H479" s="678">
        <v>312270000</v>
      </c>
      <c r="I479" s="677" t="s">
        <v>2675</v>
      </c>
    </row>
    <row r="480" spans="1:9" ht="17.100000000000001" customHeight="1">
      <c r="A480" s="677">
        <v>200499</v>
      </c>
      <c r="B480" s="677" t="s">
        <v>368</v>
      </c>
      <c r="C480" s="679">
        <v>0</v>
      </c>
      <c r="D480" s="678">
        <v>795401</v>
      </c>
      <c r="E480" s="679">
        <v>0</v>
      </c>
      <c r="F480" s="679">
        <v>0</v>
      </c>
      <c r="G480" s="679">
        <v>0</v>
      </c>
      <c r="H480" s="678">
        <v>795401</v>
      </c>
      <c r="I480" s="677" t="s">
        <v>1207</v>
      </c>
    </row>
    <row r="481" spans="1:9" ht="17.100000000000001" customHeight="1">
      <c r="A481" s="677">
        <v>20049901</v>
      </c>
      <c r="B481" s="677" t="s">
        <v>1208</v>
      </c>
      <c r="C481" s="679">
        <v>0</v>
      </c>
      <c r="D481" s="678">
        <v>795401</v>
      </c>
      <c r="E481" s="679">
        <v>0</v>
      </c>
      <c r="F481" s="679">
        <v>0</v>
      </c>
      <c r="G481" s="679">
        <v>0</v>
      </c>
      <c r="H481" s="678">
        <v>795401</v>
      </c>
      <c r="I481" s="677" t="s">
        <v>1209</v>
      </c>
    </row>
    <row r="482" spans="1:9" ht="17.100000000000001" customHeight="1">
      <c r="A482" s="677">
        <v>2005</v>
      </c>
      <c r="B482" s="677" t="s">
        <v>521</v>
      </c>
      <c r="C482" s="679">
        <v>0</v>
      </c>
      <c r="D482" s="678">
        <v>26969900.800000001</v>
      </c>
      <c r="E482" s="678">
        <v>2290995.42</v>
      </c>
      <c r="F482" s="678">
        <v>2180908.64</v>
      </c>
      <c r="G482" s="679">
        <v>0</v>
      </c>
      <c r="H482" s="678">
        <v>26859814.02</v>
      </c>
      <c r="I482" s="677" t="s">
        <v>1210</v>
      </c>
    </row>
    <row r="483" spans="1:9" ht="17.100000000000001" customHeight="1">
      <c r="A483" s="677">
        <v>200503</v>
      </c>
      <c r="B483" s="677" t="s">
        <v>1211</v>
      </c>
      <c r="C483" s="679">
        <v>0</v>
      </c>
      <c r="D483" s="678">
        <v>26407205.100000001</v>
      </c>
      <c r="E483" s="678">
        <v>2290827.62</v>
      </c>
      <c r="F483" s="678">
        <v>2180558.56</v>
      </c>
      <c r="G483" s="679">
        <v>0</v>
      </c>
      <c r="H483" s="678">
        <v>26296936.039999999</v>
      </c>
      <c r="I483" s="677" t="s">
        <v>1212</v>
      </c>
    </row>
    <row r="484" spans="1:9" ht="17.100000000000001" customHeight="1">
      <c r="A484" s="677">
        <v>20050303</v>
      </c>
      <c r="B484" s="677" t="s">
        <v>1213</v>
      </c>
      <c r="C484" s="679">
        <v>0</v>
      </c>
      <c r="D484" s="678">
        <v>26407205.100000001</v>
      </c>
      <c r="E484" s="678">
        <v>2290827.62</v>
      </c>
      <c r="F484" s="678">
        <v>2180558.56</v>
      </c>
      <c r="G484" s="679">
        <v>0</v>
      </c>
      <c r="H484" s="678">
        <v>26296936.039999999</v>
      </c>
      <c r="I484" s="677" t="s">
        <v>1214</v>
      </c>
    </row>
    <row r="485" spans="1:9" ht="17.100000000000001" customHeight="1">
      <c r="A485" s="677">
        <v>200505</v>
      </c>
      <c r="B485" s="677" t="s">
        <v>1215</v>
      </c>
      <c r="C485" s="679">
        <v>0</v>
      </c>
      <c r="D485" s="678">
        <v>562695.69999999995</v>
      </c>
      <c r="E485" s="679">
        <v>167.8</v>
      </c>
      <c r="F485" s="679">
        <v>350.08</v>
      </c>
      <c r="G485" s="679">
        <v>0</v>
      </c>
      <c r="H485" s="678">
        <v>562877.98</v>
      </c>
      <c r="I485" s="677" t="s">
        <v>1216</v>
      </c>
    </row>
    <row r="486" spans="1:9" ht="17.100000000000001" customHeight="1">
      <c r="A486" s="677">
        <v>20050501</v>
      </c>
      <c r="B486" s="677" t="s">
        <v>1217</v>
      </c>
      <c r="C486" s="679">
        <v>0</v>
      </c>
      <c r="D486" s="678">
        <v>121463.59</v>
      </c>
      <c r="E486" s="679">
        <v>90.3</v>
      </c>
      <c r="F486" s="679">
        <v>300.08</v>
      </c>
      <c r="G486" s="679">
        <v>0</v>
      </c>
      <c r="H486" s="678">
        <v>121673.37</v>
      </c>
      <c r="I486" s="677" t="s">
        <v>1218</v>
      </c>
    </row>
    <row r="487" spans="1:9" ht="17.100000000000001" customHeight="1">
      <c r="A487" s="677">
        <v>20050502</v>
      </c>
      <c r="B487" s="677" t="s">
        <v>1219</v>
      </c>
      <c r="C487" s="679">
        <v>0</v>
      </c>
      <c r="D487" s="678">
        <v>5827.2</v>
      </c>
      <c r="E487" s="679">
        <v>50</v>
      </c>
      <c r="F487" s="679">
        <v>50</v>
      </c>
      <c r="G487" s="679">
        <v>0</v>
      </c>
      <c r="H487" s="678">
        <v>5827.2</v>
      </c>
      <c r="I487" s="677" t="s">
        <v>1220</v>
      </c>
    </row>
    <row r="488" spans="1:9" ht="17.100000000000001" customHeight="1">
      <c r="A488" s="677">
        <v>20050503</v>
      </c>
      <c r="B488" s="677" t="s">
        <v>1221</v>
      </c>
      <c r="C488" s="679">
        <v>0</v>
      </c>
      <c r="D488" s="678">
        <v>435404.91</v>
      </c>
      <c r="E488" s="679">
        <v>27.5</v>
      </c>
      <c r="F488" s="679">
        <v>0</v>
      </c>
      <c r="G488" s="679">
        <v>0</v>
      </c>
      <c r="H488" s="678">
        <v>435377.41</v>
      </c>
      <c r="I488" s="677" t="s">
        <v>1222</v>
      </c>
    </row>
    <row r="489" spans="1:9" ht="17.100000000000001" customHeight="1">
      <c r="A489" s="677">
        <v>2006</v>
      </c>
      <c r="B489" s="677" t="s">
        <v>324</v>
      </c>
      <c r="C489" s="679">
        <v>0</v>
      </c>
      <c r="D489" s="678">
        <v>881352496.75</v>
      </c>
      <c r="E489" s="679">
        <v>0</v>
      </c>
      <c r="F489" s="679">
        <v>0</v>
      </c>
      <c r="G489" s="679">
        <v>0</v>
      </c>
      <c r="H489" s="678">
        <v>881352496.75</v>
      </c>
      <c r="I489" s="677" t="s">
        <v>1223</v>
      </c>
    </row>
    <row r="490" spans="1:9" ht="17.100000000000001" customHeight="1">
      <c r="A490" s="677">
        <v>200601</v>
      </c>
      <c r="B490" s="677" t="s">
        <v>324</v>
      </c>
      <c r="C490" s="679">
        <v>0</v>
      </c>
      <c r="D490" s="678">
        <v>881352496.75</v>
      </c>
      <c r="E490" s="679">
        <v>0</v>
      </c>
      <c r="F490" s="679">
        <v>0</v>
      </c>
      <c r="G490" s="679">
        <v>0</v>
      </c>
      <c r="H490" s="678">
        <v>881352496.75</v>
      </c>
      <c r="I490" s="677" t="s">
        <v>1224</v>
      </c>
    </row>
    <row r="491" spans="1:9" ht="17.100000000000001" customHeight="1">
      <c r="A491" s="677">
        <v>20060101</v>
      </c>
      <c r="B491" s="677" t="s">
        <v>1225</v>
      </c>
      <c r="C491" s="679">
        <v>0</v>
      </c>
      <c r="D491" s="678">
        <v>881352496.75</v>
      </c>
      <c r="E491" s="679">
        <v>0</v>
      </c>
      <c r="F491" s="679">
        <v>0</v>
      </c>
      <c r="G491" s="679">
        <v>0</v>
      </c>
      <c r="H491" s="678">
        <v>881352496.75</v>
      </c>
      <c r="I491" s="677" t="s">
        <v>1226</v>
      </c>
    </row>
    <row r="492" spans="1:9" ht="17.100000000000001" customHeight="1">
      <c r="A492" s="677">
        <v>2007</v>
      </c>
      <c r="B492" s="677" t="s">
        <v>522</v>
      </c>
      <c r="C492" s="679">
        <v>0</v>
      </c>
      <c r="D492" s="678">
        <v>22911390.449999999</v>
      </c>
      <c r="E492" s="678">
        <v>34474093.060000002</v>
      </c>
      <c r="F492" s="678">
        <v>39377398.979999997</v>
      </c>
      <c r="G492" s="679">
        <v>0</v>
      </c>
      <c r="H492" s="678">
        <v>27814696.370000001</v>
      </c>
      <c r="I492" s="677" t="s">
        <v>1227</v>
      </c>
    </row>
    <row r="493" spans="1:9" ht="17.100000000000001" customHeight="1">
      <c r="A493" s="677">
        <v>200701</v>
      </c>
      <c r="B493" s="677" t="s">
        <v>522</v>
      </c>
      <c r="C493" s="679">
        <v>0</v>
      </c>
      <c r="D493" s="678">
        <v>12667816.779999999</v>
      </c>
      <c r="E493" s="678">
        <v>16484396.119999999</v>
      </c>
      <c r="F493" s="678">
        <v>22822870.859999999</v>
      </c>
      <c r="G493" s="679">
        <v>0</v>
      </c>
      <c r="H493" s="678">
        <v>19006291.52</v>
      </c>
      <c r="I493" s="677" t="s">
        <v>1228</v>
      </c>
    </row>
    <row r="494" spans="1:9" ht="17.100000000000001" customHeight="1">
      <c r="A494" s="677">
        <v>20070101</v>
      </c>
      <c r="B494" s="677" t="s">
        <v>1229</v>
      </c>
      <c r="C494" s="679">
        <v>0</v>
      </c>
      <c r="D494" s="678">
        <v>12667816.779999999</v>
      </c>
      <c r="E494" s="678">
        <v>16484396.119999999</v>
      </c>
      <c r="F494" s="678">
        <v>22822870.859999999</v>
      </c>
      <c r="G494" s="679">
        <v>0</v>
      </c>
      <c r="H494" s="678">
        <v>19006291.52</v>
      </c>
      <c r="I494" s="677" t="s">
        <v>1230</v>
      </c>
    </row>
    <row r="495" spans="1:9" ht="17.100000000000001" customHeight="1">
      <c r="A495" s="677">
        <v>200705</v>
      </c>
      <c r="B495" s="677" t="s">
        <v>3861</v>
      </c>
      <c r="C495" s="679">
        <v>0</v>
      </c>
      <c r="D495" s="678">
        <v>10243573.67</v>
      </c>
      <c r="E495" s="678">
        <v>17989696.940000001</v>
      </c>
      <c r="F495" s="678">
        <v>16554528.119999999</v>
      </c>
      <c r="G495" s="679">
        <v>0</v>
      </c>
      <c r="H495" s="678">
        <v>8808404.8499999996</v>
      </c>
      <c r="I495" s="677" t="s">
        <v>3862</v>
      </c>
    </row>
    <row r="496" spans="1:9" ht="17.100000000000001" customHeight="1">
      <c r="A496" s="677">
        <v>20070501</v>
      </c>
      <c r="B496" s="677" t="s">
        <v>3861</v>
      </c>
      <c r="C496" s="679">
        <v>0</v>
      </c>
      <c r="D496" s="678">
        <v>10243573.67</v>
      </c>
      <c r="E496" s="678">
        <v>17989696.940000001</v>
      </c>
      <c r="F496" s="678">
        <v>16554528.119999999</v>
      </c>
      <c r="G496" s="679">
        <v>0</v>
      </c>
      <c r="H496" s="678">
        <v>8808404.8499999996</v>
      </c>
      <c r="I496" s="677" t="s">
        <v>3863</v>
      </c>
    </row>
    <row r="497" spans="1:9" ht="17.100000000000001" customHeight="1">
      <c r="A497" s="677">
        <v>2008</v>
      </c>
      <c r="B497" s="677" t="s">
        <v>523</v>
      </c>
      <c r="C497" s="679">
        <v>0</v>
      </c>
      <c r="D497" s="678">
        <v>31159787000</v>
      </c>
      <c r="E497" s="678">
        <v>1342150000</v>
      </c>
      <c r="F497" s="678">
        <v>1718420000</v>
      </c>
      <c r="G497" s="679">
        <v>0</v>
      </c>
      <c r="H497" s="678">
        <v>31536057000</v>
      </c>
      <c r="I497" s="677" t="s">
        <v>1231</v>
      </c>
    </row>
    <row r="498" spans="1:9" ht="17.100000000000001" customHeight="1">
      <c r="A498" s="680">
        <v>200801</v>
      </c>
      <c r="B498" s="680" t="s">
        <v>3444</v>
      </c>
      <c r="C498" s="682">
        <v>0</v>
      </c>
      <c r="D498" s="682">
        <v>0</v>
      </c>
      <c r="E498" s="682">
        <v>0</v>
      </c>
      <c r="F498" s="681">
        <v>824900000</v>
      </c>
      <c r="G498" s="682">
        <v>0</v>
      </c>
      <c r="H498" s="681">
        <v>824900000</v>
      </c>
      <c r="I498" s="680" t="s">
        <v>3445</v>
      </c>
    </row>
    <row r="499" spans="1:9" ht="17.100000000000001" customHeight="1">
      <c r="A499" s="677">
        <v>20080101</v>
      </c>
      <c r="B499" s="677" t="s">
        <v>3446</v>
      </c>
      <c r="C499" s="679">
        <v>0</v>
      </c>
      <c r="D499" s="679">
        <v>0</v>
      </c>
      <c r="E499" s="679">
        <v>0</v>
      </c>
      <c r="F499" s="678">
        <v>824900000</v>
      </c>
      <c r="G499" s="679">
        <v>0</v>
      </c>
      <c r="H499" s="678">
        <v>824900000</v>
      </c>
      <c r="I499" s="677" t="s">
        <v>3447</v>
      </c>
    </row>
    <row r="500" spans="1:9" ht="17.100000000000001" customHeight="1">
      <c r="A500" s="320"/>
      <c r="B500" s="320"/>
      <c r="C500" s="320"/>
      <c r="D500" s="557" t="s">
        <v>4317</v>
      </c>
      <c r="E500" s="320" t="s">
        <v>3733</v>
      </c>
      <c r="F500" s="320"/>
      <c r="G500" s="320"/>
      <c r="H500" s="320"/>
      <c r="I500" s="320"/>
    </row>
    <row r="501" spans="1:9" ht="28.5" customHeight="1">
      <c r="A501" s="671"/>
      <c r="B501" s="671"/>
      <c r="C501" s="671"/>
      <c r="D501" s="671"/>
      <c r="E501" s="671"/>
      <c r="F501" s="671"/>
      <c r="G501" s="671"/>
      <c r="H501" s="671"/>
      <c r="I501" s="671"/>
    </row>
    <row r="502" spans="1:9" ht="22.5">
      <c r="A502" s="320"/>
      <c r="B502" s="320"/>
      <c r="C502" s="672" t="s">
        <v>4316</v>
      </c>
      <c r="D502" s="320"/>
      <c r="E502" s="320"/>
      <c r="F502" s="671"/>
      <c r="G502" s="671"/>
      <c r="H502" s="671"/>
      <c r="I502" s="671"/>
    </row>
    <row r="503" spans="1:9" ht="14.25">
      <c r="A503" s="673" t="s">
        <v>3708</v>
      </c>
      <c r="B503" s="673"/>
      <c r="C503" s="683">
        <v>42551</v>
      </c>
      <c r="D503" s="673"/>
      <c r="E503" s="557" t="s">
        <v>3709</v>
      </c>
      <c r="F503" s="671"/>
      <c r="G503" s="671"/>
      <c r="H503" s="671"/>
      <c r="I503" s="671"/>
    </row>
    <row r="504" spans="1:9">
      <c r="A504" s="676" t="s">
        <v>596</v>
      </c>
      <c r="B504" s="676" t="s">
        <v>597</v>
      </c>
      <c r="C504" s="676" t="s">
        <v>3710</v>
      </c>
      <c r="D504" s="676" t="s">
        <v>3711</v>
      </c>
      <c r="E504" s="676" t="s">
        <v>3712</v>
      </c>
      <c r="F504" s="676" t="s">
        <v>3713</v>
      </c>
      <c r="G504" s="676" t="s">
        <v>3714</v>
      </c>
      <c r="H504" s="676" t="s">
        <v>3715</v>
      </c>
      <c r="I504" s="676" t="s">
        <v>596</v>
      </c>
    </row>
    <row r="505" spans="1:9" ht="28.5" customHeight="1">
      <c r="A505" s="677">
        <v>200802</v>
      </c>
      <c r="B505" s="677" t="s">
        <v>1232</v>
      </c>
      <c r="C505" s="679">
        <v>0</v>
      </c>
      <c r="D505" s="678">
        <v>18297600000</v>
      </c>
      <c r="E505" s="678">
        <v>914900000</v>
      </c>
      <c r="F505" s="678">
        <v>429000000</v>
      </c>
      <c r="G505" s="679">
        <v>0</v>
      </c>
      <c r="H505" s="678">
        <v>17811700000</v>
      </c>
      <c r="I505" s="677" t="s">
        <v>1233</v>
      </c>
    </row>
    <row r="506" spans="1:9" ht="17.100000000000001" customHeight="1">
      <c r="A506" s="677">
        <v>20080201</v>
      </c>
      <c r="B506" s="677" t="s">
        <v>1234</v>
      </c>
      <c r="C506" s="679">
        <v>0</v>
      </c>
      <c r="D506" s="678">
        <v>17825600000</v>
      </c>
      <c r="E506" s="678">
        <v>914900000</v>
      </c>
      <c r="F506" s="678">
        <v>429000000</v>
      </c>
      <c r="G506" s="679">
        <v>0</v>
      </c>
      <c r="H506" s="678">
        <v>17339700000</v>
      </c>
      <c r="I506" s="677" t="s">
        <v>1235</v>
      </c>
    </row>
    <row r="507" spans="1:9" ht="17.100000000000001" customHeight="1">
      <c r="A507" s="677">
        <v>20080203</v>
      </c>
      <c r="B507" s="677" t="s">
        <v>2793</v>
      </c>
      <c r="C507" s="679">
        <v>0</v>
      </c>
      <c r="D507" s="678">
        <v>472000000</v>
      </c>
      <c r="E507" s="679">
        <v>0</v>
      </c>
      <c r="F507" s="679">
        <v>0</v>
      </c>
      <c r="G507" s="679">
        <v>0</v>
      </c>
      <c r="H507" s="678">
        <v>472000000</v>
      </c>
      <c r="I507" s="677" t="s">
        <v>2794</v>
      </c>
    </row>
    <row r="508" spans="1:9" ht="17.100000000000001" customHeight="1">
      <c r="A508" s="680">
        <v>200803</v>
      </c>
      <c r="B508" s="680" t="s">
        <v>3448</v>
      </c>
      <c r="C508" s="682">
        <v>0</v>
      </c>
      <c r="D508" s="682">
        <v>0</v>
      </c>
      <c r="E508" s="682">
        <v>0</v>
      </c>
      <c r="F508" s="681">
        <v>413380000</v>
      </c>
      <c r="G508" s="682">
        <v>0</v>
      </c>
      <c r="H508" s="681">
        <v>413380000</v>
      </c>
      <c r="I508" s="680" t="s">
        <v>3449</v>
      </c>
    </row>
    <row r="509" spans="1:9" ht="17.100000000000001" customHeight="1">
      <c r="A509" s="677">
        <v>20080301</v>
      </c>
      <c r="B509" s="677" t="s">
        <v>3450</v>
      </c>
      <c r="C509" s="679">
        <v>0</v>
      </c>
      <c r="D509" s="679">
        <v>0</v>
      </c>
      <c r="E509" s="679">
        <v>0</v>
      </c>
      <c r="F509" s="678">
        <v>413380000</v>
      </c>
      <c r="G509" s="679">
        <v>0</v>
      </c>
      <c r="H509" s="678">
        <v>413380000</v>
      </c>
      <c r="I509" s="677" t="s">
        <v>3451</v>
      </c>
    </row>
    <row r="510" spans="1:9" ht="17.100000000000001" customHeight="1">
      <c r="A510" s="677">
        <v>200804</v>
      </c>
      <c r="B510" s="677" t="s">
        <v>1236</v>
      </c>
      <c r="C510" s="679">
        <v>0</v>
      </c>
      <c r="D510" s="678">
        <v>12862187000</v>
      </c>
      <c r="E510" s="678">
        <v>427250000</v>
      </c>
      <c r="F510" s="678">
        <v>51140000</v>
      </c>
      <c r="G510" s="679">
        <v>0</v>
      </c>
      <c r="H510" s="678">
        <v>12486077000</v>
      </c>
      <c r="I510" s="677" t="s">
        <v>1237</v>
      </c>
    </row>
    <row r="511" spans="1:9" ht="17.100000000000001" customHeight="1">
      <c r="A511" s="677">
        <v>20080401</v>
      </c>
      <c r="B511" s="677" t="s">
        <v>1238</v>
      </c>
      <c r="C511" s="679">
        <v>0</v>
      </c>
      <c r="D511" s="678">
        <v>12862187000</v>
      </c>
      <c r="E511" s="678">
        <v>427250000</v>
      </c>
      <c r="F511" s="678">
        <v>51140000</v>
      </c>
      <c r="G511" s="679">
        <v>0</v>
      </c>
      <c r="H511" s="678">
        <v>12486077000</v>
      </c>
      <c r="I511" s="677" t="s">
        <v>1239</v>
      </c>
    </row>
    <row r="512" spans="1:9" ht="17.100000000000001" customHeight="1">
      <c r="A512" s="677">
        <v>2009</v>
      </c>
      <c r="B512" s="677" t="s">
        <v>524</v>
      </c>
      <c r="C512" s="679">
        <v>0</v>
      </c>
      <c r="D512" s="678">
        <v>6100000000</v>
      </c>
      <c r="E512" s="679">
        <v>0</v>
      </c>
      <c r="F512" s="679">
        <v>0</v>
      </c>
      <c r="G512" s="679">
        <v>0</v>
      </c>
      <c r="H512" s="678">
        <v>6100000000</v>
      </c>
      <c r="I512" s="677" t="s">
        <v>1240</v>
      </c>
    </row>
    <row r="513" spans="1:9" ht="17.100000000000001" customHeight="1">
      <c r="A513" s="677">
        <v>200901</v>
      </c>
      <c r="B513" s="677" t="s">
        <v>524</v>
      </c>
      <c r="C513" s="679">
        <v>0</v>
      </c>
      <c r="D513" s="678">
        <v>6100000000</v>
      </c>
      <c r="E513" s="679">
        <v>0</v>
      </c>
      <c r="F513" s="679">
        <v>0</v>
      </c>
      <c r="G513" s="679">
        <v>0</v>
      </c>
      <c r="H513" s="678">
        <v>6100000000</v>
      </c>
      <c r="I513" s="677" t="s">
        <v>1241</v>
      </c>
    </row>
    <row r="514" spans="1:9" ht="17.100000000000001" customHeight="1">
      <c r="A514" s="677">
        <v>20090101</v>
      </c>
      <c r="B514" s="677" t="s">
        <v>1242</v>
      </c>
      <c r="C514" s="679">
        <v>0</v>
      </c>
      <c r="D514" s="678">
        <v>6100000000</v>
      </c>
      <c r="E514" s="679">
        <v>0</v>
      </c>
      <c r="F514" s="679">
        <v>0</v>
      </c>
      <c r="G514" s="679">
        <v>0</v>
      </c>
      <c r="H514" s="678">
        <v>6100000000</v>
      </c>
      <c r="I514" s="677" t="s">
        <v>1243</v>
      </c>
    </row>
    <row r="515" spans="1:9" ht="17.100000000000001" customHeight="1">
      <c r="A515" s="677">
        <v>2011</v>
      </c>
      <c r="B515" s="677" t="s">
        <v>525</v>
      </c>
      <c r="C515" s="679">
        <v>0</v>
      </c>
      <c r="D515" s="678">
        <v>569671116.85000002</v>
      </c>
      <c r="E515" s="678">
        <v>46581976479.029999</v>
      </c>
      <c r="F515" s="678">
        <v>46880124393.440002</v>
      </c>
      <c r="G515" s="679">
        <v>0</v>
      </c>
      <c r="H515" s="678">
        <v>867819031.25999999</v>
      </c>
      <c r="I515" s="677" t="s">
        <v>1244</v>
      </c>
    </row>
    <row r="516" spans="1:9" ht="17.100000000000001" customHeight="1">
      <c r="A516" s="677">
        <v>201102</v>
      </c>
      <c r="B516" s="677" t="s">
        <v>1245</v>
      </c>
      <c r="C516" s="679">
        <v>0</v>
      </c>
      <c r="D516" s="678">
        <v>84123885.129999995</v>
      </c>
      <c r="E516" s="678">
        <v>133318520.62</v>
      </c>
      <c r="F516" s="678">
        <v>126846800.66</v>
      </c>
      <c r="G516" s="679">
        <v>0</v>
      </c>
      <c r="H516" s="678">
        <v>77652165.170000002</v>
      </c>
      <c r="I516" s="677" t="s">
        <v>1246</v>
      </c>
    </row>
    <row r="517" spans="1:9" ht="17.100000000000001" customHeight="1">
      <c r="A517" s="677">
        <v>20110201</v>
      </c>
      <c r="B517" s="677" t="s">
        <v>1245</v>
      </c>
      <c r="C517" s="679">
        <v>0</v>
      </c>
      <c r="D517" s="678">
        <v>84123885.129999995</v>
      </c>
      <c r="E517" s="678">
        <v>133318520.62</v>
      </c>
      <c r="F517" s="678">
        <v>126846800.66</v>
      </c>
      <c r="G517" s="679">
        <v>0</v>
      </c>
      <c r="H517" s="678">
        <v>77652165.170000002</v>
      </c>
      <c r="I517" s="677" t="s">
        <v>1247</v>
      </c>
    </row>
    <row r="518" spans="1:9" ht="17.100000000000001" customHeight="1">
      <c r="A518" s="677">
        <v>201103</v>
      </c>
      <c r="B518" s="677" t="s">
        <v>3864</v>
      </c>
      <c r="C518" s="679">
        <v>0</v>
      </c>
      <c r="D518" s="678">
        <v>4139646.14</v>
      </c>
      <c r="E518" s="678">
        <v>19470352.82</v>
      </c>
      <c r="F518" s="678">
        <v>16413671.529999999</v>
      </c>
      <c r="G518" s="679">
        <v>0</v>
      </c>
      <c r="H518" s="678">
        <v>1082964.8500000001</v>
      </c>
      <c r="I518" s="677" t="s">
        <v>3865</v>
      </c>
    </row>
    <row r="519" spans="1:9" ht="17.100000000000001" customHeight="1">
      <c r="A519" s="677">
        <v>20110301</v>
      </c>
      <c r="B519" s="677" t="s">
        <v>3864</v>
      </c>
      <c r="C519" s="679">
        <v>0</v>
      </c>
      <c r="D519" s="678">
        <v>4139646.14</v>
      </c>
      <c r="E519" s="678">
        <v>19470352.82</v>
      </c>
      <c r="F519" s="678">
        <v>16413671.529999999</v>
      </c>
      <c r="G519" s="679">
        <v>0</v>
      </c>
      <c r="H519" s="678">
        <v>1082964.8500000001</v>
      </c>
      <c r="I519" s="677" t="s">
        <v>3866</v>
      </c>
    </row>
    <row r="520" spans="1:9" ht="17.100000000000001" customHeight="1">
      <c r="A520" s="677">
        <v>201104</v>
      </c>
      <c r="B520" s="677" t="s">
        <v>1248</v>
      </c>
      <c r="C520" s="679">
        <v>0</v>
      </c>
      <c r="D520" s="678">
        <v>45797905.329999998</v>
      </c>
      <c r="E520" s="678">
        <v>340215748.05000001</v>
      </c>
      <c r="F520" s="678">
        <v>573991426.00999999</v>
      </c>
      <c r="G520" s="679">
        <v>0</v>
      </c>
      <c r="H520" s="678">
        <v>279573583.29000002</v>
      </c>
      <c r="I520" s="677" t="s">
        <v>1249</v>
      </c>
    </row>
    <row r="521" spans="1:9" ht="17.100000000000001" customHeight="1">
      <c r="A521" s="677">
        <v>20110401</v>
      </c>
      <c r="B521" s="677" t="s">
        <v>1248</v>
      </c>
      <c r="C521" s="679">
        <v>0</v>
      </c>
      <c r="D521" s="678">
        <v>45797905.329999998</v>
      </c>
      <c r="E521" s="678">
        <v>340215748.05000001</v>
      </c>
      <c r="F521" s="678">
        <v>573991426.00999999</v>
      </c>
      <c r="G521" s="679">
        <v>0</v>
      </c>
      <c r="H521" s="678">
        <v>279573583.29000002</v>
      </c>
      <c r="I521" s="677" t="s">
        <v>1250</v>
      </c>
    </row>
    <row r="522" spans="1:9" ht="17.100000000000001" customHeight="1">
      <c r="A522" s="677">
        <v>201199</v>
      </c>
      <c r="B522" s="677" t="s">
        <v>1251</v>
      </c>
      <c r="C522" s="679">
        <v>0</v>
      </c>
      <c r="D522" s="678">
        <v>435609680.25</v>
      </c>
      <c r="E522" s="678">
        <v>46088971857.540001</v>
      </c>
      <c r="F522" s="678">
        <v>46162872495.239998</v>
      </c>
      <c r="G522" s="679">
        <v>0</v>
      </c>
      <c r="H522" s="678">
        <v>509510317.94999999</v>
      </c>
      <c r="I522" s="677" t="s">
        <v>1252</v>
      </c>
    </row>
    <row r="523" spans="1:9" ht="17.100000000000001" customHeight="1">
      <c r="A523" s="677">
        <v>20119999</v>
      </c>
      <c r="B523" s="677" t="s">
        <v>1251</v>
      </c>
      <c r="C523" s="679">
        <v>0</v>
      </c>
      <c r="D523" s="678">
        <v>435609680.25</v>
      </c>
      <c r="E523" s="678">
        <v>46088971857.540001</v>
      </c>
      <c r="F523" s="678">
        <v>46162872495.239998</v>
      </c>
      <c r="G523" s="679">
        <v>0</v>
      </c>
      <c r="H523" s="678">
        <v>509510317.94999999</v>
      </c>
      <c r="I523" s="677" t="s">
        <v>1253</v>
      </c>
    </row>
    <row r="524" spans="1:9" ht="17.100000000000001" customHeight="1">
      <c r="A524" s="677">
        <v>2012</v>
      </c>
      <c r="B524" s="677" t="s">
        <v>526</v>
      </c>
      <c r="C524" s="679">
        <v>0</v>
      </c>
      <c r="D524" s="678">
        <v>1246127.01</v>
      </c>
      <c r="E524" s="678">
        <v>26440689.18</v>
      </c>
      <c r="F524" s="678">
        <v>26437896.879999999</v>
      </c>
      <c r="G524" s="679">
        <v>0</v>
      </c>
      <c r="H524" s="678">
        <v>1243334.71</v>
      </c>
      <c r="I524" s="677" t="s">
        <v>1254</v>
      </c>
    </row>
    <row r="525" spans="1:9" ht="17.100000000000001" customHeight="1">
      <c r="A525" s="677">
        <v>201201</v>
      </c>
      <c r="B525" s="677" t="s">
        <v>526</v>
      </c>
      <c r="C525" s="679">
        <v>0</v>
      </c>
      <c r="D525" s="678">
        <v>1246127.01</v>
      </c>
      <c r="E525" s="678">
        <v>26440689.18</v>
      </c>
      <c r="F525" s="678">
        <v>26437896.879999999</v>
      </c>
      <c r="G525" s="679">
        <v>0</v>
      </c>
      <c r="H525" s="678">
        <v>1243334.71</v>
      </c>
      <c r="I525" s="677" t="s">
        <v>1255</v>
      </c>
    </row>
    <row r="526" spans="1:9" ht="17.100000000000001" customHeight="1">
      <c r="A526" s="677">
        <v>20120101</v>
      </c>
      <c r="B526" s="677" t="s">
        <v>1256</v>
      </c>
      <c r="C526" s="679">
        <v>0</v>
      </c>
      <c r="D526" s="678">
        <v>1246127.01</v>
      </c>
      <c r="E526" s="678">
        <v>26440689.18</v>
      </c>
      <c r="F526" s="678">
        <v>26437896.879999999</v>
      </c>
      <c r="G526" s="679">
        <v>0</v>
      </c>
      <c r="H526" s="678">
        <v>1243334.71</v>
      </c>
      <c r="I526" s="677" t="s">
        <v>1257</v>
      </c>
    </row>
    <row r="527" spans="1:9" ht="17.100000000000001" customHeight="1">
      <c r="A527" s="677">
        <v>2014</v>
      </c>
      <c r="B527" s="677" t="s">
        <v>528</v>
      </c>
      <c r="C527" s="679">
        <v>0</v>
      </c>
      <c r="D527" s="678">
        <v>10470816943.639999</v>
      </c>
      <c r="E527" s="678">
        <v>337264335</v>
      </c>
      <c r="F527" s="678">
        <v>664223118.75999999</v>
      </c>
      <c r="G527" s="679">
        <v>0</v>
      </c>
      <c r="H527" s="678">
        <v>10797775727.4</v>
      </c>
      <c r="I527" s="677" t="s">
        <v>1258</v>
      </c>
    </row>
    <row r="528" spans="1:9" ht="17.100000000000001" customHeight="1">
      <c r="A528" s="677">
        <v>201401</v>
      </c>
      <c r="B528" s="677" t="s">
        <v>1259</v>
      </c>
      <c r="C528" s="679">
        <v>0</v>
      </c>
      <c r="D528" s="678">
        <v>3319047747.6399999</v>
      </c>
      <c r="E528" s="678">
        <v>98437111.920000002</v>
      </c>
      <c r="F528" s="678">
        <v>88669000</v>
      </c>
      <c r="G528" s="679">
        <v>0</v>
      </c>
      <c r="H528" s="678">
        <v>3309279635.7199998</v>
      </c>
      <c r="I528" s="677" t="s">
        <v>1260</v>
      </c>
    </row>
    <row r="529" spans="1:9" ht="17.100000000000001" customHeight="1">
      <c r="A529" s="677">
        <v>20140101</v>
      </c>
      <c r="B529" s="677" t="s">
        <v>1261</v>
      </c>
      <c r="C529" s="679">
        <v>0</v>
      </c>
      <c r="D529" s="678">
        <v>444101870.81999999</v>
      </c>
      <c r="E529" s="678">
        <v>75839395.150000006</v>
      </c>
      <c r="F529" s="678">
        <v>62088000</v>
      </c>
      <c r="G529" s="679">
        <v>0</v>
      </c>
      <c r="H529" s="678">
        <v>430350475.67000002</v>
      </c>
      <c r="I529" s="677" t="s">
        <v>1262</v>
      </c>
    </row>
    <row r="530" spans="1:9" ht="17.100000000000001" customHeight="1">
      <c r="A530" s="677">
        <v>20140103</v>
      </c>
      <c r="B530" s="677" t="s">
        <v>1263</v>
      </c>
      <c r="C530" s="679">
        <v>0</v>
      </c>
      <c r="D530" s="678">
        <v>324211723.37</v>
      </c>
      <c r="E530" s="678">
        <v>4100641.56</v>
      </c>
      <c r="F530" s="678">
        <v>481000</v>
      </c>
      <c r="G530" s="679">
        <v>0</v>
      </c>
      <c r="H530" s="678">
        <v>320592081.81</v>
      </c>
      <c r="I530" s="677" t="s">
        <v>1264</v>
      </c>
    </row>
    <row r="531" spans="1:9" ht="17.100000000000001" customHeight="1">
      <c r="A531" s="677">
        <v>20140105</v>
      </c>
      <c r="B531" s="677" t="s">
        <v>1265</v>
      </c>
      <c r="C531" s="679">
        <v>0</v>
      </c>
      <c r="D531" s="678">
        <v>1474247077.5699999</v>
      </c>
      <c r="E531" s="678">
        <v>18497075.210000001</v>
      </c>
      <c r="F531" s="678">
        <v>26100000</v>
      </c>
      <c r="G531" s="679">
        <v>0</v>
      </c>
      <c r="H531" s="678">
        <v>1481850002.3599999</v>
      </c>
      <c r="I531" s="677" t="s">
        <v>1266</v>
      </c>
    </row>
    <row r="532" spans="1:9" ht="17.100000000000001" customHeight="1">
      <c r="A532" s="677">
        <v>20140107</v>
      </c>
      <c r="B532" s="677" t="s">
        <v>1267</v>
      </c>
      <c r="C532" s="679">
        <v>0</v>
      </c>
      <c r="D532" s="678">
        <v>976487075.88</v>
      </c>
      <c r="E532" s="679">
        <v>0</v>
      </c>
      <c r="F532" s="679">
        <v>0</v>
      </c>
      <c r="G532" s="679">
        <v>0</v>
      </c>
      <c r="H532" s="678">
        <v>976487075.88</v>
      </c>
      <c r="I532" s="677" t="s">
        <v>1268</v>
      </c>
    </row>
    <row r="533" spans="1:9" ht="17.100000000000001" customHeight="1">
      <c r="A533" s="677">
        <v>20140117</v>
      </c>
      <c r="B533" s="677" t="s">
        <v>3452</v>
      </c>
      <c r="C533" s="679">
        <v>0</v>
      </c>
      <c r="D533" s="678">
        <v>100000000</v>
      </c>
      <c r="E533" s="679">
        <v>0</v>
      </c>
      <c r="F533" s="679">
        <v>0</v>
      </c>
      <c r="G533" s="679">
        <v>0</v>
      </c>
      <c r="H533" s="678">
        <v>100000000</v>
      </c>
      <c r="I533" s="677" t="s">
        <v>3453</v>
      </c>
    </row>
    <row r="534" spans="1:9" ht="17.100000000000001" customHeight="1">
      <c r="A534" s="677">
        <v>201402</v>
      </c>
      <c r="B534" s="677" t="s">
        <v>308</v>
      </c>
      <c r="C534" s="679">
        <v>0</v>
      </c>
      <c r="D534" s="678">
        <v>5643271730.0299997</v>
      </c>
      <c r="E534" s="678">
        <v>74670192.769999996</v>
      </c>
      <c r="F534" s="678">
        <v>563682223.01999998</v>
      </c>
      <c r="G534" s="679">
        <v>0</v>
      </c>
      <c r="H534" s="678">
        <v>6132283760.2799997</v>
      </c>
      <c r="I534" s="677" t="s">
        <v>1269</v>
      </c>
    </row>
    <row r="535" spans="1:9" ht="17.100000000000001" customHeight="1">
      <c r="A535" s="677">
        <v>20140201</v>
      </c>
      <c r="B535" s="677" t="s">
        <v>1270</v>
      </c>
      <c r="C535" s="679">
        <v>0</v>
      </c>
      <c r="D535" s="678">
        <v>760650146.98000002</v>
      </c>
      <c r="E535" s="678">
        <v>58890.97</v>
      </c>
      <c r="F535" s="678">
        <v>15314933.119999999</v>
      </c>
      <c r="G535" s="679">
        <v>0</v>
      </c>
      <c r="H535" s="678">
        <v>775906189.13</v>
      </c>
      <c r="I535" s="677" t="s">
        <v>1271</v>
      </c>
    </row>
    <row r="536" spans="1:9" ht="17.100000000000001" customHeight="1">
      <c r="A536" s="677">
        <v>20140203</v>
      </c>
      <c r="B536" s="677" t="s">
        <v>1272</v>
      </c>
      <c r="C536" s="679">
        <v>0</v>
      </c>
      <c r="D536" s="678">
        <v>99153470.420000002</v>
      </c>
      <c r="E536" s="679">
        <v>0</v>
      </c>
      <c r="F536" s="678">
        <v>6850000</v>
      </c>
      <c r="G536" s="679">
        <v>0</v>
      </c>
      <c r="H536" s="678">
        <v>106003470.42</v>
      </c>
      <c r="I536" s="677" t="s">
        <v>1273</v>
      </c>
    </row>
    <row r="537" spans="1:9" ht="17.100000000000001" customHeight="1">
      <c r="A537" s="677">
        <v>20140205</v>
      </c>
      <c r="B537" s="677" t="s">
        <v>1274</v>
      </c>
      <c r="C537" s="679">
        <v>0</v>
      </c>
      <c r="D537" s="678">
        <v>514003010.74000001</v>
      </c>
      <c r="E537" s="678">
        <v>3072209.45</v>
      </c>
      <c r="F537" s="678">
        <v>517357000</v>
      </c>
      <c r="G537" s="679">
        <v>0</v>
      </c>
      <c r="H537" s="678">
        <v>1028287801.29</v>
      </c>
      <c r="I537" s="677" t="s">
        <v>1275</v>
      </c>
    </row>
    <row r="538" spans="1:9" ht="17.100000000000001" customHeight="1">
      <c r="A538" s="677">
        <v>20140207</v>
      </c>
      <c r="B538" s="677" t="s">
        <v>1276</v>
      </c>
      <c r="C538" s="679">
        <v>0</v>
      </c>
      <c r="D538" s="678">
        <v>3796594288.1399999</v>
      </c>
      <c r="E538" s="678">
        <v>68885009.920000002</v>
      </c>
      <c r="F538" s="678">
        <v>21578289.899999999</v>
      </c>
      <c r="G538" s="679">
        <v>0</v>
      </c>
      <c r="H538" s="678">
        <v>3749287568.1199999</v>
      </c>
      <c r="I538" s="677" t="s">
        <v>1277</v>
      </c>
    </row>
    <row r="539" spans="1:9" ht="17.100000000000001" customHeight="1">
      <c r="A539" s="320"/>
      <c r="B539" s="320"/>
      <c r="C539" s="320"/>
      <c r="D539" s="557" t="s">
        <v>4317</v>
      </c>
      <c r="E539" s="320" t="s">
        <v>3734</v>
      </c>
      <c r="F539" s="320"/>
      <c r="G539" s="320"/>
      <c r="H539" s="320"/>
      <c r="I539" s="320"/>
    </row>
    <row r="540" spans="1:9" ht="28.5" customHeight="1">
      <c r="A540" s="671"/>
      <c r="B540" s="671"/>
      <c r="C540" s="671"/>
      <c r="D540" s="671"/>
      <c r="E540" s="671"/>
      <c r="F540" s="671"/>
      <c r="G540" s="671"/>
      <c r="H540" s="671"/>
      <c r="I540" s="671"/>
    </row>
    <row r="541" spans="1:9" ht="22.5">
      <c r="A541" s="320"/>
      <c r="B541" s="320"/>
      <c r="C541" s="672" t="s">
        <v>4316</v>
      </c>
      <c r="D541" s="320"/>
      <c r="E541" s="320"/>
      <c r="F541" s="671"/>
      <c r="G541" s="671"/>
      <c r="H541" s="671"/>
      <c r="I541" s="671"/>
    </row>
    <row r="542" spans="1:9" ht="14.25">
      <c r="A542" s="673" t="s">
        <v>3708</v>
      </c>
      <c r="B542" s="673"/>
      <c r="C542" s="683">
        <v>42551</v>
      </c>
      <c r="D542" s="673"/>
      <c r="E542" s="557" t="s">
        <v>3709</v>
      </c>
      <c r="F542" s="671"/>
      <c r="G542" s="671"/>
      <c r="H542" s="671"/>
      <c r="I542" s="671"/>
    </row>
    <row r="543" spans="1:9">
      <c r="A543" s="676" t="s">
        <v>596</v>
      </c>
      <c r="B543" s="676" t="s">
        <v>597</v>
      </c>
      <c r="C543" s="676" t="s">
        <v>3710</v>
      </c>
      <c r="D543" s="676" t="s">
        <v>3711</v>
      </c>
      <c r="E543" s="676" t="s">
        <v>3712</v>
      </c>
      <c r="F543" s="676" t="s">
        <v>3713</v>
      </c>
      <c r="G543" s="676" t="s">
        <v>3714</v>
      </c>
      <c r="H543" s="676" t="s">
        <v>3715</v>
      </c>
      <c r="I543" s="676" t="s">
        <v>596</v>
      </c>
    </row>
    <row r="544" spans="1:9" ht="28.5" customHeight="1">
      <c r="A544" s="677">
        <v>20140209</v>
      </c>
      <c r="B544" s="677" t="s">
        <v>1278</v>
      </c>
      <c r="C544" s="679">
        <v>0</v>
      </c>
      <c r="D544" s="678">
        <v>34551118.920000002</v>
      </c>
      <c r="E544" s="679">
        <v>0</v>
      </c>
      <c r="F544" s="678">
        <v>82000</v>
      </c>
      <c r="G544" s="679">
        <v>0</v>
      </c>
      <c r="H544" s="678">
        <v>34633118.920000002</v>
      </c>
      <c r="I544" s="677" t="s">
        <v>1279</v>
      </c>
    </row>
    <row r="545" spans="1:9" ht="17.100000000000001" customHeight="1">
      <c r="A545" s="677">
        <v>20140211</v>
      </c>
      <c r="B545" s="677" t="s">
        <v>1280</v>
      </c>
      <c r="C545" s="679">
        <v>0</v>
      </c>
      <c r="D545" s="678">
        <v>42164.94</v>
      </c>
      <c r="E545" s="679">
        <v>0</v>
      </c>
      <c r="F545" s="679">
        <v>0</v>
      </c>
      <c r="G545" s="679">
        <v>0</v>
      </c>
      <c r="H545" s="678">
        <v>42164.94</v>
      </c>
      <c r="I545" s="677" t="s">
        <v>1281</v>
      </c>
    </row>
    <row r="546" spans="1:9" ht="17.100000000000001" customHeight="1">
      <c r="A546" s="677">
        <v>20140213</v>
      </c>
      <c r="B546" s="677" t="s">
        <v>1282</v>
      </c>
      <c r="C546" s="679">
        <v>0</v>
      </c>
      <c r="D546" s="678">
        <v>25500415.359999999</v>
      </c>
      <c r="E546" s="678">
        <v>1000000</v>
      </c>
      <c r="F546" s="679">
        <v>0</v>
      </c>
      <c r="G546" s="679">
        <v>0</v>
      </c>
      <c r="H546" s="678">
        <v>24500415.359999999</v>
      </c>
      <c r="I546" s="677" t="s">
        <v>1283</v>
      </c>
    </row>
    <row r="547" spans="1:9" ht="17.100000000000001" customHeight="1">
      <c r="A547" s="677">
        <v>20140215</v>
      </c>
      <c r="B547" s="677" t="s">
        <v>1284</v>
      </c>
      <c r="C547" s="679">
        <v>0</v>
      </c>
      <c r="D547" s="678">
        <v>143887114.53</v>
      </c>
      <c r="E547" s="678">
        <v>1654082.43</v>
      </c>
      <c r="F547" s="678">
        <v>2500000</v>
      </c>
      <c r="G547" s="679">
        <v>0</v>
      </c>
      <c r="H547" s="678">
        <v>144733032.09999999</v>
      </c>
      <c r="I547" s="677" t="s">
        <v>1285</v>
      </c>
    </row>
    <row r="548" spans="1:9" ht="17.100000000000001" customHeight="1">
      <c r="A548" s="677">
        <v>20140217</v>
      </c>
      <c r="B548" s="677" t="s">
        <v>2676</v>
      </c>
      <c r="C548" s="679">
        <v>0</v>
      </c>
      <c r="D548" s="678">
        <v>268890000</v>
      </c>
      <c r="E548" s="679">
        <v>0</v>
      </c>
      <c r="F548" s="679">
        <v>0</v>
      </c>
      <c r="G548" s="679">
        <v>0</v>
      </c>
      <c r="H548" s="678">
        <v>268890000</v>
      </c>
      <c r="I548" s="677" t="s">
        <v>2677</v>
      </c>
    </row>
    <row r="549" spans="1:9" ht="17.100000000000001" customHeight="1">
      <c r="A549" s="677">
        <v>201403</v>
      </c>
      <c r="B549" s="677" t="s">
        <v>1286</v>
      </c>
      <c r="C549" s="679">
        <v>0</v>
      </c>
      <c r="D549" s="678">
        <v>350348413.69</v>
      </c>
      <c r="E549" s="678">
        <v>6031407.0700000003</v>
      </c>
      <c r="F549" s="678">
        <v>1210452.32</v>
      </c>
      <c r="G549" s="679">
        <v>0</v>
      </c>
      <c r="H549" s="678">
        <v>345527458.94</v>
      </c>
      <c r="I549" s="677" t="s">
        <v>1287</v>
      </c>
    </row>
    <row r="550" spans="1:9" ht="17.100000000000001" customHeight="1">
      <c r="A550" s="677">
        <v>20140301</v>
      </c>
      <c r="B550" s="677" t="s">
        <v>1288</v>
      </c>
      <c r="C550" s="679">
        <v>0</v>
      </c>
      <c r="D550" s="678">
        <v>34530134.649999999</v>
      </c>
      <c r="E550" s="678">
        <v>6031407.0700000003</v>
      </c>
      <c r="F550" s="678">
        <v>1210452.32</v>
      </c>
      <c r="G550" s="679">
        <v>0</v>
      </c>
      <c r="H550" s="678">
        <v>29709179.899999999</v>
      </c>
      <c r="I550" s="677" t="s">
        <v>1289</v>
      </c>
    </row>
    <row r="551" spans="1:9" ht="17.100000000000001" customHeight="1">
      <c r="A551" s="677">
        <v>20140303</v>
      </c>
      <c r="B551" s="677" t="s">
        <v>1290</v>
      </c>
      <c r="C551" s="679">
        <v>0</v>
      </c>
      <c r="D551" s="678">
        <v>25649250</v>
      </c>
      <c r="E551" s="679">
        <v>0</v>
      </c>
      <c r="F551" s="679">
        <v>0</v>
      </c>
      <c r="G551" s="679">
        <v>0</v>
      </c>
      <c r="H551" s="678">
        <v>25649250</v>
      </c>
      <c r="I551" s="677" t="s">
        <v>1291</v>
      </c>
    </row>
    <row r="552" spans="1:9" ht="17.100000000000001" customHeight="1">
      <c r="A552" s="677">
        <v>20140305</v>
      </c>
      <c r="B552" s="677" t="s">
        <v>1292</v>
      </c>
      <c r="C552" s="679">
        <v>0</v>
      </c>
      <c r="D552" s="678">
        <v>143322222.94999999</v>
      </c>
      <c r="E552" s="679">
        <v>0</v>
      </c>
      <c r="F552" s="679">
        <v>0</v>
      </c>
      <c r="G552" s="679">
        <v>0</v>
      </c>
      <c r="H552" s="678">
        <v>143322222.94999999</v>
      </c>
      <c r="I552" s="677" t="s">
        <v>1293</v>
      </c>
    </row>
    <row r="553" spans="1:9" ht="17.100000000000001" customHeight="1">
      <c r="A553" s="677">
        <v>20140307</v>
      </c>
      <c r="B553" s="677" t="s">
        <v>1294</v>
      </c>
      <c r="C553" s="679">
        <v>0</v>
      </c>
      <c r="D553" s="678">
        <v>117881970.81</v>
      </c>
      <c r="E553" s="679">
        <v>0</v>
      </c>
      <c r="F553" s="679">
        <v>0</v>
      </c>
      <c r="G553" s="679">
        <v>0</v>
      </c>
      <c r="H553" s="678">
        <v>117881970.81</v>
      </c>
      <c r="I553" s="677" t="s">
        <v>1295</v>
      </c>
    </row>
    <row r="554" spans="1:9" ht="17.100000000000001" customHeight="1">
      <c r="A554" s="677">
        <v>20140317</v>
      </c>
      <c r="B554" s="677" t="s">
        <v>2795</v>
      </c>
      <c r="C554" s="679">
        <v>0</v>
      </c>
      <c r="D554" s="678">
        <v>28964835.280000001</v>
      </c>
      <c r="E554" s="679">
        <v>0</v>
      </c>
      <c r="F554" s="679">
        <v>0</v>
      </c>
      <c r="G554" s="679">
        <v>0</v>
      </c>
      <c r="H554" s="678">
        <v>28964835.280000001</v>
      </c>
      <c r="I554" s="677" t="s">
        <v>2796</v>
      </c>
    </row>
    <row r="555" spans="1:9" ht="17.100000000000001" customHeight="1">
      <c r="A555" s="677">
        <v>201404</v>
      </c>
      <c r="B555" s="677" t="s">
        <v>306</v>
      </c>
      <c r="C555" s="679">
        <v>0</v>
      </c>
      <c r="D555" s="678">
        <v>32986277.710000001</v>
      </c>
      <c r="E555" s="678">
        <v>11710857.58</v>
      </c>
      <c r="F555" s="678">
        <v>9543419.3499999996</v>
      </c>
      <c r="G555" s="679">
        <v>0</v>
      </c>
      <c r="H555" s="678">
        <v>30818839.48</v>
      </c>
      <c r="I555" s="677" t="s">
        <v>1296</v>
      </c>
    </row>
    <row r="556" spans="1:9" ht="17.100000000000001" customHeight="1">
      <c r="A556" s="677">
        <v>20140401</v>
      </c>
      <c r="B556" s="677" t="s">
        <v>1297</v>
      </c>
      <c r="C556" s="679">
        <v>0</v>
      </c>
      <c r="D556" s="678">
        <v>6289958.71</v>
      </c>
      <c r="E556" s="678">
        <v>5710857.5800000001</v>
      </c>
      <c r="F556" s="678">
        <v>9543419.3499999996</v>
      </c>
      <c r="G556" s="679">
        <v>0</v>
      </c>
      <c r="H556" s="678">
        <v>10122520.48</v>
      </c>
      <c r="I556" s="677" t="s">
        <v>1298</v>
      </c>
    </row>
    <row r="557" spans="1:9" ht="17.100000000000001" customHeight="1">
      <c r="A557" s="677">
        <v>20140403</v>
      </c>
      <c r="B557" s="677" t="s">
        <v>1299</v>
      </c>
      <c r="C557" s="679">
        <v>0</v>
      </c>
      <c r="D557" s="678">
        <v>6050000</v>
      </c>
      <c r="E557" s="678">
        <v>6000000</v>
      </c>
      <c r="F557" s="679">
        <v>0</v>
      </c>
      <c r="G557" s="679">
        <v>0</v>
      </c>
      <c r="H557" s="678">
        <v>50000</v>
      </c>
      <c r="I557" s="677" t="s">
        <v>1300</v>
      </c>
    </row>
    <row r="558" spans="1:9" ht="17.100000000000001" customHeight="1">
      <c r="A558" s="677">
        <v>20140405</v>
      </c>
      <c r="B558" s="677" t="s">
        <v>1301</v>
      </c>
      <c r="C558" s="679">
        <v>0</v>
      </c>
      <c r="D558" s="678">
        <v>16846319</v>
      </c>
      <c r="E558" s="679">
        <v>0</v>
      </c>
      <c r="F558" s="679">
        <v>0</v>
      </c>
      <c r="G558" s="679">
        <v>0</v>
      </c>
      <c r="H558" s="678">
        <v>16846319</v>
      </c>
      <c r="I558" s="677" t="s">
        <v>1302</v>
      </c>
    </row>
    <row r="559" spans="1:9" ht="17.100000000000001" customHeight="1">
      <c r="A559" s="677">
        <v>20140407</v>
      </c>
      <c r="B559" s="677" t="s">
        <v>1303</v>
      </c>
      <c r="C559" s="679">
        <v>0</v>
      </c>
      <c r="D559" s="678">
        <v>3800000</v>
      </c>
      <c r="E559" s="679">
        <v>0</v>
      </c>
      <c r="F559" s="679">
        <v>0</v>
      </c>
      <c r="G559" s="679">
        <v>0</v>
      </c>
      <c r="H559" s="678">
        <v>3800000</v>
      </c>
      <c r="I559" s="677" t="s">
        <v>1304</v>
      </c>
    </row>
    <row r="560" spans="1:9" ht="17.100000000000001" customHeight="1">
      <c r="A560" s="677">
        <v>201405</v>
      </c>
      <c r="B560" s="677" t="s">
        <v>309</v>
      </c>
      <c r="C560" s="679">
        <v>0</v>
      </c>
      <c r="D560" s="678">
        <v>20810039.010000002</v>
      </c>
      <c r="E560" s="679">
        <v>0</v>
      </c>
      <c r="F560" s="679">
        <v>0</v>
      </c>
      <c r="G560" s="679">
        <v>0</v>
      </c>
      <c r="H560" s="678">
        <v>20810039.010000002</v>
      </c>
      <c r="I560" s="677" t="s">
        <v>1305</v>
      </c>
    </row>
    <row r="561" spans="1:9" ht="17.100000000000001" customHeight="1">
      <c r="A561" s="677">
        <v>20140501</v>
      </c>
      <c r="B561" s="677" t="s">
        <v>1306</v>
      </c>
      <c r="C561" s="679">
        <v>0</v>
      </c>
      <c r="D561" s="678">
        <v>9742276.9600000009</v>
      </c>
      <c r="E561" s="679">
        <v>0</v>
      </c>
      <c r="F561" s="679">
        <v>0</v>
      </c>
      <c r="G561" s="679">
        <v>0</v>
      </c>
      <c r="H561" s="678">
        <v>9742276.9600000009</v>
      </c>
      <c r="I561" s="677" t="s">
        <v>1307</v>
      </c>
    </row>
    <row r="562" spans="1:9" ht="17.100000000000001" customHeight="1">
      <c r="A562" s="677">
        <v>20140509</v>
      </c>
      <c r="B562" s="677" t="s">
        <v>2594</v>
      </c>
      <c r="C562" s="679">
        <v>0</v>
      </c>
      <c r="D562" s="679">
        <v>762.05</v>
      </c>
      <c r="E562" s="679">
        <v>0</v>
      </c>
      <c r="F562" s="679">
        <v>0</v>
      </c>
      <c r="G562" s="679">
        <v>0</v>
      </c>
      <c r="H562" s="679">
        <v>762.05</v>
      </c>
      <c r="I562" s="677" t="s">
        <v>2595</v>
      </c>
    </row>
    <row r="563" spans="1:9" ht="17.100000000000001" customHeight="1">
      <c r="A563" s="677">
        <v>20140513</v>
      </c>
      <c r="B563" s="677" t="s">
        <v>2797</v>
      </c>
      <c r="C563" s="679">
        <v>0</v>
      </c>
      <c r="D563" s="678">
        <v>11067000</v>
      </c>
      <c r="E563" s="679">
        <v>0</v>
      </c>
      <c r="F563" s="679">
        <v>0</v>
      </c>
      <c r="G563" s="679">
        <v>0</v>
      </c>
      <c r="H563" s="678">
        <v>11067000</v>
      </c>
      <c r="I563" s="677" t="s">
        <v>2798</v>
      </c>
    </row>
    <row r="564" spans="1:9" ht="17.100000000000001" customHeight="1">
      <c r="A564" s="677">
        <v>201406</v>
      </c>
      <c r="B564" s="677" t="s">
        <v>310</v>
      </c>
      <c r="C564" s="679">
        <v>0</v>
      </c>
      <c r="D564" s="678">
        <v>4937.41</v>
      </c>
      <c r="E564" s="679">
        <v>0</v>
      </c>
      <c r="F564" s="679">
        <v>0</v>
      </c>
      <c r="G564" s="679">
        <v>0</v>
      </c>
      <c r="H564" s="678">
        <v>4937.41</v>
      </c>
      <c r="I564" s="677" t="s">
        <v>1308</v>
      </c>
    </row>
    <row r="565" spans="1:9" ht="17.100000000000001" customHeight="1">
      <c r="A565" s="677">
        <v>20140601</v>
      </c>
      <c r="B565" s="677" t="s">
        <v>1309</v>
      </c>
      <c r="C565" s="679">
        <v>0</v>
      </c>
      <c r="D565" s="678">
        <v>4937.41</v>
      </c>
      <c r="E565" s="679">
        <v>0</v>
      </c>
      <c r="F565" s="679">
        <v>0</v>
      </c>
      <c r="G565" s="679">
        <v>0</v>
      </c>
      <c r="H565" s="678">
        <v>4937.41</v>
      </c>
      <c r="I565" s="677" t="s">
        <v>1310</v>
      </c>
    </row>
    <row r="566" spans="1:9" ht="17.100000000000001" customHeight="1">
      <c r="A566" s="677">
        <v>201407</v>
      </c>
      <c r="B566" s="677" t="s">
        <v>311</v>
      </c>
      <c r="C566" s="679">
        <v>0</v>
      </c>
      <c r="D566" s="678">
        <v>1211.1500000000001</v>
      </c>
      <c r="E566" s="679">
        <v>0</v>
      </c>
      <c r="F566" s="679">
        <v>0</v>
      </c>
      <c r="G566" s="679">
        <v>0</v>
      </c>
      <c r="H566" s="678">
        <v>1211.1500000000001</v>
      </c>
      <c r="I566" s="677" t="s">
        <v>1311</v>
      </c>
    </row>
    <row r="567" spans="1:9" ht="17.100000000000001" customHeight="1">
      <c r="A567" s="677">
        <v>20140701</v>
      </c>
      <c r="B567" s="677" t="s">
        <v>1312</v>
      </c>
      <c r="C567" s="679">
        <v>0</v>
      </c>
      <c r="D567" s="678">
        <v>1211.1500000000001</v>
      </c>
      <c r="E567" s="679">
        <v>0</v>
      </c>
      <c r="F567" s="679">
        <v>0</v>
      </c>
      <c r="G567" s="679">
        <v>0</v>
      </c>
      <c r="H567" s="678">
        <v>1211.1500000000001</v>
      </c>
      <c r="I567" s="677" t="s">
        <v>1313</v>
      </c>
    </row>
    <row r="568" spans="1:9" ht="17.100000000000001" customHeight="1">
      <c r="A568" s="677">
        <v>201499</v>
      </c>
      <c r="B568" s="677" t="s">
        <v>312</v>
      </c>
      <c r="C568" s="679">
        <v>0</v>
      </c>
      <c r="D568" s="678">
        <v>1104346587</v>
      </c>
      <c r="E568" s="678">
        <v>146414765.66</v>
      </c>
      <c r="F568" s="678">
        <v>1118024.07</v>
      </c>
      <c r="G568" s="679">
        <v>0</v>
      </c>
      <c r="H568" s="678">
        <v>959049845.40999997</v>
      </c>
      <c r="I568" s="677" t="s">
        <v>1314</v>
      </c>
    </row>
    <row r="569" spans="1:9" ht="17.100000000000001" customHeight="1">
      <c r="A569" s="677">
        <v>20149901</v>
      </c>
      <c r="B569" s="677" t="s">
        <v>1315</v>
      </c>
      <c r="C569" s="679">
        <v>0</v>
      </c>
      <c r="D569" s="678">
        <v>341300027.75999999</v>
      </c>
      <c r="E569" s="678">
        <v>146384035.94999999</v>
      </c>
      <c r="F569" s="678">
        <v>54935.08</v>
      </c>
      <c r="G569" s="679">
        <v>0</v>
      </c>
      <c r="H569" s="678">
        <v>194970926.88999999</v>
      </c>
      <c r="I569" s="677" t="s">
        <v>1316</v>
      </c>
    </row>
    <row r="570" spans="1:9" ht="17.100000000000001" customHeight="1">
      <c r="A570" s="677">
        <v>20149903</v>
      </c>
      <c r="B570" s="677" t="s">
        <v>1317</v>
      </c>
      <c r="C570" s="679">
        <v>0</v>
      </c>
      <c r="D570" s="678">
        <v>2041290.06</v>
      </c>
      <c r="E570" s="679">
        <v>0</v>
      </c>
      <c r="F570" s="679">
        <v>0</v>
      </c>
      <c r="G570" s="679">
        <v>0</v>
      </c>
      <c r="H570" s="678">
        <v>2041290.06</v>
      </c>
      <c r="I570" s="677" t="s">
        <v>1318</v>
      </c>
    </row>
    <row r="571" spans="1:9" ht="17.100000000000001" customHeight="1">
      <c r="A571" s="677">
        <v>20149905</v>
      </c>
      <c r="B571" s="677" t="s">
        <v>1319</v>
      </c>
      <c r="C571" s="679">
        <v>0</v>
      </c>
      <c r="D571" s="678">
        <v>62556355.509999998</v>
      </c>
      <c r="E571" s="678">
        <v>30729.71</v>
      </c>
      <c r="F571" s="678">
        <v>110000</v>
      </c>
      <c r="G571" s="679">
        <v>0</v>
      </c>
      <c r="H571" s="678">
        <v>62635625.799999997</v>
      </c>
      <c r="I571" s="677" t="s">
        <v>1320</v>
      </c>
    </row>
    <row r="572" spans="1:9" ht="17.100000000000001" customHeight="1">
      <c r="A572" s="677">
        <v>20149907</v>
      </c>
      <c r="B572" s="677" t="s">
        <v>1321</v>
      </c>
      <c r="C572" s="679">
        <v>0</v>
      </c>
      <c r="D572" s="678">
        <v>641777675.44000006</v>
      </c>
      <c r="E572" s="679">
        <v>0</v>
      </c>
      <c r="F572" s="678">
        <v>929088.99</v>
      </c>
      <c r="G572" s="679">
        <v>0</v>
      </c>
      <c r="H572" s="678">
        <v>642706764.42999995</v>
      </c>
      <c r="I572" s="677" t="s">
        <v>1322</v>
      </c>
    </row>
    <row r="573" spans="1:9" ht="17.100000000000001" customHeight="1">
      <c r="A573" s="677">
        <v>20149909</v>
      </c>
      <c r="B573" s="677" t="s">
        <v>1323</v>
      </c>
      <c r="C573" s="679">
        <v>0</v>
      </c>
      <c r="D573" s="678">
        <v>4498376.99</v>
      </c>
      <c r="E573" s="679">
        <v>0</v>
      </c>
      <c r="F573" s="678">
        <v>24000</v>
      </c>
      <c r="G573" s="679">
        <v>0</v>
      </c>
      <c r="H573" s="678">
        <v>4522376.99</v>
      </c>
      <c r="I573" s="677" t="s">
        <v>1324</v>
      </c>
    </row>
    <row r="574" spans="1:9" ht="17.100000000000001" customHeight="1">
      <c r="A574" s="677">
        <v>20149911</v>
      </c>
      <c r="B574" s="677" t="s">
        <v>2799</v>
      </c>
      <c r="C574" s="679">
        <v>0</v>
      </c>
      <c r="D574" s="679">
        <v>22.24</v>
      </c>
      <c r="E574" s="679">
        <v>0</v>
      </c>
      <c r="F574" s="679">
        <v>0</v>
      </c>
      <c r="G574" s="679">
        <v>0</v>
      </c>
      <c r="H574" s="679">
        <v>22.24</v>
      </c>
      <c r="I574" s="677" t="s">
        <v>2800</v>
      </c>
    </row>
    <row r="575" spans="1:9" ht="17.100000000000001" customHeight="1">
      <c r="A575" s="677">
        <v>20149913</v>
      </c>
      <c r="B575" s="677" t="s">
        <v>1325</v>
      </c>
      <c r="C575" s="679">
        <v>0</v>
      </c>
      <c r="D575" s="678">
        <v>10642839</v>
      </c>
      <c r="E575" s="679">
        <v>0</v>
      </c>
      <c r="F575" s="679">
        <v>0</v>
      </c>
      <c r="G575" s="679">
        <v>0</v>
      </c>
      <c r="H575" s="678">
        <v>10642839</v>
      </c>
      <c r="I575" s="677" t="s">
        <v>1326</v>
      </c>
    </row>
    <row r="576" spans="1:9" ht="17.100000000000001" customHeight="1">
      <c r="A576" s="677">
        <v>20149915</v>
      </c>
      <c r="B576" s="677" t="s">
        <v>1327</v>
      </c>
      <c r="C576" s="679">
        <v>0</v>
      </c>
      <c r="D576" s="678">
        <v>11030000</v>
      </c>
      <c r="E576" s="679">
        <v>0</v>
      </c>
      <c r="F576" s="679">
        <v>0</v>
      </c>
      <c r="G576" s="679">
        <v>0</v>
      </c>
      <c r="H576" s="678">
        <v>11030000</v>
      </c>
      <c r="I576" s="677" t="s">
        <v>1328</v>
      </c>
    </row>
    <row r="577" spans="1:9" ht="17.100000000000001" customHeight="1">
      <c r="A577" s="677">
        <v>20149917</v>
      </c>
      <c r="B577" s="677" t="s">
        <v>2801</v>
      </c>
      <c r="C577" s="679">
        <v>0</v>
      </c>
      <c r="D577" s="678">
        <v>30500000</v>
      </c>
      <c r="E577" s="679">
        <v>0</v>
      </c>
      <c r="F577" s="679">
        <v>0</v>
      </c>
      <c r="G577" s="679">
        <v>0</v>
      </c>
      <c r="H577" s="678">
        <v>30500000</v>
      </c>
      <c r="I577" s="677" t="s">
        <v>2802</v>
      </c>
    </row>
    <row r="578" spans="1:9" ht="17.100000000000001" customHeight="1">
      <c r="A578" s="320"/>
      <c r="B578" s="320"/>
      <c r="C578" s="320"/>
      <c r="D578" s="557" t="s">
        <v>4317</v>
      </c>
      <c r="E578" s="320" t="s">
        <v>3735</v>
      </c>
      <c r="F578" s="320"/>
      <c r="G578" s="320"/>
      <c r="H578" s="320"/>
      <c r="I578" s="320"/>
    </row>
    <row r="579" spans="1:9" ht="28.5" customHeight="1">
      <c r="A579" s="671"/>
      <c r="B579" s="671"/>
      <c r="C579" s="671"/>
      <c r="D579" s="671"/>
      <c r="E579" s="671"/>
      <c r="F579" s="671"/>
      <c r="G579" s="671"/>
      <c r="H579" s="671"/>
      <c r="I579" s="671"/>
    </row>
    <row r="580" spans="1:9" ht="22.5">
      <c r="A580" s="320"/>
      <c r="B580" s="320"/>
      <c r="C580" s="672" t="s">
        <v>4316</v>
      </c>
      <c r="D580" s="320"/>
      <c r="E580" s="320"/>
      <c r="F580" s="671"/>
      <c r="G580" s="671"/>
      <c r="H580" s="671"/>
      <c r="I580" s="671"/>
    </row>
    <row r="581" spans="1:9" ht="14.25">
      <c r="A581" s="673" t="s">
        <v>3708</v>
      </c>
      <c r="B581" s="673"/>
      <c r="C581" s="683">
        <v>42551</v>
      </c>
      <c r="D581" s="673"/>
      <c r="E581" s="557" t="s">
        <v>3709</v>
      </c>
      <c r="F581" s="671"/>
      <c r="G581" s="671"/>
      <c r="H581" s="671"/>
      <c r="I581" s="671"/>
    </row>
    <row r="582" spans="1:9">
      <c r="A582" s="676" t="s">
        <v>596</v>
      </c>
      <c r="B582" s="676" t="s">
        <v>597</v>
      </c>
      <c r="C582" s="676" t="s">
        <v>3710</v>
      </c>
      <c r="D582" s="676" t="s">
        <v>3711</v>
      </c>
      <c r="E582" s="676" t="s">
        <v>3712</v>
      </c>
      <c r="F582" s="676" t="s">
        <v>3713</v>
      </c>
      <c r="G582" s="676" t="s">
        <v>3714</v>
      </c>
      <c r="H582" s="676" t="s">
        <v>3715</v>
      </c>
      <c r="I582" s="676" t="s">
        <v>596</v>
      </c>
    </row>
    <row r="583" spans="1:9" ht="28.5" customHeight="1">
      <c r="A583" s="677">
        <v>2016</v>
      </c>
      <c r="B583" s="677" t="s">
        <v>1329</v>
      </c>
      <c r="C583" s="679">
        <v>0</v>
      </c>
      <c r="D583" s="678">
        <v>2187881000</v>
      </c>
      <c r="E583" s="679">
        <v>0</v>
      </c>
      <c r="F583" s="679">
        <v>0</v>
      </c>
      <c r="G583" s="679">
        <v>0</v>
      </c>
      <c r="H583" s="678">
        <v>2187881000</v>
      </c>
      <c r="I583" s="677" t="s">
        <v>1330</v>
      </c>
    </row>
    <row r="584" spans="1:9" ht="17.100000000000001" customHeight="1">
      <c r="A584" s="677">
        <v>201601</v>
      </c>
      <c r="B584" s="677" t="s">
        <v>1329</v>
      </c>
      <c r="C584" s="679">
        <v>0</v>
      </c>
      <c r="D584" s="678">
        <v>2187881000</v>
      </c>
      <c r="E584" s="679">
        <v>0</v>
      </c>
      <c r="F584" s="679">
        <v>0</v>
      </c>
      <c r="G584" s="679">
        <v>0</v>
      </c>
      <c r="H584" s="678">
        <v>2187881000</v>
      </c>
      <c r="I584" s="677" t="s">
        <v>1331</v>
      </c>
    </row>
    <row r="585" spans="1:9" ht="17.100000000000001" customHeight="1">
      <c r="A585" s="677">
        <v>20160101</v>
      </c>
      <c r="B585" s="677" t="s">
        <v>1329</v>
      </c>
      <c r="C585" s="679">
        <v>0</v>
      </c>
      <c r="D585" s="678">
        <v>2187881000</v>
      </c>
      <c r="E585" s="679">
        <v>0</v>
      </c>
      <c r="F585" s="679">
        <v>0</v>
      </c>
      <c r="G585" s="679">
        <v>0</v>
      </c>
      <c r="H585" s="678">
        <v>2187881000</v>
      </c>
      <c r="I585" s="677" t="s">
        <v>1332</v>
      </c>
    </row>
    <row r="586" spans="1:9" ht="17.100000000000001" customHeight="1">
      <c r="A586" s="677">
        <v>2017</v>
      </c>
      <c r="B586" s="677" t="s">
        <v>1333</v>
      </c>
      <c r="C586" s="679">
        <v>0</v>
      </c>
      <c r="D586" s="678">
        <v>47908069484.43</v>
      </c>
      <c r="E586" s="678">
        <v>19642453699.689999</v>
      </c>
      <c r="F586" s="678">
        <v>18047868661.48</v>
      </c>
      <c r="G586" s="679">
        <v>0</v>
      </c>
      <c r="H586" s="678">
        <v>46313484446.220001</v>
      </c>
      <c r="I586" s="677" t="s">
        <v>1334</v>
      </c>
    </row>
    <row r="587" spans="1:9" ht="17.100000000000001" customHeight="1">
      <c r="A587" s="677">
        <v>201701</v>
      </c>
      <c r="B587" s="677" t="s">
        <v>3972</v>
      </c>
      <c r="C587" s="679">
        <v>0</v>
      </c>
      <c r="D587" s="678">
        <v>8346.0400000000009</v>
      </c>
      <c r="E587" s="679">
        <v>0</v>
      </c>
      <c r="F587" s="679">
        <v>0</v>
      </c>
      <c r="G587" s="679">
        <v>0</v>
      </c>
      <c r="H587" s="678">
        <v>8346.0400000000009</v>
      </c>
      <c r="I587" s="677" t="s">
        <v>3973</v>
      </c>
    </row>
    <row r="588" spans="1:9" ht="17.100000000000001" customHeight="1">
      <c r="A588" s="677">
        <v>20170101</v>
      </c>
      <c r="B588" s="677" t="s">
        <v>3974</v>
      </c>
      <c r="C588" s="679">
        <v>0</v>
      </c>
      <c r="D588" s="678">
        <v>8346.0400000000009</v>
      </c>
      <c r="E588" s="679">
        <v>0</v>
      </c>
      <c r="F588" s="679">
        <v>0</v>
      </c>
      <c r="G588" s="679">
        <v>0</v>
      </c>
      <c r="H588" s="678">
        <v>8346.0400000000009</v>
      </c>
      <c r="I588" s="677" t="s">
        <v>3975</v>
      </c>
    </row>
    <row r="589" spans="1:9" ht="17.100000000000001" customHeight="1">
      <c r="A589" s="677">
        <v>201702</v>
      </c>
      <c r="B589" s="677" t="s">
        <v>1335</v>
      </c>
      <c r="C589" s="679">
        <v>0</v>
      </c>
      <c r="D589" s="678">
        <v>26420339665.919998</v>
      </c>
      <c r="E589" s="678">
        <v>815633633.98000002</v>
      </c>
      <c r="F589" s="678">
        <v>1121298580.1300001</v>
      </c>
      <c r="G589" s="679">
        <v>0</v>
      </c>
      <c r="H589" s="678">
        <v>26726004612.07</v>
      </c>
      <c r="I589" s="677" t="s">
        <v>1336</v>
      </c>
    </row>
    <row r="590" spans="1:9" ht="17.100000000000001" customHeight="1">
      <c r="A590" s="677">
        <v>20170201</v>
      </c>
      <c r="B590" s="677" t="s">
        <v>2596</v>
      </c>
      <c r="C590" s="679">
        <v>0</v>
      </c>
      <c r="D590" s="678">
        <v>370339665.92000002</v>
      </c>
      <c r="E590" s="678">
        <v>815633633.98000002</v>
      </c>
      <c r="F590" s="678">
        <v>821298580.13</v>
      </c>
      <c r="G590" s="679">
        <v>0</v>
      </c>
      <c r="H590" s="678">
        <v>376004612.06999999</v>
      </c>
      <c r="I590" s="677" t="s">
        <v>2597</v>
      </c>
    </row>
    <row r="591" spans="1:9" ht="17.100000000000001" customHeight="1">
      <c r="A591" s="677">
        <v>20170203</v>
      </c>
      <c r="B591" s="677" t="s">
        <v>1337</v>
      </c>
      <c r="C591" s="679">
        <v>0</v>
      </c>
      <c r="D591" s="678">
        <v>26050000000</v>
      </c>
      <c r="E591" s="679">
        <v>0</v>
      </c>
      <c r="F591" s="678">
        <v>300000000</v>
      </c>
      <c r="G591" s="679">
        <v>0</v>
      </c>
      <c r="H591" s="678">
        <v>26350000000</v>
      </c>
      <c r="I591" s="677" t="s">
        <v>1338</v>
      </c>
    </row>
    <row r="592" spans="1:9" ht="17.100000000000001" customHeight="1">
      <c r="A592" s="677">
        <v>201705</v>
      </c>
      <c r="B592" s="677" t="s">
        <v>1339</v>
      </c>
      <c r="C592" s="679">
        <v>0</v>
      </c>
      <c r="D592" s="678">
        <v>1619839885.6199999</v>
      </c>
      <c r="E592" s="678">
        <v>1833114772.3299999</v>
      </c>
      <c r="F592" s="678">
        <v>1891412075.3499999</v>
      </c>
      <c r="G592" s="679">
        <v>0</v>
      </c>
      <c r="H592" s="678">
        <v>1678137188.6400001</v>
      </c>
      <c r="I592" s="677" t="s">
        <v>1340</v>
      </c>
    </row>
    <row r="593" spans="1:9" ht="17.100000000000001" customHeight="1">
      <c r="A593" s="677">
        <v>20170501</v>
      </c>
      <c r="B593" s="677" t="s">
        <v>1341</v>
      </c>
      <c r="C593" s="679">
        <v>0</v>
      </c>
      <c r="D593" s="678">
        <v>1057839885.62</v>
      </c>
      <c r="E593" s="678">
        <v>1833114772.3299999</v>
      </c>
      <c r="F593" s="678">
        <v>1691412075.3499999</v>
      </c>
      <c r="G593" s="679">
        <v>0</v>
      </c>
      <c r="H593" s="678">
        <v>916137188.63999999</v>
      </c>
      <c r="I593" s="677" t="s">
        <v>1342</v>
      </c>
    </row>
    <row r="594" spans="1:9" ht="17.100000000000001" customHeight="1">
      <c r="A594" s="677">
        <v>20170503</v>
      </c>
      <c r="B594" s="677" t="s">
        <v>1343</v>
      </c>
      <c r="C594" s="679">
        <v>0</v>
      </c>
      <c r="D594" s="678">
        <v>562000000</v>
      </c>
      <c r="E594" s="679">
        <v>0</v>
      </c>
      <c r="F594" s="678">
        <v>200000000</v>
      </c>
      <c r="G594" s="679">
        <v>0</v>
      </c>
      <c r="H594" s="678">
        <v>762000000</v>
      </c>
      <c r="I594" s="677" t="s">
        <v>1344</v>
      </c>
    </row>
    <row r="595" spans="1:9" ht="17.100000000000001" customHeight="1">
      <c r="A595" s="677">
        <v>201709</v>
      </c>
      <c r="B595" s="677" t="s">
        <v>1348</v>
      </c>
      <c r="C595" s="679">
        <v>0</v>
      </c>
      <c r="D595" s="678">
        <v>300020109.80000001</v>
      </c>
      <c r="E595" s="679">
        <v>0</v>
      </c>
      <c r="F595" s="679">
        <v>0</v>
      </c>
      <c r="G595" s="679">
        <v>0</v>
      </c>
      <c r="H595" s="678">
        <v>300020109.80000001</v>
      </c>
      <c r="I595" s="677" t="s">
        <v>2598</v>
      </c>
    </row>
    <row r="596" spans="1:9" ht="17.100000000000001" customHeight="1">
      <c r="A596" s="677">
        <v>20170901</v>
      </c>
      <c r="B596" s="677" t="s">
        <v>2599</v>
      </c>
      <c r="C596" s="679">
        <v>0</v>
      </c>
      <c r="D596" s="678">
        <v>20109.8</v>
      </c>
      <c r="E596" s="679">
        <v>0</v>
      </c>
      <c r="F596" s="679">
        <v>0</v>
      </c>
      <c r="G596" s="679">
        <v>0</v>
      </c>
      <c r="H596" s="678">
        <v>20109.8</v>
      </c>
      <c r="I596" s="677" t="s">
        <v>2600</v>
      </c>
    </row>
    <row r="597" spans="1:9" ht="17.100000000000001" customHeight="1">
      <c r="A597" s="677">
        <v>20170903</v>
      </c>
      <c r="B597" s="677" t="s">
        <v>3976</v>
      </c>
      <c r="C597" s="679">
        <v>0</v>
      </c>
      <c r="D597" s="678">
        <v>300000000</v>
      </c>
      <c r="E597" s="679">
        <v>0</v>
      </c>
      <c r="F597" s="679">
        <v>0</v>
      </c>
      <c r="G597" s="679">
        <v>0</v>
      </c>
      <c r="H597" s="678">
        <v>300000000</v>
      </c>
      <c r="I597" s="677" t="s">
        <v>3977</v>
      </c>
    </row>
    <row r="598" spans="1:9" ht="17.100000000000001" customHeight="1">
      <c r="A598" s="677">
        <v>201712</v>
      </c>
      <c r="B598" s="677" t="s">
        <v>2803</v>
      </c>
      <c r="C598" s="679">
        <v>0</v>
      </c>
      <c r="D598" s="678">
        <v>258120590.97999999</v>
      </c>
      <c r="E598" s="678">
        <v>1199750000</v>
      </c>
      <c r="F598" s="678">
        <v>1116503949.5699999</v>
      </c>
      <c r="G598" s="679">
        <v>0</v>
      </c>
      <c r="H598" s="678">
        <v>174874540.55000001</v>
      </c>
      <c r="I598" s="677" t="s">
        <v>2804</v>
      </c>
    </row>
    <row r="599" spans="1:9" ht="17.100000000000001" customHeight="1">
      <c r="A599" s="677">
        <v>20171207</v>
      </c>
      <c r="B599" s="677" t="s">
        <v>2805</v>
      </c>
      <c r="C599" s="679">
        <v>0</v>
      </c>
      <c r="D599" s="678">
        <v>123000000</v>
      </c>
      <c r="E599" s="679">
        <v>0</v>
      </c>
      <c r="F599" s="679">
        <v>0</v>
      </c>
      <c r="G599" s="679">
        <v>0</v>
      </c>
      <c r="H599" s="678">
        <v>123000000</v>
      </c>
      <c r="I599" s="677" t="s">
        <v>2806</v>
      </c>
    </row>
    <row r="600" spans="1:9" ht="17.100000000000001" customHeight="1">
      <c r="A600" s="677">
        <v>20171209</v>
      </c>
      <c r="B600" s="677" t="s">
        <v>3370</v>
      </c>
      <c r="C600" s="679">
        <v>0</v>
      </c>
      <c r="D600" s="678">
        <v>135120590.97999999</v>
      </c>
      <c r="E600" s="678">
        <v>1199750000</v>
      </c>
      <c r="F600" s="678">
        <v>1116503949.5699999</v>
      </c>
      <c r="G600" s="679">
        <v>0</v>
      </c>
      <c r="H600" s="678">
        <v>51874540.549999997</v>
      </c>
      <c r="I600" s="677" t="s">
        <v>3371</v>
      </c>
    </row>
    <row r="601" spans="1:9" ht="17.100000000000001" customHeight="1">
      <c r="A601" s="677">
        <v>201713</v>
      </c>
      <c r="B601" s="677" t="s">
        <v>2807</v>
      </c>
      <c r="C601" s="679">
        <v>0</v>
      </c>
      <c r="D601" s="678">
        <v>9714048853.5699997</v>
      </c>
      <c r="E601" s="678">
        <v>5628744.1500000004</v>
      </c>
      <c r="F601" s="678">
        <v>300535215.06999999</v>
      </c>
      <c r="G601" s="679">
        <v>0</v>
      </c>
      <c r="H601" s="678">
        <v>10008955324.49</v>
      </c>
      <c r="I601" s="677" t="s">
        <v>2678</v>
      </c>
    </row>
    <row r="602" spans="1:9" ht="17.100000000000001" customHeight="1">
      <c r="A602" s="677">
        <v>20171301</v>
      </c>
      <c r="B602" s="677" t="s">
        <v>2808</v>
      </c>
      <c r="C602" s="679">
        <v>0</v>
      </c>
      <c r="D602" s="678">
        <v>7938.56</v>
      </c>
      <c r="E602" s="679">
        <v>0</v>
      </c>
      <c r="F602" s="679">
        <v>0</v>
      </c>
      <c r="G602" s="679">
        <v>0</v>
      </c>
      <c r="H602" s="678">
        <v>7938.56</v>
      </c>
      <c r="I602" s="677" t="s">
        <v>2809</v>
      </c>
    </row>
    <row r="603" spans="1:9" ht="17.100000000000001" customHeight="1">
      <c r="A603" s="677">
        <v>20171309</v>
      </c>
      <c r="B603" s="677" t="s">
        <v>2679</v>
      </c>
      <c r="C603" s="679">
        <v>0</v>
      </c>
      <c r="D603" s="678">
        <v>14040915.01</v>
      </c>
      <c r="E603" s="678">
        <v>5628744.1500000004</v>
      </c>
      <c r="F603" s="678">
        <v>535215.06999999995</v>
      </c>
      <c r="G603" s="679">
        <v>0</v>
      </c>
      <c r="H603" s="678">
        <v>8947385.9299999997</v>
      </c>
      <c r="I603" s="677" t="s">
        <v>2680</v>
      </c>
    </row>
    <row r="604" spans="1:9" ht="17.100000000000001" customHeight="1">
      <c r="A604" s="677">
        <v>20171311</v>
      </c>
      <c r="B604" s="677" t="s">
        <v>2810</v>
      </c>
      <c r="C604" s="679">
        <v>0</v>
      </c>
      <c r="D604" s="678">
        <v>9700000000</v>
      </c>
      <c r="E604" s="679">
        <v>0</v>
      </c>
      <c r="F604" s="678">
        <v>300000000</v>
      </c>
      <c r="G604" s="679">
        <v>0</v>
      </c>
      <c r="H604" s="678">
        <v>10000000000</v>
      </c>
      <c r="I604" s="677" t="s">
        <v>2811</v>
      </c>
    </row>
    <row r="605" spans="1:9" ht="17.100000000000001" customHeight="1">
      <c r="A605" s="677">
        <v>201798</v>
      </c>
      <c r="B605" s="677" t="s">
        <v>3978</v>
      </c>
      <c r="C605" s="679">
        <v>0</v>
      </c>
      <c r="D605" s="678">
        <v>1100000000</v>
      </c>
      <c r="E605" s="679">
        <v>0</v>
      </c>
      <c r="F605" s="679">
        <v>0</v>
      </c>
      <c r="G605" s="679">
        <v>0</v>
      </c>
      <c r="H605" s="678">
        <v>1100000000</v>
      </c>
      <c r="I605" s="677" t="s">
        <v>3979</v>
      </c>
    </row>
    <row r="606" spans="1:9" ht="17.100000000000001" customHeight="1">
      <c r="A606" s="677">
        <v>20179898</v>
      </c>
      <c r="B606" s="677" t="s">
        <v>3980</v>
      </c>
      <c r="C606" s="679">
        <v>0</v>
      </c>
      <c r="D606" s="678">
        <v>1100000000</v>
      </c>
      <c r="E606" s="679">
        <v>0</v>
      </c>
      <c r="F606" s="679">
        <v>0</v>
      </c>
      <c r="G606" s="679">
        <v>0</v>
      </c>
      <c r="H606" s="678">
        <v>1100000000</v>
      </c>
      <c r="I606" s="677" t="s">
        <v>3981</v>
      </c>
    </row>
    <row r="607" spans="1:9" ht="17.100000000000001" customHeight="1">
      <c r="A607" s="677">
        <v>201799</v>
      </c>
      <c r="B607" s="677" t="s">
        <v>2812</v>
      </c>
      <c r="C607" s="679">
        <v>0</v>
      </c>
      <c r="D607" s="678">
        <v>8495692032.5</v>
      </c>
      <c r="E607" s="678">
        <v>15788326549.23</v>
      </c>
      <c r="F607" s="678">
        <v>13618118841.360001</v>
      </c>
      <c r="G607" s="679">
        <v>0</v>
      </c>
      <c r="H607" s="678">
        <v>6325484324.6300001</v>
      </c>
      <c r="I607" s="677" t="s">
        <v>1345</v>
      </c>
    </row>
    <row r="608" spans="1:9" ht="17.100000000000001" customHeight="1">
      <c r="A608" s="677">
        <v>20179901</v>
      </c>
      <c r="B608" s="677" t="s">
        <v>2813</v>
      </c>
      <c r="C608" s="679">
        <v>0</v>
      </c>
      <c r="D608" s="678">
        <v>7995692032.5</v>
      </c>
      <c r="E608" s="678">
        <v>15788326549.23</v>
      </c>
      <c r="F608" s="678">
        <v>13618118841.360001</v>
      </c>
      <c r="G608" s="679">
        <v>0</v>
      </c>
      <c r="H608" s="678">
        <v>5825484324.6300001</v>
      </c>
      <c r="I608" s="677" t="s">
        <v>1346</v>
      </c>
    </row>
    <row r="609" spans="1:9" ht="17.100000000000001" customHeight="1">
      <c r="A609" s="677">
        <v>20179903</v>
      </c>
      <c r="B609" s="677" t="s">
        <v>3982</v>
      </c>
      <c r="C609" s="679">
        <v>0</v>
      </c>
      <c r="D609" s="678">
        <v>500000000</v>
      </c>
      <c r="E609" s="679">
        <v>0</v>
      </c>
      <c r="F609" s="679">
        <v>0</v>
      </c>
      <c r="G609" s="679">
        <v>0</v>
      </c>
      <c r="H609" s="678">
        <v>500000000</v>
      </c>
      <c r="I609" s="677" t="s">
        <v>3983</v>
      </c>
    </row>
    <row r="610" spans="1:9" ht="17.100000000000001" customHeight="1">
      <c r="A610" s="677">
        <v>2019</v>
      </c>
      <c r="B610" s="677" t="s">
        <v>1349</v>
      </c>
      <c r="C610" s="679">
        <v>0</v>
      </c>
      <c r="D610" s="678">
        <v>8000000000</v>
      </c>
      <c r="E610" s="678">
        <v>7000000000</v>
      </c>
      <c r="F610" s="678">
        <v>1000000000</v>
      </c>
      <c r="G610" s="679">
        <v>0</v>
      </c>
      <c r="H610" s="678">
        <v>2000000000</v>
      </c>
      <c r="I610" s="677" t="s">
        <v>1350</v>
      </c>
    </row>
    <row r="611" spans="1:9" ht="17.100000000000001" customHeight="1">
      <c r="A611" s="677">
        <v>201901</v>
      </c>
      <c r="B611" s="677" t="s">
        <v>3984</v>
      </c>
      <c r="C611" s="679">
        <v>0</v>
      </c>
      <c r="D611" s="678">
        <v>2000000000</v>
      </c>
      <c r="E611" s="678">
        <v>1000000000</v>
      </c>
      <c r="F611" s="678">
        <v>1000000000</v>
      </c>
      <c r="G611" s="679">
        <v>0</v>
      </c>
      <c r="H611" s="678">
        <v>2000000000</v>
      </c>
      <c r="I611" s="677" t="s">
        <v>3985</v>
      </c>
    </row>
    <row r="612" spans="1:9" ht="17.100000000000001" customHeight="1">
      <c r="A612" s="677">
        <v>20190101</v>
      </c>
      <c r="B612" s="677" t="s">
        <v>3986</v>
      </c>
      <c r="C612" s="679">
        <v>0</v>
      </c>
      <c r="D612" s="678">
        <v>2000000000</v>
      </c>
      <c r="E612" s="678">
        <v>1000000000</v>
      </c>
      <c r="F612" s="678">
        <v>1000000000</v>
      </c>
      <c r="G612" s="679">
        <v>0</v>
      </c>
      <c r="H612" s="678">
        <v>2000000000</v>
      </c>
      <c r="I612" s="677" t="s">
        <v>3987</v>
      </c>
    </row>
    <row r="613" spans="1:9" ht="17.100000000000001" customHeight="1">
      <c r="A613" s="677">
        <v>201902</v>
      </c>
      <c r="B613" s="677" t="s">
        <v>2539</v>
      </c>
      <c r="C613" s="679">
        <v>0</v>
      </c>
      <c r="D613" s="678">
        <v>6000000000</v>
      </c>
      <c r="E613" s="678">
        <v>6000000000</v>
      </c>
      <c r="F613" s="679">
        <v>0</v>
      </c>
      <c r="G613" s="679">
        <v>0</v>
      </c>
      <c r="H613" s="679">
        <v>0</v>
      </c>
      <c r="I613" s="677" t="s">
        <v>2544</v>
      </c>
    </row>
    <row r="614" spans="1:9" ht="17.100000000000001" customHeight="1">
      <c r="A614" s="677">
        <v>20190201</v>
      </c>
      <c r="B614" s="677" t="s">
        <v>2540</v>
      </c>
      <c r="C614" s="679">
        <v>0</v>
      </c>
      <c r="D614" s="678">
        <v>6000000000</v>
      </c>
      <c r="E614" s="678">
        <v>6000000000</v>
      </c>
      <c r="F614" s="679">
        <v>0</v>
      </c>
      <c r="G614" s="679">
        <v>0</v>
      </c>
      <c r="H614" s="679">
        <v>0</v>
      </c>
      <c r="I614" s="677" t="s">
        <v>2545</v>
      </c>
    </row>
    <row r="615" spans="1:9" ht="17.100000000000001" customHeight="1">
      <c r="A615" s="677">
        <v>2111</v>
      </c>
      <c r="B615" s="677" t="s">
        <v>1351</v>
      </c>
      <c r="C615" s="679">
        <v>0</v>
      </c>
      <c r="D615" s="678">
        <v>27874700000</v>
      </c>
      <c r="E615" s="678">
        <v>14695200000</v>
      </c>
      <c r="F615" s="678">
        <v>8175950000</v>
      </c>
      <c r="G615" s="679">
        <v>0</v>
      </c>
      <c r="H615" s="678">
        <v>21355450000</v>
      </c>
      <c r="I615" s="677" t="s">
        <v>1352</v>
      </c>
    </row>
    <row r="616" spans="1:9" ht="17.100000000000001" customHeight="1">
      <c r="A616" s="677">
        <v>211102</v>
      </c>
      <c r="B616" s="677" t="s">
        <v>1353</v>
      </c>
      <c r="C616" s="679">
        <v>0</v>
      </c>
      <c r="D616" s="678">
        <v>27874700000</v>
      </c>
      <c r="E616" s="678">
        <v>14695200000</v>
      </c>
      <c r="F616" s="678">
        <v>8175950000</v>
      </c>
      <c r="G616" s="679">
        <v>0</v>
      </c>
      <c r="H616" s="678">
        <v>21355450000</v>
      </c>
      <c r="I616" s="677" t="s">
        <v>1354</v>
      </c>
    </row>
    <row r="617" spans="1:9" ht="17.100000000000001" customHeight="1">
      <c r="A617" s="320"/>
      <c r="B617" s="320"/>
      <c r="C617" s="320"/>
      <c r="D617" s="557" t="s">
        <v>4317</v>
      </c>
      <c r="E617" s="320" t="s">
        <v>3740</v>
      </c>
      <c r="F617" s="320"/>
      <c r="G617" s="320"/>
      <c r="H617" s="320"/>
      <c r="I617" s="320"/>
    </row>
    <row r="618" spans="1:9" ht="28.5" customHeight="1">
      <c r="A618" s="671"/>
      <c r="B618" s="671"/>
      <c r="C618" s="671"/>
      <c r="D618" s="671"/>
      <c r="E618" s="671"/>
      <c r="F618" s="671"/>
      <c r="G618" s="671"/>
      <c r="H618" s="671"/>
      <c r="I618" s="671"/>
    </row>
    <row r="619" spans="1:9" ht="22.5">
      <c r="A619" s="320"/>
      <c r="B619" s="320"/>
      <c r="C619" s="672" t="s">
        <v>4316</v>
      </c>
      <c r="D619" s="320"/>
      <c r="E619" s="320"/>
      <c r="F619" s="671"/>
      <c r="G619" s="671"/>
      <c r="H619" s="671"/>
      <c r="I619" s="671"/>
    </row>
    <row r="620" spans="1:9" ht="14.25">
      <c r="A620" s="673" t="s">
        <v>3708</v>
      </c>
      <c r="B620" s="673"/>
      <c r="C620" s="683">
        <v>42551</v>
      </c>
      <c r="D620" s="673"/>
      <c r="E620" s="557" t="s">
        <v>3709</v>
      </c>
      <c r="F620" s="671"/>
      <c r="G620" s="671"/>
      <c r="H620" s="671"/>
      <c r="I620" s="671"/>
    </row>
    <row r="621" spans="1:9">
      <c r="A621" s="676" t="s">
        <v>596</v>
      </c>
      <c r="B621" s="676" t="s">
        <v>597</v>
      </c>
      <c r="C621" s="676" t="s">
        <v>3710</v>
      </c>
      <c r="D621" s="676" t="s">
        <v>3711</v>
      </c>
      <c r="E621" s="676" t="s">
        <v>3712</v>
      </c>
      <c r="F621" s="676" t="s">
        <v>3713</v>
      </c>
      <c r="G621" s="676" t="s">
        <v>3714</v>
      </c>
      <c r="H621" s="676" t="s">
        <v>3715</v>
      </c>
      <c r="I621" s="676" t="s">
        <v>596</v>
      </c>
    </row>
    <row r="622" spans="1:9" ht="28.5" customHeight="1">
      <c r="A622" s="677">
        <v>21110201</v>
      </c>
      <c r="B622" s="677" t="s">
        <v>1355</v>
      </c>
      <c r="C622" s="679">
        <v>0</v>
      </c>
      <c r="D622" s="678">
        <v>27874700000</v>
      </c>
      <c r="E622" s="678">
        <v>14695200000</v>
      </c>
      <c r="F622" s="678">
        <v>8175950000</v>
      </c>
      <c r="G622" s="679">
        <v>0</v>
      </c>
      <c r="H622" s="678">
        <v>21355450000</v>
      </c>
      <c r="I622" s="677" t="s">
        <v>1356</v>
      </c>
    </row>
    <row r="623" spans="1:9" ht="17.100000000000001" customHeight="1">
      <c r="A623" s="677">
        <v>2211</v>
      </c>
      <c r="B623" s="677" t="s">
        <v>1357</v>
      </c>
      <c r="C623" s="679">
        <v>0</v>
      </c>
      <c r="D623" s="678">
        <v>1187586157.4300001</v>
      </c>
      <c r="E623" s="678">
        <v>268513595.38999999</v>
      </c>
      <c r="F623" s="678">
        <v>240111375.61000001</v>
      </c>
      <c r="G623" s="679">
        <v>0</v>
      </c>
      <c r="H623" s="678">
        <v>1159183937.6500001</v>
      </c>
      <c r="I623" s="677" t="s">
        <v>1358</v>
      </c>
    </row>
    <row r="624" spans="1:9" ht="17.100000000000001" customHeight="1">
      <c r="A624" s="677">
        <v>221101</v>
      </c>
      <c r="B624" s="677" t="s">
        <v>1359</v>
      </c>
      <c r="C624" s="679">
        <v>0</v>
      </c>
      <c r="D624" s="678">
        <v>608796576.88999999</v>
      </c>
      <c r="E624" s="678">
        <v>150149017.56</v>
      </c>
      <c r="F624" s="678">
        <v>114541842.02</v>
      </c>
      <c r="G624" s="679">
        <v>0</v>
      </c>
      <c r="H624" s="678">
        <v>573189401.35000002</v>
      </c>
      <c r="I624" s="677" t="s">
        <v>1360</v>
      </c>
    </row>
    <row r="625" spans="1:9" ht="17.100000000000001" customHeight="1">
      <c r="A625" s="677">
        <v>22110101</v>
      </c>
      <c r="B625" s="677" t="s">
        <v>3869</v>
      </c>
      <c r="C625" s="679">
        <v>0</v>
      </c>
      <c r="D625" s="679">
        <v>0</v>
      </c>
      <c r="E625" s="678">
        <v>57040603.329999998</v>
      </c>
      <c r="F625" s="678">
        <v>57040603.329999998</v>
      </c>
      <c r="G625" s="679">
        <v>0</v>
      </c>
      <c r="H625" s="679">
        <v>0</v>
      </c>
      <c r="I625" s="677" t="s">
        <v>3870</v>
      </c>
    </row>
    <row r="626" spans="1:9" ht="17.100000000000001" customHeight="1">
      <c r="A626" s="677">
        <v>22110102</v>
      </c>
      <c r="B626" s="677" t="s">
        <v>1361</v>
      </c>
      <c r="C626" s="679">
        <v>0</v>
      </c>
      <c r="D626" s="678">
        <v>608796576.88999999</v>
      </c>
      <c r="E626" s="678">
        <v>36443298.43</v>
      </c>
      <c r="F626" s="678">
        <v>836122.89</v>
      </c>
      <c r="G626" s="679">
        <v>0</v>
      </c>
      <c r="H626" s="678">
        <v>573189401.35000002</v>
      </c>
      <c r="I626" s="677" t="s">
        <v>1362</v>
      </c>
    </row>
    <row r="627" spans="1:9" ht="17.100000000000001" customHeight="1">
      <c r="A627" s="677">
        <v>22110199</v>
      </c>
      <c r="B627" s="677" t="s">
        <v>3871</v>
      </c>
      <c r="C627" s="679">
        <v>0</v>
      </c>
      <c r="D627" s="679">
        <v>0</v>
      </c>
      <c r="E627" s="678">
        <v>56665115.799999997</v>
      </c>
      <c r="F627" s="678">
        <v>56665115.799999997</v>
      </c>
      <c r="G627" s="679">
        <v>0</v>
      </c>
      <c r="H627" s="679">
        <v>0</v>
      </c>
      <c r="I627" s="677" t="s">
        <v>3872</v>
      </c>
    </row>
    <row r="628" spans="1:9" ht="17.100000000000001" customHeight="1">
      <c r="A628" s="677">
        <v>221102</v>
      </c>
      <c r="B628" s="677" t="s">
        <v>3873</v>
      </c>
      <c r="C628" s="679">
        <v>0</v>
      </c>
      <c r="D628" s="679">
        <v>0</v>
      </c>
      <c r="E628" s="678">
        <v>6712513.0899999999</v>
      </c>
      <c r="F628" s="678">
        <v>6712513.0899999999</v>
      </c>
      <c r="G628" s="679">
        <v>0</v>
      </c>
      <c r="H628" s="679">
        <v>0</v>
      </c>
      <c r="I628" s="677" t="s">
        <v>3874</v>
      </c>
    </row>
    <row r="629" spans="1:9" ht="17.100000000000001" customHeight="1">
      <c r="A629" s="677">
        <v>22110201</v>
      </c>
      <c r="B629" s="677" t="s">
        <v>3873</v>
      </c>
      <c r="C629" s="679">
        <v>0</v>
      </c>
      <c r="D629" s="679">
        <v>0</v>
      </c>
      <c r="E629" s="678">
        <v>6712513.0899999999</v>
      </c>
      <c r="F629" s="678">
        <v>6712513.0899999999</v>
      </c>
      <c r="G629" s="679">
        <v>0</v>
      </c>
      <c r="H629" s="679">
        <v>0</v>
      </c>
      <c r="I629" s="677" t="s">
        <v>3875</v>
      </c>
    </row>
    <row r="630" spans="1:9" ht="17.100000000000001" customHeight="1">
      <c r="A630" s="677">
        <v>221103</v>
      </c>
      <c r="B630" s="677" t="s">
        <v>1363</v>
      </c>
      <c r="C630" s="679">
        <v>0</v>
      </c>
      <c r="D630" s="678">
        <v>13474700.02</v>
      </c>
      <c r="E630" s="678">
        <v>40735571.630000003</v>
      </c>
      <c r="F630" s="678">
        <v>30743835.329999998</v>
      </c>
      <c r="G630" s="679">
        <v>0</v>
      </c>
      <c r="H630" s="678">
        <v>3482963.72</v>
      </c>
      <c r="I630" s="677" t="s">
        <v>1364</v>
      </c>
    </row>
    <row r="631" spans="1:9" ht="17.100000000000001" customHeight="1">
      <c r="A631" s="677">
        <v>22110301</v>
      </c>
      <c r="B631" s="677" t="s">
        <v>1365</v>
      </c>
      <c r="C631" s="679">
        <v>0</v>
      </c>
      <c r="D631" s="678">
        <v>-227561.42</v>
      </c>
      <c r="E631" s="678">
        <v>19422788.420000002</v>
      </c>
      <c r="F631" s="678">
        <v>19686440.399999999</v>
      </c>
      <c r="G631" s="679">
        <v>0</v>
      </c>
      <c r="H631" s="678">
        <v>36090.559999999998</v>
      </c>
      <c r="I631" s="677" t="s">
        <v>1366</v>
      </c>
    </row>
    <row r="632" spans="1:9" ht="17.100000000000001" customHeight="1">
      <c r="A632" s="677">
        <v>22110302</v>
      </c>
      <c r="B632" s="677" t="s">
        <v>1367</v>
      </c>
      <c r="C632" s="679">
        <v>0</v>
      </c>
      <c r="D632" s="678">
        <v>9097680.7400000002</v>
      </c>
      <c r="E632" s="678">
        <v>18263012.48</v>
      </c>
      <c r="F632" s="678">
        <v>9262481.4800000004</v>
      </c>
      <c r="G632" s="679">
        <v>0</v>
      </c>
      <c r="H632" s="678">
        <v>97149.74</v>
      </c>
      <c r="I632" s="677" t="s">
        <v>1368</v>
      </c>
    </row>
    <row r="633" spans="1:9" ht="17.100000000000001" customHeight="1">
      <c r="A633" s="677">
        <v>22110303</v>
      </c>
      <c r="B633" s="677" t="s">
        <v>1369</v>
      </c>
      <c r="C633" s="679">
        <v>0</v>
      </c>
      <c r="D633" s="678">
        <v>618425.64</v>
      </c>
      <c r="E633" s="678">
        <v>1244157.99</v>
      </c>
      <c r="F633" s="678">
        <v>636454.65</v>
      </c>
      <c r="G633" s="679">
        <v>0</v>
      </c>
      <c r="H633" s="678">
        <v>10722.3</v>
      </c>
      <c r="I633" s="677" t="s">
        <v>1370</v>
      </c>
    </row>
    <row r="634" spans="1:9" ht="17.100000000000001" customHeight="1">
      <c r="A634" s="677">
        <v>22110304</v>
      </c>
      <c r="B634" s="677" t="s">
        <v>1371</v>
      </c>
      <c r="C634" s="679">
        <v>0</v>
      </c>
      <c r="D634" s="678">
        <v>1131894.6299999999</v>
      </c>
      <c r="E634" s="678">
        <v>253349.98</v>
      </c>
      <c r="F634" s="678">
        <v>258732.66</v>
      </c>
      <c r="G634" s="679">
        <v>0</v>
      </c>
      <c r="H634" s="678">
        <v>1137277.31</v>
      </c>
      <c r="I634" s="677" t="s">
        <v>1372</v>
      </c>
    </row>
    <row r="635" spans="1:9" ht="17.100000000000001" customHeight="1">
      <c r="A635" s="677">
        <v>22110305</v>
      </c>
      <c r="B635" s="677" t="s">
        <v>1373</v>
      </c>
      <c r="C635" s="679">
        <v>0</v>
      </c>
      <c r="D635" s="678">
        <v>2496705.04</v>
      </c>
      <c r="E635" s="678">
        <v>1551536.71</v>
      </c>
      <c r="F635" s="678">
        <v>786057.85</v>
      </c>
      <c r="G635" s="679">
        <v>0</v>
      </c>
      <c r="H635" s="678">
        <v>1731226.18</v>
      </c>
      <c r="I635" s="677" t="s">
        <v>1374</v>
      </c>
    </row>
    <row r="636" spans="1:9" ht="17.100000000000001" customHeight="1">
      <c r="A636" s="677">
        <v>22110399</v>
      </c>
      <c r="B636" s="677" t="s">
        <v>1375</v>
      </c>
      <c r="C636" s="679">
        <v>0</v>
      </c>
      <c r="D636" s="678">
        <v>357555.39</v>
      </c>
      <c r="E636" s="679">
        <v>726.05</v>
      </c>
      <c r="F636" s="678">
        <v>113668.29</v>
      </c>
      <c r="G636" s="679">
        <v>0</v>
      </c>
      <c r="H636" s="678">
        <v>470497.63</v>
      </c>
      <c r="I636" s="677" t="s">
        <v>1376</v>
      </c>
    </row>
    <row r="637" spans="1:9" ht="17.100000000000001" customHeight="1">
      <c r="A637" s="677">
        <v>221104</v>
      </c>
      <c r="B637" s="677" t="s">
        <v>1377</v>
      </c>
      <c r="C637" s="679">
        <v>0</v>
      </c>
      <c r="D637" s="678">
        <v>9961384.9399999995</v>
      </c>
      <c r="E637" s="678">
        <v>11748124.59</v>
      </c>
      <c r="F637" s="678">
        <v>2977302.6</v>
      </c>
      <c r="G637" s="679">
        <v>0</v>
      </c>
      <c r="H637" s="678">
        <v>1190562.95</v>
      </c>
      <c r="I637" s="677" t="s">
        <v>1378</v>
      </c>
    </row>
    <row r="638" spans="1:9" ht="17.100000000000001" customHeight="1">
      <c r="A638" s="677">
        <v>22110401</v>
      </c>
      <c r="B638" s="677" t="s">
        <v>1377</v>
      </c>
      <c r="C638" s="679">
        <v>0</v>
      </c>
      <c r="D638" s="678">
        <v>9961384.9399999995</v>
      </c>
      <c r="E638" s="678">
        <v>11748124.59</v>
      </c>
      <c r="F638" s="678">
        <v>2977302.6</v>
      </c>
      <c r="G638" s="679">
        <v>0</v>
      </c>
      <c r="H638" s="678">
        <v>1190562.95</v>
      </c>
      <c r="I638" s="677" t="s">
        <v>1379</v>
      </c>
    </row>
    <row r="639" spans="1:9" ht="17.100000000000001" customHeight="1">
      <c r="A639" s="677">
        <v>221105</v>
      </c>
      <c r="B639" s="677" t="s">
        <v>1380</v>
      </c>
      <c r="C639" s="679">
        <v>0</v>
      </c>
      <c r="D639" s="678">
        <v>68154792.349999994</v>
      </c>
      <c r="E639" s="678">
        <v>17592.05</v>
      </c>
      <c r="F639" s="679">
        <v>0</v>
      </c>
      <c r="G639" s="679">
        <v>0</v>
      </c>
      <c r="H639" s="678">
        <v>68137200.299999997</v>
      </c>
      <c r="I639" s="677" t="s">
        <v>1381</v>
      </c>
    </row>
    <row r="640" spans="1:9" ht="17.100000000000001" customHeight="1">
      <c r="A640" s="677">
        <v>22110501</v>
      </c>
      <c r="B640" s="677" t="s">
        <v>1380</v>
      </c>
      <c r="C640" s="679">
        <v>0</v>
      </c>
      <c r="D640" s="678">
        <v>68154792.349999994</v>
      </c>
      <c r="E640" s="678">
        <v>17592.05</v>
      </c>
      <c r="F640" s="679">
        <v>0</v>
      </c>
      <c r="G640" s="679">
        <v>0</v>
      </c>
      <c r="H640" s="678">
        <v>68137200.299999997</v>
      </c>
      <c r="I640" s="677" t="s">
        <v>1382</v>
      </c>
    </row>
    <row r="641" spans="1:9" ht="17.100000000000001" customHeight="1">
      <c r="A641" s="677">
        <v>221106</v>
      </c>
      <c r="B641" s="677" t="s">
        <v>1383</v>
      </c>
      <c r="C641" s="679">
        <v>0</v>
      </c>
      <c r="D641" s="678">
        <v>240010.01</v>
      </c>
      <c r="E641" s="678">
        <v>41891037.399999999</v>
      </c>
      <c r="F641" s="678">
        <v>41877927.399999999</v>
      </c>
      <c r="G641" s="679">
        <v>0</v>
      </c>
      <c r="H641" s="678">
        <v>226900.01</v>
      </c>
      <c r="I641" s="677" t="s">
        <v>1384</v>
      </c>
    </row>
    <row r="642" spans="1:9" ht="17.100000000000001" customHeight="1">
      <c r="A642" s="677">
        <v>22110601</v>
      </c>
      <c r="B642" s="677" t="s">
        <v>1383</v>
      </c>
      <c r="C642" s="679">
        <v>0</v>
      </c>
      <c r="D642" s="678">
        <v>240010.01</v>
      </c>
      <c r="E642" s="678">
        <v>41891037.399999999</v>
      </c>
      <c r="F642" s="678">
        <v>41877927.399999999</v>
      </c>
      <c r="G642" s="679">
        <v>0</v>
      </c>
      <c r="H642" s="678">
        <v>226900.01</v>
      </c>
      <c r="I642" s="677" t="s">
        <v>1385</v>
      </c>
    </row>
    <row r="643" spans="1:9" ht="17.100000000000001" customHeight="1">
      <c r="A643" s="677">
        <v>221107</v>
      </c>
      <c r="B643" s="677" t="s">
        <v>1386</v>
      </c>
      <c r="C643" s="679">
        <v>0</v>
      </c>
      <c r="D643" s="678">
        <v>4025.22</v>
      </c>
      <c r="E643" s="678">
        <v>14297004</v>
      </c>
      <c r="F643" s="678">
        <v>14297004</v>
      </c>
      <c r="G643" s="679">
        <v>0</v>
      </c>
      <c r="H643" s="678">
        <v>4025.22</v>
      </c>
      <c r="I643" s="677" t="s">
        <v>1387</v>
      </c>
    </row>
    <row r="644" spans="1:9" ht="17.100000000000001" customHeight="1">
      <c r="A644" s="677">
        <v>22110701</v>
      </c>
      <c r="B644" s="677" t="s">
        <v>1388</v>
      </c>
      <c r="C644" s="679">
        <v>0</v>
      </c>
      <c r="D644" s="678">
        <v>4025.22</v>
      </c>
      <c r="E644" s="678">
        <v>14297004</v>
      </c>
      <c r="F644" s="678">
        <v>14297004</v>
      </c>
      <c r="G644" s="679">
        <v>0</v>
      </c>
      <c r="H644" s="678">
        <v>4025.22</v>
      </c>
      <c r="I644" s="677" t="s">
        <v>1389</v>
      </c>
    </row>
    <row r="645" spans="1:9" ht="17.100000000000001" customHeight="1">
      <c r="A645" s="677">
        <v>221108</v>
      </c>
      <c r="B645" s="677" t="s">
        <v>1390</v>
      </c>
      <c r="C645" s="679">
        <v>0</v>
      </c>
      <c r="D645" s="678">
        <v>830924.74</v>
      </c>
      <c r="E645" s="678">
        <v>662197.02</v>
      </c>
      <c r="F645" s="678">
        <v>219004.53</v>
      </c>
      <c r="G645" s="679">
        <v>0</v>
      </c>
      <c r="H645" s="678">
        <v>387732.25</v>
      </c>
      <c r="I645" s="677" t="s">
        <v>1391</v>
      </c>
    </row>
    <row r="646" spans="1:9" ht="17.100000000000001" customHeight="1">
      <c r="A646" s="677">
        <v>22110801</v>
      </c>
      <c r="B646" s="677" t="s">
        <v>1390</v>
      </c>
      <c r="C646" s="679">
        <v>0</v>
      </c>
      <c r="D646" s="678">
        <v>830924.74</v>
      </c>
      <c r="E646" s="678">
        <v>662197.02</v>
      </c>
      <c r="F646" s="678">
        <v>219004.53</v>
      </c>
      <c r="G646" s="679">
        <v>0</v>
      </c>
      <c r="H646" s="678">
        <v>387732.25</v>
      </c>
      <c r="I646" s="677" t="s">
        <v>1392</v>
      </c>
    </row>
    <row r="647" spans="1:9" ht="17.100000000000001" customHeight="1">
      <c r="A647" s="677">
        <v>221111</v>
      </c>
      <c r="B647" s="677" t="s">
        <v>1393</v>
      </c>
      <c r="C647" s="679">
        <v>0</v>
      </c>
      <c r="D647" s="678">
        <v>508982166.47000003</v>
      </c>
      <c r="E647" s="678">
        <v>3624595.23</v>
      </c>
      <c r="F647" s="678">
        <v>30000000</v>
      </c>
      <c r="G647" s="679">
        <v>0</v>
      </c>
      <c r="H647" s="678">
        <v>535357571.24000001</v>
      </c>
      <c r="I647" s="677" t="s">
        <v>1394</v>
      </c>
    </row>
    <row r="648" spans="1:9" ht="17.100000000000001" customHeight="1">
      <c r="A648" s="677">
        <v>22111101</v>
      </c>
      <c r="B648" s="677" t="s">
        <v>1393</v>
      </c>
      <c r="C648" s="679">
        <v>0</v>
      </c>
      <c r="D648" s="678">
        <v>508982166.47000003</v>
      </c>
      <c r="E648" s="678">
        <v>3624595.23</v>
      </c>
      <c r="F648" s="678">
        <v>30000000</v>
      </c>
      <c r="G648" s="679">
        <v>0</v>
      </c>
      <c r="H648" s="678">
        <v>535357571.24000001</v>
      </c>
      <c r="I648" s="677" t="s">
        <v>1395</v>
      </c>
    </row>
    <row r="649" spans="1:9" ht="17.100000000000001" customHeight="1">
      <c r="A649" s="677">
        <v>221199</v>
      </c>
      <c r="B649" s="677" t="s">
        <v>1396</v>
      </c>
      <c r="C649" s="679">
        <v>0</v>
      </c>
      <c r="D649" s="678">
        <v>-22858423.210000001</v>
      </c>
      <c r="E649" s="678">
        <v>-1324057.18</v>
      </c>
      <c r="F649" s="678">
        <v>-1258053.3600000001</v>
      </c>
      <c r="G649" s="679">
        <v>0</v>
      </c>
      <c r="H649" s="678">
        <v>-22792419.390000001</v>
      </c>
      <c r="I649" s="677" t="s">
        <v>1397</v>
      </c>
    </row>
    <row r="650" spans="1:9" ht="17.100000000000001" customHeight="1">
      <c r="A650" s="677">
        <v>22119999</v>
      </c>
      <c r="B650" s="677" t="s">
        <v>1396</v>
      </c>
      <c r="C650" s="679">
        <v>0</v>
      </c>
      <c r="D650" s="678">
        <v>-22858423.210000001</v>
      </c>
      <c r="E650" s="678">
        <v>-1324057.18</v>
      </c>
      <c r="F650" s="678">
        <v>-1258053.3600000001</v>
      </c>
      <c r="G650" s="679">
        <v>0</v>
      </c>
      <c r="H650" s="678">
        <v>-22792419.390000001</v>
      </c>
      <c r="I650" s="677" t="s">
        <v>1398</v>
      </c>
    </row>
    <row r="651" spans="1:9" ht="17.100000000000001" customHeight="1">
      <c r="A651" s="677">
        <v>2221</v>
      </c>
      <c r="B651" s="677" t="s">
        <v>1399</v>
      </c>
      <c r="C651" s="679">
        <v>0</v>
      </c>
      <c r="D651" s="678">
        <v>612146969.85000002</v>
      </c>
      <c r="E651" s="678">
        <v>557227941.48000002</v>
      </c>
      <c r="F651" s="678">
        <v>98793632.390000001</v>
      </c>
      <c r="G651" s="679">
        <v>0</v>
      </c>
      <c r="H651" s="678">
        <v>153712660.75999999</v>
      </c>
      <c r="I651" s="677" t="s">
        <v>1400</v>
      </c>
    </row>
    <row r="652" spans="1:9" ht="17.100000000000001" customHeight="1">
      <c r="A652" s="677">
        <v>222101</v>
      </c>
      <c r="B652" s="677" t="s">
        <v>1401</v>
      </c>
      <c r="C652" s="679">
        <v>0</v>
      </c>
      <c r="D652" s="678">
        <v>-21559223.57</v>
      </c>
      <c r="E652" s="678">
        <v>2146.2399999999998</v>
      </c>
      <c r="F652" s="678">
        <v>342612.96</v>
      </c>
      <c r="G652" s="679">
        <v>0</v>
      </c>
      <c r="H652" s="678">
        <v>-21218756.850000001</v>
      </c>
      <c r="I652" s="677" t="s">
        <v>1402</v>
      </c>
    </row>
    <row r="653" spans="1:9" ht="17.100000000000001" customHeight="1">
      <c r="A653" s="677">
        <v>22210101</v>
      </c>
      <c r="B653" s="677" t="s">
        <v>3988</v>
      </c>
      <c r="C653" s="679">
        <v>0</v>
      </c>
      <c r="D653" s="678">
        <v>-25972907.969999999</v>
      </c>
      <c r="E653" s="679">
        <v>0</v>
      </c>
      <c r="F653" s="678">
        <v>304690.40999999997</v>
      </c>
      <c r="G653" s="679">
        <v>0</v>
      </c>
      <c r="H653" s="678">
        <v>-25668217.559999999</v>
      </c>
      <c r="I653" s="677" t="s">
        <v>3989</v>
      </c>
    </row>
    <row r="654" spans="1:9" ht="17.100000000000001" customHeight="1">
      <c r="A654" s="677">
        <v>22210102</v>
      </c>
      <c r="B654" s="677" t="s">
        <v>1403</v>
      </c>
      <c r="C654" s="679">
        <v>0</v>
      </c>
      <c r="D654" s="678">
        <v>5912926.6900000004</v>
      </c>
      <c r="E654" s="679">
        <v>894.26</v>
      </c>
      <c r="F654" s="678">
        <v>15342.24</v>
      </c>
      <c r="G654" s="679">
        <v>0</v>
      </c>
      <c r="H654" s="678">
        <v>5927374.6699999999</v>
      </c>
      <c r="I654" s="677" t="s">
        <v>1404</v>
      </c>
    </row>
    <row r="655" spans="1:9" ht="17.100000000000001" customHeight="1">
      <c r="A655" s="677">
        <v>22210103</v>
      </c>
      <c r="B655" s="677" t="s">
        <v>1405</v>
      </c>
      <c r="C655" s="679">
        <v>0</v>
      </c>
      <c r="D655" s="678">
        <v>-1499242.29</v>
      </c>
      <c r="E655" s="678">
        <v>1251.98</v>
      </c>
      <c r="F655" s="678">
        <v>22580.31</v>
      </c>
      <c r="G655" s="679">
        <v>0</v>
      </c>
      <c r="H655" s="678">
        <v>-1477913.96</v>
      </c>
      <c r="I655" s="677" t="s">
        <v>1406</v>
      </c>
    </row>
    <row r="656" spans="1:9" ht="17.100000000000001" customHeight="1">
      <c r="A656" s="320"/>
      <c r="B656" s="320"/>
      <c r="C656" s="320"/>
      <c r="D656" s="557" t="s">
        <v>4317</v>
      </c>
      <c r="E656" s="320" t="s">
        <v>3742</v>
      </c>
      <c r="F656" s="320"/>
      <c r="G656" s="320"/>
      <c r="H656" s="320"/>
      <c r="I656" s="320"/>
    </row>
    <row r="657" spans="1:9" ht="28.5" customHeight="1">
      <c r="A657" s="671"/>
      <c r="B657" s="671"/>
      <c r="C657" s="671"/>
      <c r="D657" s="671"/>
      <c r="E657" s="671"/>
      <c r="F657" s="671"/>
      <c r="G657" s="671"/>
      <c r="H657" s="671"/>
      <c r="I657" s="671"/>
    </row>
    <row r="658" spans="1:9" ht="22.5">
      <c r="A658" s="320"/>
      <c r="B658" s="320"/>
      <c r="C658" s="672" t="s">
        <v>4316</v>
      </c>
      <c r="D658" s="320"/>
      <c r="E658" s="320"/>
      <c r="F658" s="671"/>
      <c r="G658" s="671"/>
      <c r="H658" s="671"/>
      <c r="I658" s="671"/>
    </row>
    <row r="659" spans="1:9" ht="14.25">
      <c r="A659" s="673" t="s">
        <v>3708</v>
      </c>
      <c r="B659" s="673"/>
      <c r="C659" s="683">
        <v>42551</v>
      </c>
      <c r="D659" s="673"/>
      <c r="E659" s="557" t="s">
        <v>3709</v>
      </c>
      <c r="F659" s="671"/>
      <c r="G659" s="671"/>
      <c r="H659" s="671"/>
      <c r="I659" s="671"/>
    </row>
    <row r="660" spans="1:9">
      <c r="A660" s="676" t="s">
        <v>596</v>
      </c>
      <c r="B660" s="676" t="s">
        <v>597</v>
      </c>
      <c r="C660" s="676" t="s">
        <v>3710</v>
      </c>
      <c r="D660" s="676" t="s">
        <v>3711</v>
      </c>
      <c r="E660" s="676" t="s">
        <v>3712</v>
      </c>
      <c r="F660" s="676" t="s">
        <v>3713</v>
      </c>
      <c r="G660" s="676" t="s">
        <v>3714</v>
      </c>
      <c r="H660" s="676" t="s">
        <v>3715</v>
      </c>
      <c r="I660" s="676" t="s">
        <v>596</v>
      </c>
    </row>
    <row r="661" spans="1:9" ht="28.5" customHeight="1">
      <c r="A661" s="677">
        <v>222102</v>
      </c>
      <c r="B661" s="677" t="s">
        <v>1407</v>
      </c>
      <c r="C661" s="679">
        <v>0</v>
      </c>
      <c r="D661" s="678">
        <v>288247738.05000001</v>
      </c>
      <c r="E661" s="678">
        <v>449871471.29000002</v>
      </c>
      <c r="F661" s="678">
        <v>47967951.659999996</v>
      </c>
      <c r="G661" s="679">
        <v>0</v>
      </c>
      <c r="H661" s="678">
        <v>-113655781.58</v>
      </c>
      <c r="I661" s="677" t="s">
        <v>1408</v>
      </c>
    </row>
    <row r="662" spans="1:9" ht="17.100000000000001" customHeight="1">
      <c r="A662" s="677">
        <v>22210201</v>
      </c>
      <c r="B662" s="677" t="s">
        <v>1407</v>
      </c>
      <c r="C662" s="679">
        <v>0</v>
      </c>
      <c r="D662" s="678">
        <v>288247738.05000001</v>
      </c>
      <c r="E662" s="678">
        <v>449871471.29000002</v>
      </c>
      <c r="F662" s="678">
        <v>47967951.659999996</v>
      </c>
      <c r="G662" s="679">
        <v>0</v>
      </c>
      <c r="H662" s="678">
        <v>-113655781.58</v>
      </c>
      <c r="I662" s="677" t="s">
        <v>1409</v>
      </c>
    </row>
    <row r="663" spans="1:9" ht="17.100000000000001" customHeight="1">
      <c r="A663" s="677">
        <v>222103</v>
      </c>
      <c r="B663" s="677" t="s">
        <v>1410</v>
      </c>
      <c r="C663" s="679">
        <v>0</v>
      </c>
      <c r="D663" s="678">
        <v>110753.2</v>
      </c>
      <c r="E663" s="679">
        <v>0</v>
      </c>
      <c r="F663" s="679">
        <v>0</v>
      </c>
      <c r="G663" s="679">
        <v>0</v>
      </c>
      <c r="H663" s="678">
        <v>110753.2</v>
      </c>
      <c r="I663" s="677" t="s">
        <v>1411</v>
      </c>
    </row>
    <row r="664" spans="1:9" ht="17.100000000000001" customHeight="1">
      <c r="A664" s="677">
        <v>22210301</v>
      </c>
      <c r="B664" s="677" t="s">
        <v>1410</v>
      </c>
      <c r="C664" s="679">
        <v>0</v>
      </c>
      <c r="D664" s="678">
        <v>110753.2</v>
      </c>
      <c r="E664" s="679">
        <v>0</v>
      </c>
      <c r="F664" s="679">
        <v>0</v>
      </c>
      <c r="G664" s="679">
        <v>0</v>
      </c>
      <c r="H664" s="678">
        <v>110753.2</v>
      </c>
      <c r="I664" s="677" t="s">
        <v>1412</v>
      </c>
    </row>
    <row r="665" spans="1:9" ht="17.100000000000001" customHeight="1">
      <c r="A665" s="677">
        <v>222104</v>
      </c>
      <c r="B665" s="677" t="s">
        <v>1413</v>
      </c>
      <c r="C665" s="679">
        <v>0</v>
      </c>
      <c r="D665" s="678">
        <v>-461517.1</v>
      </c>
      <c r="E665" s="678">
        <v>295561.33</v>
      </c>
      <c r="F665" s="678">
        <v>739257.54</v>
      </c>
      <c r="G665" s="679">
        <v>0</v>
      </c>
      <c r="H665" s="678">
        <v>-17820.89</v>
      </c>
      <c r="I665" s="677" t="s">
        <v>1414</v>
      </c>
    </row>
    <row r="666" spans="1:9" ht="17.100000000000001" customHeight="1">
      <c r="A666" s="677">
        <v>22210401</v>
      </c>
      <c r="B666" s="677" t="s">
        <v>1413</v>
      </c>
      <c r="C666" s="679">
        <v>0</v>
      </c>
      <c r="D666" s="678">
        <v>-461517.1</v>
      </c>
      <c r="E666" s="678">
        <v>295561.33</v>
      </c>
      <c r="F666" s="678">
        <v>739257.54</v>
      </c>
      <c r="G666" s="679">
        <v>0</v>
      </c>
      <c r="H666" s="678">
        <v>-17820.89</v>
      </c>
      <c r="I666" s="677" t="s">
        <v>1415</v>
      </c>
    </row>
    <row r="667" spans="1:9" ht="17.100000000000001" customHeight="1">
      <c r="A667" s="677">
        <v>222106</v>
      </c>
      <c r="B667" s="677" t="s">
        <v>1416</v>
      </c>
      <c r="C667" s="679">
        <v>0</v>
      </c>
      <c r="D667" s="678">
        <v>33790.1</v>
      </c>
      <c r="E667" s="679">
        <v>0</v>
      </c>
      <c r="F667" s="679">
        <v>0</v>
      </c>
      <c r="G667" s="679">
        <v>0</v>
      </c>
      <c r="H667" s="678">
        <v>33790.1</v>
      </c>
      <c r="I667" s="677" t="s">
        <v>1417</v>
      </c>
    </row>
    <row r="668" spans="1:9" ht="17.100000000000001" customHeight="1">
      <c r="A668" s="677">
        <v>22210601</v>
      </c>
      <c r="B668" s="677" t="s">
        <v>1416</v>
      </c>
      <c r="C668" s="679">
        <v>0</v>
      </c>
      <c r="D668" s="678">
        <v>33790.1</v>
      </c>
      <c r="E668" s="679">
        <v>0</v>
      </c>
      <c r="F668" s="679">
        <v>0</v>
      </c>
      <c r="G668" s="679">
        <v>0</v>
      </c>
      <c r="H668" s="678">
        <v>33790.1</v>
      </c>
      <c r="I668" s="677" t="s">
        <v>1418</v>
      </c>
    </row>
    <row r="669" spans="1:9" ht="17.100000000000001" customHeight="1">
      <c r="A669" s="677">
        <v>222107</v>
      </c>
      <c r="B669" s="677" t="s">
        <v>1419</v>
      </c>
      <c r="C669" s="679">
        <v>0</v>
      </c>
      <c r="D669" s="678">
        <v>115455203.95</v>
      </c>
      <c r="E669" s="678">
        <v>106405673.91</v>
      </c>
      <c r="F669" s="678">
        <v>10155994.380000001</v>
      </c>
      <c r="G669" s="679">
        <v>0</v>
      </c>
      <c r="H669" s="678">
        <v>19205524.420000002</v>
      </c>
      <c r="I669" s="677" t="s">
        <v>1420</v>
      </c>
    </row>
    <row r="670" spans="1:9" ht="17.100000000000001" customHeight="1">
      <c r="A670" s="677">
        <v>22210701</v>
      </c>
      <c r="B670" s="677" t="s">
        <v>1421</v>
      </c>
      <c r="C670" s="679">
        <v>0</v>
      </c>
      <c r="D670" s="678">
        <v>115261771.16</v>
      </c>
      <c r="E670" s="678">
        <v>106405673.91</v>
      </c>
      <c r="F670" s="678">
        <v>10155994.380000001</v>
      </c>
      <c r="G670" s="679">
        <v>0</v>
      </c>
      <c r="H670" s="678">
        <v>19012091.629999999</v>
      </c>
      <c r="I670" s="677" t="s">
        <v>1422</v>
      </c>
    </row>
    <row r="671" spans="1:9" ht="17.100000000000001" customHeight="1">
      <c r="A671" s="677">
        <v>22210703</v>
      </c>
      <c r="B671" s="677" t="s">
        <v>1423</v>
      </c>
      <c r="C671" s="679">
        <v>0</v>
      </c>
      <c r="D671" s="678">
        <v>21504.959999999999</v>
      </c>
      <c r="E671" s="679">
        <v>0</v>
      </c>
      <c r="F671" s="679">
        <v>0</v>
      </c>
      <c r="G671" s="679">
        <v>0</v>
      </c>
      <c r="H671" s="678">
        <v>21504.959999999999</v>
      </c>
      <c r="I671" s="677" t="s">
        <v>1424</v>
      </c>
    </row>
    <row r="672" spans="1:9" ht="17.100000000000001" customHeight="1">
      <c r="A672" s="677">
        <v>22210799</v>
      </c>
      <c r="B672" s="677" t="s">
        <v>1425</v>
      </c>
      <c r="C672" s="679">
        <v>0</v>
      </c>
      <c r="D672" s="678">
        <v>171927.83</v>
      </c>
      <c r="E672" s="679">
        <v>0</v>
      </c>
      <c r="F672" s="679">
        <v>0</v>
      </c>
      <c r="G672" s="679">
        <v>0</v>
      </c>
      <c r="H672" s="678">
        <v>171927.83</v>
      </c>
      <c r="I672" s="677" t="s">
        <v>1426</v>
      </c>
    </row>
    <row r="673" spans="1:9" ht="17.100000000000001" customHeight="1">
      <c r="A673" s="677">
        <v>222108</v>
      </c>
      <c r="B673" s="677" t="s">
        <v>3454</v>
      </c>
      <c r="C673" s="679">
        <v>0</v>
      </c>
      <c r="D673" s="678">
        <v>224833762.90000001</v>
      </c>
      <c r="E673" s="678">
        <v>597685.56000000006</v>
      </c>
      <c r="F673" s="678">
        <v>39569860.659999996</v>
      </c>
      <c r="G673" s="679">
        <v>0</v>
      </c>
      <c r="H673" s="678">
        <v>263805938</v>
      </c>
      <c r="I673" s="677" t="s">
        <v>3455</v>
      </c>
    </row>
    <row r="674" spans="1:9" ht="17.100000000000001" customHeight="1">
      <c r="A674" s="677">
        <v>22210801</v>
      </c>
      <c r="B674" s="677" t="s">
        <v>4324</v>
      </c>
      <c r="C674" s="679">
        <v>0</v>
      </c>
      <c r="D674" s="678">
        <v>226975570.36000001</v>
      </c>
      <c r="E674" s="679">
        <v>406.42</v>
      </c>
      <c r="F674" s="678">
        <v>39569860.659999996</v>
      </c>
      <c r="G674" s="679">
        <v>0</v>
      </c>
      <c r="H674" s="678">
        <v>266545024.59999999</v>
      </c>
      <c r="I674" s="677" t="s">
        <v>3456</v>
      </c>
    </row>
    <row r="675" spans="1:9" ht="17.100000000000001" customHeight="1">
      <c r="A675" s="677">
        <v>22210802</v>
      </c>
      <c r="B675" s="677" t="s">
        <v>3457</v>
      </c>
      <c r="C675" s="679">
        <v>0</v>
      </c>
      <c r="D675" s="678">
        <v>-2141807.46</v>
      </c>
      <c r="E675" s="678">
        <v>597279.14</v>
      </c>
      <c r="F675" s="679">
        <v>0</v>
      </c>
      <c r="G675" s="679">
        <v>0</v>
      </c>
      <c r="H675" s="678">
        <v>-2739086.6</v>
      </c>
      <c r="I675" s="677" t="s">
        <v>3458</v>
      </c>
    </row>
    <row r="676" spans="1:9" ht="17.100000000000001" customHeight="1">
      <c r="A676" s="677">
        <v>222199</v>
      </c>
      <c r="B676" s="677" t="s">
        <v>1427</v>
      </c>
      <c r="C676" s="679">
        <v>0</v>
      </c>
      <c r="D676" s="678">
        <v>5486462.3200000003</v>
      </c>
      <c r="E676" s="678">
        <v>55403.15</v>
      </c>
      <c r="F676" s="678">
        <v>17955.189999999999</v>
      </c>
      <c r="G676" s="679">
        <v>0</v>
      </c>
      <c r="H676" s="678">
        <v>5449014.3600000003</v>
      </c>
      <c r="I676" s="677" t="s">
        <v>1428</v>
      </c>
    </row>
    <row r="677" spans="1:9" ht="17.100000000000001" customHeight="1">
      <c r="A677" s="677">
        <v>22219901</v>
      </c>
      <c r="B677" s="677" t="s">
        <v>1429</v>
      </c>
      <c r="C677" s="679">
        <v>0</v>
      </c>
      <c r="D677" s="678">
        <v>-66847.09</v>
      </c>
      <c r="E677" s="678">
        <v>37517.67</v>
      </c>
      <c r="F677" s="679">
        <v>0</v>
      </c>
      <c r="G677" s="679">
        <v>0</v>
      </c>
      <c r="H677" s="678">
        <v>-104364.76</v>
      </c>
      <c r="I677" s="677" t="s">
        <v>1430</v>
      </c>
    </row>
    <row r="678" spans="1:9" ht="17.100000000000001" customHeight="1">
      <c r="A678" s="677">
        <v>22219999</v>
      </c>
      <c r="B678" s="677" t="s">
        <v>1427</v>
      </c>
      <c r="C678" s="679">
        <v>0</v>
      </c>
      <c r="D678" s="678">
        <v>5553309.4100000001</v>
      </c>
      <c r="E678" s="678">
        <v>17885.48</v>
      </c>
      <c r="F678" s="678">
        <v>17955.189999999999</v>
      </c>
      <c r="G678" s="679">
        <v>0</v>
      </c>
      <c r="H678" s="678">
        <v>5553379.1200000001</v>
      </c>
      <c r="I678" s="677" t="s">
        <v>1431</v>
      </c>
    </row>
    <row r="679" spans="1:9" ht="17.100000000000001" customHeight="1">
      <c r="A679" s="677">
        <v>2231</v>
      </c>
      <c r="B679" s="677" t="s">
        <v>1432</v>
      </c>
      <c r="C679" s="679">
        <v>0</v>
      </c>
      <c r="D679" s="678">
        <v>6771832318.54</v>
      </c>
      <c r="E679" s="678">
        <v>223421509.49000001</v>
      </c>
      <c r="F679" s="678">
        <v>621358608.66999996</v>
      </c>
      <c r="G679" s="679">
        <v>0</v>
      </c>
      <c r="H679" s="678">
        <v>7169769417.7200003</v>
      </c>
      <c r="I679" s="677" t="s">
        <v>1433</v>
      </c>
    </row>
    <row r="680" spans="1:9" ht="17.100000000000001" customHeight="1">
      <c r="A680" s="677">
        <v>223103</v>
      </c>
      <c r="B680" s="677" t="s">
        <v>1434</v>
      </c>
      <c r="C680" s="679">
        <v>0</v>
      </c>
      <c r="D680" s="678">
        <v>330739740.44</v>
      </c>
      <c r="E680" s="679">
        <v>1.86</v>
      </c>
      <c r="F680" s="678">
        <v>118678832.86</v>
      </c>
      <c r="G680" s="679">
        <v>0</v>
      </c>
      <c r="H680" s="678">
        <v>449418571.44</v>
      </c>
      <c r="I680" s="677" t="s">
        <v>1435</v>
      </c>
    </row>
    <row r="681" spans="1:9" ht="17.100000000000001" customHeight="1">
      <c r="A681" s="677">
        <v>22310301</v>
      </c>
      <c r="B681" s="677" t="s">
        <v>3990</v>
      </c>
      <c r="C681" s="679">
        <v>0</v>
      </c>
      <c r="D681" s="679">
        <v>0</v>
      </c>
      <c r="E681" s="679">
        <v>0</v>
      </c>
      <c r="F681" s="679">
        <v>0.7</v>
      </c>
      <c r="G681" s="679">
        <v>0</v>
      </c>
      <c r="H681" s="679">
        <v>0.7</v>
      </c>
      <c r="I681" s="677" t="s">
        <v>3991</v>
      </c>
    </row>
    <row r="682" spans="1:9" ht="17.100000000000001" customHeight="1">
      <c r="A682" s="677">
        <v>22310303</v>
      </c>
      <c r="B682" s="677" t="s">
        <v>2601</v>
      </c>
      <c r="C682" s="679">
        <v>0</v>
      </c>
      <c r="D682" s="678">
        <v>-154899.62</v>
      </c>
      <c r="E682" s="679">
        <v>0</v>
      </c>
      <c r="F682" s="678">
        <v>236210.92</v>
      </c>
      <c r="G682" s="679">
        <v>0</v>
      </c>
      <c r="H682" s="678">
        <v>81311.3</v>
      </c>
      <c r="I682" s="677" t="s">
        <v>2602</v>
      </c>
    </row>
    <row r="683" spans="1:9" ht="17.100000000000001" customHeight="1">
      <c r="A683" s="677">
        <v>22310304</v>
      </c>
      <c r="B683" s="677" t="s">
        <v>1436</v>
      </c>
      <c r="C683" s="679">
        <v>0</v>
      </c>
      <c r="D683" s="678">
        <v>275101799.86000001</v>
      </c>
      <c r="E683" s="679">
        <v>0</v>
      </c>
      <c r="F683" s="678">
        <v>56522271.289999999</v>
      </c>
      <c r="G683" s="679">
        <v>0</v>
      </c>
      <c r="H683" s="678">
        <v>331624071.14999998</v>
      </c>
      <c r="I683" s="677" t="s">
        <v>1437</v>
      </c>
    </row>
    <row r="684" spans="1:9" ht="17.100000000000001" customHeight="1">
      <c r="A684" s="677">
        <v>22310309</v>
      </c>
      <c r="B684" s="677" t="s">
        <v>1438</v>
      </c>
      <c r="C684" s="679">
        <v>0</v>
      </c>
      <c r="D684" s="678">
        <v>-248732.94</v>
      </c>
      <c r="E684" s="679">
        <v>0</v>
      </c>
      <c r="F684" s="678">
        <v>395809.32</v>
      </c>
      <c r="G684" s="679">
        <v>0</v>
      </c>
      <c r="H684" s="678">
        <v>147076.38</v>
      </c>
      <c r="I684" s="677" t="s">
        <v>1439</v>
      </c>
    </row>
    <row r="685" spans="1:9" ht="17.100000000000001" customHeight="1">
      <c r="A685" s="677">
        <v>22310310</v>
      </c>
      <c r="B685" s="677" t="s">
        <v>1440</v>
      </c>
      <c r="C685" s="679">
        <v>0</v>
      </c>
      <c r="D685" s="678">
        <v>12756981.98</v>
      </c>
      <c r="E685" s="679">
        <v>0</v>
      </c>
      <c r="F685" s="678">
        <v>1851544.42</v>
      </c>
      <c r="G685" s="679">
        <v>0</v>
      </c>
      <c r="H685" s="678">
        <v>14608526.4</v>
      </c>
      <c r="I685" s="677" t="s">
        <v>1441</v>
      </c>
    </row>
    <row r="686" spans="1:9" ht="17.100000000000001" customHeight="1">
      <c r="A686" s="677">
        <v>22310313</v>
      </c>
      <c r="B686" s="677" t="s">
        <v>2814</v>
      </c>
      <c r="C686" s="679">
        <v>0</v>
      </c>
      <c r="D686" s="678">
        <v>-2117401.4700000002</v>
      </c>
      <c r="E686" s="679">
        <v>1.86</v>
      </c>
      <c r="F686" s="678">
        <v>3050333.3</v>
      </c>
      <c r="G686" s="679">
        <v>0</v>
      </c>
      <c r="H686" s="678">
        <v>932929.97</v>
      </c>
      <c r="I686" s="677" t="s">
        <v>1442</v>
      </c>
    </row>
    <row r="687" spans="1:9" ht="17.100000000000001" customHeight="1">
      <c r="A687" s="677">
        <v>22310314</v>
      </c>
      <c r="B687" s="677" t="s">
        <v>3992</v>
      </c>
      <c r="C687" s="679">
        <v>0</v>
      </c>
      <c r="D687" s="678">
        <v>15251388.890000001</v>
      </c>
      <c r="E687" s="679">
        <v>0</v>
      </c>
      <c r="F687" s="678">
        <v>1645833.33</v>
      </c>
      <c r="G687" s="679">
        <v>0</v>
      </c>
      <c r="H687" s="678">
        <v>16897222.219999999</v>
      </c>
      <c r="I687" s="677" t="s">
        <v>3993</v>
      </c>
    </row>
    <row r="688" spans="1:9" ht="17.100000000000001" customHeight="1">
      <c r="A688" s="677">
        <v>22310326</v>
      </c>
      <c r="B688" s="677" t="s">
        <v>3994</v>
      </c>
      <c r="C688" s="679">
        <v>0</v>
      </c>
      <c r="D688" s="678">
        <v>1964666.67</v>
      </c>
      <c r="E688" s="679">
        <v>0</v>
      </c>
      <c r="F688" s="678">
        <v>3389777.77</v>
      </c>
      <c r="G688" s="679">
        <v>0</v>
      </c>
      <c r="H688" s="678">
        <v>5354444.4400000004</v>
      </c>
      <c r="I688" s="677" t="s">
        <v>3995</v>
      </c>
    </row>
    <row r="689" spans="1:9" ht="17.100000000000001" customHeight="1">
      <c r="A689" s="677">
        <v>22310369</v>
      </c>
      <c r="B689" s="677" t="s">
        <v>2603</v>
      </c>
      <c r="C689" s="679">
        <v>0</v>
      </c>
      <c r="D689" s="679">
        <v>-8.0299999999999994</v>
      </c>
      <c r="E689" s="679">
        <v>0</v>
      </c>
      <c r="F689" s="679">
        <v>12.05</v>
      </c>
      <c r="G689" s="679">
        <v>0</v>
      </c>
      <c r="H689" s="679">
        <v>4.0199999999999996</v>
      </c>
      <c r="I689" s="677" t="s">
        <v>2604</v>
      </c>
    </row>
    <row r="690" spans="1:9" ht="17.100000000000001" customHeight="1">
      <c r="A690" s="677">
        <v>22310370</v>
      </c>
      <c r="B690" s="677" t="s">
        <v>3996</v>
      </c>
      <c r="C690" s="679">
        <v>0</v>
      </c>
      <c r="D690" s="678">
        <v>357000</v>
      </c>
      <c r="E690" s="679">
        <v>0</v>
      </c>
      <c r="F690" s="678">
        <v>397222.22</v>
      </c>
      <c r="G690" s="679">
        <v>0</v>
      </c>
      <c r="H690" s="678">
        <v>754222.22</v>
      </c>
      <c r="I690" s="677" t="s">
        <v>3997</v>
      </c>
    </row>
    <row r="691" spans="1:9" ht="17.100000000000001" customHeight="1">
      <c r="A691" s="677">
        <v>22310378</v>
      </c>
      <c r="B691" s="677" t="s">
        <v>2815</v>
      </c>
      <c r="C691" s="679">
        <v>0</v>
      </c>
      <c r="D691" s="678">
        <v>794164.39</v>
      </c>
      <c r="E691" s="679">
        <v>0</v>
      </c>
      <c r="F691" s="678">
        <v>23589.040000000001</v>
      </c>
      <c r="G691" s="679">
        <v>0</v>
      </c>
      <c r="H691" s="678">
        <v>817753.43</v>
      </c>
      <c r="I691" s="677" t="s">
        <v>2816</v>
      </c>
    </row>
    <row r="692" spans="1:9" ht="17.100000000000001" customHeight="1">
      <c r="A692" s="677">
        <v>22310379</v>
      </c>
      <c r="B692" s="677" t="s">
        <v>3372</v>
      </c>
      <c r="C692" s="679">
        <v>0</v>
      </c>
      <c r="D692" s="678">
        <v>-21997.040000000001</v>
      </c>
      <c r="E692" s="679">
        <v>0</v>
      </c>
      <c r="F692" s="678">
        <v>36895.120000000003</v>
      </c>
      <c r="G692" s="679">
        <v>0</v>
      </c>
      <c r="H692" s="678">
        <v>14898.08</v>
      </c>
      <c r="I692" s="677" t="s">
        <v>3373</v>
      </c>
    </row>
    <row r="693" spans="1:9" ht="17.100000000000001" customHeight="1">
      <c r="A693" s="677">
        <v>22310393</v>
      </c>
      <c r="B693" s="677" t="s">
        <v>2817</v>
      </c>
      <c r="C693" s="679">
        <v>0</v>
      </c>
      <c r="D693" s="679">
        <v>-0.04</v>
      </c>
      <c r="E693" s="679">
        <v>0</v>
      </c>
      <c r="F693" s="679">
        <v>0.06</v>
      </c>
      <c r="G693" s="679">
        <v>0</v>
      </c>
      <c r="H693" s="679">
        <v>0.02</v>
      </c>
      <c r="I693" s="677" t="s">
        <v>2818</v>
      </c>
    </row>
    <row r="694" spans="1:9" ht="17.100000000000001" customHeight="1">
      <c r="A694" s="677">
        <v>22310394</v>
      </c>
      <c r="B694" s="677" t="s">
        <v>2819</v>
      </c>
      <c r="C694" s="679">
        <v>0</v>
      </c>
      <c r="D694" s="678">
        <v>27056777.789999999</v>
      </c>
      <c r="E694" s="679">
        <v>0</v>
      </c>
      <c r="F694" s="678">
        <v>51129333.32</v>
      </c>
      <c r="G694" s="679">
        <v>0</v>
      </c>
      <c r="H694" s="678">
        <v>78186111.109999999</v>
      </c>
      <c r="I694" s="677" t="s">
        <v>2820</v>
      </c>
    </row>
    <row r="695" spans="1:9" ht="17.100000000000001" customHeight="1">
      <c r="A695" s="320"/>
      <c r="B695" s="320"/>
      <c r="C695" s="320"/>
      <c r="D695" s="557" t="s">
        <v>4317</v>
      </c>
      <c r="E695" s="320" t="s">
        <v>3746</v>
      </c>
      <c r="F695" s="320"/>
      <c r="G695" s="320"/>
      <c r="H695" s="320"/>
      <c r="I695" s="320"/>
    </row>
    <row r="696" spans="1:9" ht="28.5" customHeight="1">
      <c r="A696" s="671"/>
      <c r="B696" s="671"/>
      <c r="C696" s="671"/>
      <c r="D696" s="671"/>
      <c r="E696" s="671"/>
      <c r="F696" s="671"/>
      <c r="G696" s="671"/>
      <c r="H696" s="671"/>
      <c r="I696" s="671"/>
    </row>
    <row r="697" spans="1:9" ht="22.5">
      <c r="A697" s="320"/>
      <c r="B697" s="320"/>
      <c r="C697" s="672" t="s">
        <v>4316</v>
      </c>
      <c r="D697" s="320"/>
      <c r="E697" s="320"/>
      <c r="F697" s="671"/>
      <c r="G697" s="671"/>
      <c r="H697" s="671"/>
      <c r="I697" s="671"/>
    </row>
    <row r="698" spans="1:9" ht="14.25">
      <c r="A698" s="673" t="s">
        <v>3708</v>
      </c>
      <c r="B698" s="673"/>
      <c r="C698" s="683">
        <v>42551</v>
      </c>
      <c r="D698" s="673"/>
      <c r="E698" s="557" t="s">
        <v>3709</v>
      </c>
      <c r="F698" s="671"/>
      <c r="G698" s="671"/>
      <c r="H698" s="671"/>
      <c r="I698" s="671"/>
    </row>
    <row r="699" spans="1:9">
      <c r="A699" s="676" t="s">
        <v>596</v>
      </c>
      <c r="B699" s="676" t="s">
        <v>597</v>
      </c>
      <c r="C699" s="676" t="s">
        <v>3710</v>
      </c>
      <c r="D699" s="676" t="s">
        <v>3711</v>
      </c>
      <c r="E699" s="676" t="s">
        <v>3712</v>
      </c>
      <c r="F699" s="676" t="s">
        <v>3713</v>
      </c>
      <c r="G699" s="676" t="s">
        <v>3714</v>
      </c>
      <c r="H699" s="676" t="s">
        <v>3715</v>
      </c>
      <c r="I699" s="676" t="s">
        <v>596</v>
      </c>
    </row>
    <row r="700" spans="1:9" ht="28.5" customHeight="1">
      <c r="A700" s="677">
        <v>223105</v>
      </c>
      <c r="B700" s="677" t="s">
        <v>1443</v>
      </c>
      <c r="C700" s="679">
        <v>0</v>
      </c>
      <c r="D700" s="678">
        <v>1925138.88</v>
      </c>
      <c r="E700" s="678">
        <v>399861.1</v>
      </c>
      <c r="F700" s="678">
        <v>89722.22</v>
      </c>
      <c r="G700" s="679">
        <v>0</v>
      </c>
      <c r="H700" s="678">
        <v>1615000</v>
      </c>
      <c r="I700" s="677" t="s">
        <v>1444</v>
      </c>
    </row>
    <row r="701" spans="1:9" ht="17.100000000000001" customHeight="1">
      <c r="A701" s="677">
        <v>22310501</v>
      </c>
      <c r="B701" s="677" t="s">
        <v>3998</v>
      </c>
      <c r="C701" s="679">
        <v>0</v>
      </c>
      <c r="D701" s="678">
        <v>1582500</v>
      </c>
      <c r="E701" s="678">
        <v>57222.22</v>
      </c>
      <c r="F701" s="678">
        <v>89722.22</v>
      </c>
      <c r="G701" s="679">
        <v>0</v>
      </c>
      <c r="H701" s="678">
        <v>1615000</v>
      </c>
      <c r="I701" s="677" t="s">
        <v>3999</v>
      </c>
    </row>
    <row r="702" spans="1:9" ht="17.100000000000001" customHeight="1">
      <c r="A702" s="677">
        <v>22310502</v>
      </c>
      <c r="B702" s="677" t="s">
        <v>2541</v>
      </c>
      <c r="C702" s="679">
        <v>0</v>
      </c>
      <c r="D702" s="678">
        <v>342638.88</v>
      </c>
      <c r="E702" s="678">
        <v>342638.88</v>
      </c>
      <c r="F702" s="679">
        <v>0</v>
      </c>
      <c r="G702" s="679">
        <v>0</v>
      </c>
      <c r="H702" s="679">
        <v>0</v>
      </c>
      <c r="I702" s="677" t="s">
        <v>2546</v>
      </c>
    </row>
    <row r="703" spans="1:9" ht="17.100000000000001" customHeight="1">
      <c r="A703" s="677">
        <v>223106</v>
      </c>
      <c r="B703" s="677" t="s">
        <v>1445</v>
      </c>
      <c r="C703" s="679">
        <v>0</v>
      </c>
      <c r="D703" s="678">
        <v>7054441.1399999997</v>
      </c>
      <c r="E703" s="678">
        <v>888168.82</v>
      </c>
      <c r="F703" s="679">
        <v>0</v>
      </c>
      <c r="G703" s="679">
        <v>0</v>
      </c>
      <c r="H703" s="678">
        <v>6166272.3200000003</v>
      </c>
      <c r="I703" s="677" t="s">
        <v>1446</v>
      </c>
    </row>
    <row r="704" spans="1:9" ht="17.100000000000001" customHeight="1">
      <c r="A704" s="677">
        <v>22310601</v>
      </c>
      <c r="B704" s="677" t="s">
        <v>1447</v>
      </c>
      <c r="C704" s="679">
        <v>0</v>
      </c>
      <c r="D704" s="678">
        <v>7054441.1399999997</v>
      </c>
      <c r="E704" s="678">
        <v>888168.82</v>
      </c>
      <c r="F704" s="679">
        <v>0</v>
      </c>
      <c r="G704" s="679">
        <v>0</v>
      </c>
      <c r="H704" s="678">
        <v>6166272.3200000003</v>
      </c>
      <c r="I704" s="677" t="s">
        <v>1448</v>
      </c>
    </row>
    <row r="705" spans="1:9" ht="17.100000000000001" customHeight="1">
      <c r="A705" s="677">
        <v>223107</v>
      </c>
      <c r="B705" s="677" t="s">
        <v>1449</v>
      </c>
      <c r="C705" s="679">
        <v>0</v>
      </c>
      <c r="D705" s="679">
        <v>121.57</v>
      </c>
      <c r="E705" s="678">
        <v>672863.95</v>
      </c>
      <c r="F705" s="678">
        <v>8973092</v>
      </c>
      <c r="G705" s="679">
        <v>0</v>
      </c>
      <c r="H705" s="678">
        <v>8300349.6200000001</v>
      </c>
      <c r="I705" s="677" t="s">
        <v>1450</v>
      </c>
    </row>
    <row r="706" spans="1:9" ht="17.100000000000001" customHeight="1">
      <c r="A706" s="677">
        <v>22310701</v>
      </c>
      <c r="B706" s="677" t="s">
        <v>1449</v>
      </c>
      <c r="C706" s="679">
        <v>0</v>
      </c>
      <c r="D706" s="679">
        <v>121.57</v>
      </c>
      <c r="E706" s="678">
        <v>672863.95</v>
      </c>
      <c r="F706" s="678">
        <v>8973092</v>
      </c>
      <c r="G706" s="679">
        <v>0</v>
      </c>
      <c r="H706" s="678">
        <v>8300349.6200000001</v>
      </c>
      <c r="I706" s="677" t="s">
        <v>1451</v>
      </c>
    </row>
    <row r="707" spans="1:9" ht="17.100000000000001" customHeight="1">
      <c r="A707" s="677">
        <v>223108</v>
      </c>
      <c r="B707" s="677" t="s">
        <v>1452</v>
      </c>
      <c r="C707" s="679">
        <v>0</v>
      </c>
      <c r="D707" s="678">
        <v>6401.38</v>
      </c>
      <c r="E707" s="679">
        <v>635.30999999999995</v>
      </c>
      <c r="F707" s="678">
        <v>6203645.4800000004</v>
      </c>
      <c r="G707" s="679">
        <v>0</v>
      </c>
      <c r="H707" s="678">
        <v>6209411.5499999998</v>
      </c>
      <c r="I707" s="677" t="s">
        <v>1453</v>
      </c>
    </row>
    <row r="708" spans="1:9" ht="17.100000000000001" customHeight="1">
      <c r="A708" s="677">
        <v>22310801</v>
      </c>
      <c r="B708" s="677" t="s">
        <v>1454</v>
      </c>
      <c r="C708" s="679">
        <v>0</v>
      </c>
      <c r="D708" s="678">
        <v>6401.38</v>
      </c>
      <c r="E708" s="679">
        <v>16.57</v>
      </c>
      <c r="F708" s="678">
        <v>67051.8</v>
      </c>
      <c r="G708" s="679">
        <v>0</v>
      </c>
      <c r="H708" s="678">
        <v>73436.61</v>
      </c>
      <c r="I708" s="677" t="s">
        <v>1455</v>
      </c>
    </row>
    <row r="709" spans="1:9" ht="17.100000000000001" customHeight="1">
      <c r="A709" s="677">
        <v>22310802</v>
      </c>
      <c r="B709" s="677" t="s">
        <v>1456</v>
      </c>
      <c r="C709" s="679">
        <v>0</v>
      </c>
      <c r="D709" s="679">
        <v>0</v>
      </c>
      <c r="E709" s="679">
        <v>618.74</v>
      </c>
      <c r="F709" s="678">
        <v>6136593.6799999997</v>
      </c>
      <c r="G709" s="679">
        <v>0</v>
      </c>
      <c r="H709" s="678">
        <v>6135974.9400000004</v>
      </c>
      <c r="I709" s="677" t="s">
        <v>1457</v>
      </c>
    </row>
    <row r="710" spans="1:9" ht="17.100000000000001" customHeight="1">
      <c r="A710" s="677">
        <v>223109</v>
      </c>
      <c r="B710" s="677" t="s">
        <v>1458</v>
      </c>
      <c r="C710" s="679">
        <v>0</v>
      </c>
      <c r="D710" s="678">
        <v>2675766288.5</v>
      </c>
      <c r="E710" s="678">
        <v>1657251.4</v>
      </c>
      <c r="F710" s="678">
        <v>203688305.63</v>
      </c>
      <c r="G710" s="679">
        <v>0</v>
      </c>
      <c r="H710" s="678">
        <v>2877797342.73</v>
      </c>
      <c r="I710" s="677" t="s">
        <v>1459</v>
      </c>
    </row>
    <row r="711" spans="1:9" ht="17.100000000000001" customHeight="1">
      <c r="A711" s="677">
        <v>22310902</v>
      </c>
      <c r="B711" s="677" t="s">
        <v>1460</v>
      </c>
      <c r="C711" s="679">
        <v>0</v>
      </c>
      <c r="D711" s="678">
        <v>1499635.33</v>
      </c>
      <c r="E711" s="678">
        <v>43926.96</v>
      </c>
      <c r="F711" s="678">
        <v>1744891.83</v>
      </c>
      <c r="G711" s="679">
        <v>0</v>
      </c>
      <c r="H711" s="678">
        <v>3200600.2</v>
      </c>
      <c r="I711" s="677" t="s">
        <v>1461</v>
      </c>
    </row>
    <row r="712" spans="1:9" ht="17.100000000000001" customHeight="1">
      <c r="A712" s="677">
        <v>22310903</v>
      </c>
      <c r="B712" s="677" t="s">
        <v>1462</v>
      </c>
      <c r="C712" s="679">
        <v>0</v>
      </c>
      <c r="D712" s="678">
        <v>9102490.6899999995</v>
      </c>
      <c r="E712" s="678">
        <v>10400</v>
      </c>
      <c r="F712" s="678">
        <v>3985660.05</v>
      </c>
      <c r="G712" s="679">
        <v>0</v>
      </c>
      <c r="H712" s="678">
        <v>13077750.74</v>
      </c>
      <c r="I712" s="677" t="s">
        <v>1463</v>
      </c>
    </row>
    <row r="713" spans="1:9" ht="17.100000000000001" customHeight="1">
      <c r="A713" s="677">
        <v>22310905</v>
      </c>
      <c r="B713" s="677" t="s">
        <v>1464</v>
      </c>
      <c r="C713" s="679">
        <v>0</v>
      </c>
      <c r="D713" s="678">
        <v>220478949.22</v>
      </c>
      <c r="E713" s="678">
        <v>1268420.8</v>
      </c>
      <c r="F713" s="678">
        <v>37932088.710000001</v>
      </c>
      <c r="G713" s="679">
        <v>0</v>
      </c>
      <c r="H713" s="678">
        <v>257142617.13</v>
      </c>
      <c r="I713" s="677" t="s">
        <v>1465</v>
      </c>
    </row>
    <row r="714" spans="1:9" ht="17.100000000000001" customHeight="1">
      <c r="A714" s="677">
        <v>22310906</v>
      </c>
      <c r="B714" s="677" t="s">
        <v>1466</v>
      </c>
      <c r="C714" s="679">
        <v>0</v>
      </c>
      <c r="D714" s="678">
        <v>135162220.63</v>
      </c>
      <c r="E714" s="679">
        <v>0</v>
      </c>
      <c r="F714" s="678">
        <v>9867667.0800000001</v>
      </c>
      <c r="G714" s="679">
        <v>0</v>
      </c>
      <c r="H714" s="678">
        <v>145029887.71000001</v>
      </c>
      <c r="I714" s="677" t="s">
        <v>1467</v>
      </c>
    </row>
    <row r="715" spans="1:9" ht="17.100000000000001" customHeight="1">
      <c r="A715" s="677">
        <v>22310907</v>
      </c>
      <c r="B715" s="677" t="s">
        <v>1468</v>
      </c>
      <c r="C715" s="679">
        <v>0</v>
      </c>
      <c r="D715" s="678">
        <v>813307802.88999999</v>
      </c>
      <c r="E715" s="678">
        <v>236450.96</v>
      </c>
      <c r="F715" s="678">
        <v>42167812.509999998</v>
      </c>
      <c r="G715" s="679">
        <v>0</v>
      </c>
      <c r="H715" s="678">
        <v>855239164.44000006</v>
      </c>
      <c r="I715" s="677" t="s">
        <v>1469</v>
      </c>
    </row>
    <row r="716" spans="1:9" ht="17.100000000000001" customHeight="1">
      <c r="A716" s="677">
        <v>22310908</v>
      </c>
      <c r="B716" s="677" t="s">
        <v>1470</v>
      </c>
      <c r="C716" s="679">
        <v>0</v>
      </c>
      <c r="D716" s="678">
        <v>1441821907.53</v>
      </c>
      <c r="E716" s="678">
        <v>18523.810000000001</v>
      </c>
      <c r="F716" s="678">
        <v>66669061.299999997</v>
      </c>
      <c r="G716" s="679">
        <v>0</v>
      </c>
      <c r="H716" s="678">
        <v>1508472445.02</v>
      </c>
      <c r="I716" s="677" t="s">
        <v>1471</v>
      </c>
    </row>
    <row r="717" spans="1:9" ht="17.100000000000001" customHeight="1">
      <c r="A717" s="677">
        <v>22310909</v>
      </c>
      <c r="B717" s="677" t="s">
        <v>1472</v>
      </c>
      <c r="C717" s="679">
        <v>0</v>
      </c>
      <c r="D717" s="678">
        <v>51304169.729999997</v>
      </c>
      <c r="E717" s="679">
        <v>0</v>
      </c>
      <c r="F717" s="678">
        <v>39074995.43</v>
      </c>
      <c r="G717" s="679">
        <v>0</v>
      </c>
      <c r="H717" s="678">
        <v>90379165.159999996</v>
      </c>
      <c r="I717" s="677" t="s">
        <v>1473</v>
      </c>
    </row>
    <row r="718" spans="1:9" ht="17.100000000000001" customHeight="1">
      <c r="A718" s="677">
        <v>22310910</v>
      </c>
      <c r="B718" s="677" t="s">
        <v>1474</v>
      </c>
      <c r="C718" s="679">
        <v>0</v>
      </c>
      <c r="D718" s="678">
        <v>653063.23</v>
      </c>
      <c r="E718" s="678">
        <v>79528.87</v>
      </c>
      <c r="F718" s="678">
        <v>823255.11</v>
      </c>
      <c r="G718" s="679">
        <v>0</v>
      </c>
      <c r="H718" s="678">
        <v>1396789.47</v>
      </c>
      <c r="I718" s="677" t="s">
        <v>1475</v>
      </c>
    </row>
    <row r="719" spans="1:9" ht="17.100000000000001" customHeight="1">
      <c r="A719" s="677">
        <v>22310911</v>
      </c>
      <c r="B719" s="677" t="s">
        <v>2681</v>
      </c>
      <c r="C719" s="679">
        <v>0</v>
      </c>
      <c r="D719" s="678">
        <v>2436049.25</v>
      </c>
      <c r="E719" s="679">
        <v>0</v>
      </c>
      <c r="F719" s="678">
        <v>1422873.61</v>
      </c>
      <c r="G719" s="679">
        <v>0</v>
      </c>
      <c r="H719" s="678">
        <v>3858922.86</v>
      </c>
      <c r="I719" s="677" t="s">
        <v>2682</v>
      </c>
    </row>
    <row r="720" spans="1:9" ht="17.100000000000001" customHeight="1">
      <c r="A720" s="677">
        <v>223110</v>
      </c>
      <c r="B720" s="677" t="s">
        <v>1476</v>
      </c>
      <c r="C720" s="679">
        <v>0</v>
      </c>
      <c r="D720" s="678">
        <v>2926298610.6799998</v>
      </c>
      <c r="E720" s="678">
        <v>6767809.04</v>
      </c>
      <c r="F720" s="678">
        <v>220821635.96000001</v>
      </c>
      <c r="G720" s="679">
        <v>0</v>
      </c>
      <c r="H720" s="678">
        <v>3140352437.5999999</v>
      </c>
      <c r="I720" s="677" t="s">
        <v>1477</v>
      </c>
    </row>
    <row r="721" spans="1:9" ht="17.100000000000001" customHeight="1">
      <c r="A721" s="677">
        <v>22311001</v>
      </c>
      <c r="B721" s="677" t="s">
        <v>1478</v>
      </c>
      <c r="C721" s="679">
        <v>0</v>
      </c>
      <c r="D721" s="679">
        <v>-11.67</v>
      </c>
      <c r="E721" s="679">
        <v>0.11</v>
      </c>
      <c r="F721" s="679">
        <v>23.86</v>
      </c>
      <c r="G721" s="679">
        <v>0</v>
      </c>
      <c r="H721" s="679">
        <v>12.08</v>
      </c>
      <c r="I721" s="677" t="s">
        <v>1479</v>
      </c>
    </row>
    <row r="722" spans="1:9" ht="17.100000000000001" customHeight="1">
      <c r="A722" s="677">
        <v>22311002</v>
      </c>
      <c r="B722" s="677" t="s">
        <v>1480</v>
      </c>
      <c r="C722" s="679">
        <v>0</v>
      </c>
      <c r="D722" s="678">
        <v>3067661.11</v>
      </c>
      <c r="E722" s="678">
        <v>315183.2</v>
      </c>
      <c r="F722" s="678">
        <v>4270705.37</v>
      </c>
      <c r="G722" s="679">
        <v>0</v>
      </c>
      <c r="H722" s="678">
        <v>7023183.2800000003</v>
      </c>
      <c r="I722" s="677" t="s">
        <v>1481</v>
      </c>
    </row>
    <row r="723" spans="1:9" ht="17.100000000000001" customHeight="1">
      <c r="A723" s="677">
        <v>22311003</v>
      </c>
      <c r="B723" s="677" t="s">
        <v>1482</v>
      </c>
      <c r="C723" s="679">
        <v>0</v>
      </c>
      <c r="D723" s="678">
        <v>18627354.460000001</v>
      </c>
      <c r="E723" s="678">
        <v>453756.2</v>
      </c>
      <c r="F723" s="678">
        <v>7617280.25</v>
      </c>
      <c r="G723" s="679">
        <v>0</v>
      </c>
      <c r="H723" s="678">
        <v>25790878.510000002</v>
      </c>
      <c r="I723" s="677" t="s">
        <v>1483</v>
      </c>
    </row>
    <row r="724" spans="1:9" ht="17.100000000000001" customHeight="1">
      <c r="A724" s="677">
        <v>22311004</v>
      </c>
      <c r="B724" s="677" t="s">
        <v>1484</v>
      </c>
      <c r="C724" s="679">
        <v>0</v>
      </c>
      <c r="D724" s="679">
        <v>609.62</v>
      </c>
      <c r="E724" s="679">
        <v>0</v>
      </c>
      <c r="F724" s="679">
        <v>1.3</v>
      </c>
      <c r="G724" s="679">
        <v>0</v>
      </c>
      <c r="H724" s="679">
        <v>610.91999999999996</v>
      </c>
      <c r="I724" s="677" t="s">
        <v>1485</v>
      </c>
    </row>
    <row r="725" spans="1:9" ht="17.100000000000001" customHeight="1">
      <c r="A725" s="677">
        <v>22311005</v>
      </c>
      <c r="B725" s="677" t="s">
        <v>1486</v>
      </c>
      <c r="C725" s="679">
        <v>0</v>
      </c>
      <c r="D725" s="678">
        <v>437259389.74000001</v>
      </c>
      <c r="E725" s="678">
        <v>2916532.66</v>
      </c>
      <c r="F725" s="678">
        <v>84334089.099999994</v>
      </c>
      <c r="G725" s="679">
        <v>0</v>
      </c>
      <c r="H725" s="678">
        <v>518676946.18000001</v>
      </c>
      <c r="I725" s="677" t="s">
        <v>1487</v>
      </c>
    </row>
    <row r="726" spans="1:9" ht="17.100000000000001" customHeight="1">
      <c r="A726" s="677">
        <v>22311006</v>
      </c>
      <c r="B726" s="677" t="s">
        <v>1488</v>
      </c>
      <c r="C726" s="679">
        <v>0</v>
      </c>
      <c r="D726" s="678">
        <v>603351889.47000003</v>
      </c>
      <c r="E726" s="678">
        <v>1879639.01</v>
      </c>
      <c r="F726" s="678">
        <v>43835171.280000001</v>
      </c>
      <c r="G726" s="679">
        <v>0</v>
      </c>
      <c r="H726" s="678">
        <v>645307421.74000001</v>
      </c>
      <c r="I726" s="677" t="s">
        <v>1489</v>
      </c>
    </row>
    <row r="727" spans="1:9" ht="17.100000000000001" customHeight="1">
      <c r="A727" s="677">
        <v>22311007</v>
      </c>
      <c r="B727" s="677" t="s">
        <v>1490</v>
      </c>
      <c r="C727" s="679">
        <v>0</v>
      </c>
      <c r="D727" s="678">
        <v>1069098175.58</v>
      </c>
      <c r="E727" s="678">
        <v>612122.34</v>
      </c>
      <c r="F727" s="678">
        <v>54844250.119999997</v>
      </c>
      <c r="G727" s="679">
        <v>0</v>
      </c>
      <c r="H727" s="678">
        <v>1123330303.3599999</v>
      </c>
      <c r="I727" s="677" t="s">
        <v>1491</v>
      </c>
    </row>
    <row r="728" spans="1:9" ht="17.100000000000001" customHeight="1">
      <c r="A728" s="677">
        <v>22311008</v>
      </c>
      <c r="B728" s="677" t="s">
        <v>1492</v>
      </c>
      <c r="C728" s="679">
        <v>0</v>
      </c>
      <c r="D728" s="678">
        <v>793443000.57000005</v>
      </c>
      <c r="E728" s="678">
        <v>493029.79</v>
      </c>
      <c r="F728" s="678">
        <v>24957202.48</v>
      </c>
      <c r="G728" s="679">
        <v>0</v>
      </c>
      <c r="H728" s="678">
        <v>817907173.25999999</v>
      </c>
      <c r="I728" s="677" t="s">
        <v>1493</v>
      </c>
    </row>
    <row r="729" spans="1:9" ht="17.100000000000001" customHeight="1">
      <c r="A729" s="677">
        <v>22311009</v>
      </c>
      <c r="B729" s="677" t="s">
        <v>1494</v>
      </c>
      <c r="C729" s="679">
        <v>0</v>
      </c>
      <c r="D729" s="678">
        <v>191325.18</v>
      </c>
      <c r="E729" s="679">
        <v>0</v>
      </c>
      <c r="F729" s="679">
        <v>33.770000000000003</v>
      </c>
      <c r="G729" s="679">
        <v>0</v>
      </c>
      <c r="H729" s="678">
        <v>191358.95</v>
      </c>
      <c r="I729" s="677" t="s">
        <v>1495</v>
      </c>
    </row>
    <row r="730" spans="1:9" ht="17.100000000000001" customHeight="1">
      <c r="A730" s="677">
        <v>22311010</v>
      </c>
      <c r="B730" s="677" t="s">
        <v>1496</v>
      </c>
      <c r="C730" s="679">
        <v>0</v>
      </c>
      <c r="D730" s="678">
        <v>6824.04</v>
      </c>
      <c r="E730" s="679">
        <v>0</v>
      </c>
      <c r="F730" s="679">
        <v>720.58</v>
      </c>
      <c r="G730" s="679">
        <v>0</v>
      </c>
      <c r="H730" s="678">
        <v>7544.62</v>
      </c>
      <c r="I730" s="677" t="s">
        <v>1497</v>
      </c>
    </row>
    <row r="731" spans="1:9" ht="17.100000000000001" customHeight="1">
      <c r="A731" s="677">
        <v>22311011</v>
      </c>
      <c r="B731" s="677" t="s">
        <v>1498</v>
      </c>
      <c r="C731" s="679">
        <v>0</v>
      </c>
      <c r="D731" s="678">
        <v>13970.58</v>
      </c>
      <c r="E731" s="679">
        <v>0</v>
      </c>
      <c r="F731" s="679">
        <v>734.24</v>
      </c>
      <c r="G731" s="679">
        <v>0</v>
      </c>
      <c r="H731" s="678">
        <v>14704.82</v>
      </c>
      <c r="I731" s="677" t="s">
        <v>1499</v>
      </c>
    </row>
    <row r="732" spans="1:9" ht="17.100000000000001" customHeight="1">
      <c r="A732" s="677">
        <v>22311012</v>
      </c>
      <c r="B732" s="677" t="s">
        <v>1500</v>
      </c>
      <c r="C732" s="679">
        <v>0</v>
      </c>
      <c r="D732" s="678">
        <v>17673.150000000001</v>
      </c>
      <c r="E732" s="679">
        <v>0</v>
      </c>
      <c r="F732" s="679">
        <v>400.64</v>
      </c>
      <c r="G732" s="679">
        <v>0</v>
      </c>
      <c r="H732" s="678">
        <v>18073.79</v>
      </c>
      <c r="I732" s="677" t="s">
        <v>1501</v>
      </c>
    </row>
    <row r="733" spans="1:9" ht="17.100000000000001" customHeight="1">
      <c r="A733" s="677">
        <v>22311014</v>
      </c>
      <c r="B733" s="677" t="s">
        <v>1502</v>
      </c>
      <c r="C733" s="679">
        <v>0</v>
      </c>
      <c r="D733" s="679">
        <v>0</v>
      </c>
      <c r="E733" s="679">
        <v>0</v>
      </c>
      <c r="F733" s="679">
        <v>247.57</v>
      </c>
      <c r="G733" s="679">
        <v>0</v>
      </c>
      <c r="H733" s="679">
        <v>247.57</v>
      </c>
      <c r="I733" s="677" t="s">
        <v>1503</v>
      </c>
    </row>
    <row r="734" spans="1:9" ht="17.100000000000001" customHeight="1">
      <c r="A734" s="320"/>
      <c r="B734" s="320"/>
      <c r="C734" s="320"/>
      <c r="D734" s="557" t="s">
        <v>4317</v>
      </c>
      <c r="E734" s="320" t="s">
        <v>3749</v>
      </c>
      <c r="F734" s="320"/>
      <c r="G734" s="320"/>
      <c r="H734" s="320"/>
      <c r="I734" s="320"/>
    </row>
    <row r="735" spans="1:9" ht="28.5" customHeight="1">
      <c r="A735" s="671"/>
      <c r="B735" s="671"/>
      <c r="C735" s="671"/>
      <c r="D735" s="671"/>
      <c r="E735" s="671"/>
      <c r="F735" s="671"/>
      <c r="G735" s="671"/>
      <c r="H735" s="671"/>
      <c r="I735" s="671"/>
    </row>
    <row r="736" spans="1:9" ht="22.5">
      <c r="A736" s="320"/>
      <c r="B736" s="320"/>
      <c r="C736" s="672" t="s">
        <v>4316</v>
      </c>
      <c r="D736" s="320"/>
      <c r="E736" s="320"/>
      <c r="F736" s="671"/>
      <c r="G736" s="671"/>
      <c r="H736" s="671"/>
      <c r="I736" s="671"/>
    </row>
    <row r="737" spans="1:9" ht="14.25">
      <c r="A737" s="673" t="s">
        <v>3708</v>
      </c>
      <c r="B737" s="673"/>
      <c r="C737" s="683">
        <v>42551</v>
      </c>
      <c r="D737" s="673"/>
      <c r="E737" s="557" t="s">
        <v>3709</v>
      </c>
      <c r="F737" s="671"/>
      <c r="G737" s="671"/>
      <c r="H737" s="671"/>
      <c r="I737" s="671"/>
    </row>
    <row r="738" spans="1:9">
      <c r="A738" s="676" t="s">
        <v>596</v>
      </c>
      <c r="B738" s="676" t="s">
        <v>597</v>
      </c>
      <c r="C738" s="676" t="s">
        <v>3710</v>
      </c>
      <c r="D738" s="676" t="s">
        <v>3711</v>
      </c>
      <c r="E738" s="676" t="s">
        <v>3712</v>
      </c>
      <c r="F738" s="676" t="s">
        <v>3713</v>
      </c>
      <c r="G738" s="676" t="s">
        <v>3714</v>
      </c>
      <c r="H738" s="676" t="s">
        <v>3715</v>
      </c>
      <c r="I738" s="676" t="s">
        <v>596</v>
      </c>
    </row>
    <row r="739" spans="1:9" ht="28.5" customHeight="1">
      <c r="A739" s="677">
        <v>22311022</v>
      </c>
      <c r="B739" s="677" t="s">
        <v>1474</v>
      </c>
      <c r="C739" s="679">
        <v>0</v>
      </c>
      <c r="D739" s="678">
        <v>25893.74</v>
      </c>
      <c r="E739" s="678">
        <v>91020.45</v>
      </c>
      <c r="F739" s="678">
        <v>357878.91</v>
      </c>
      <c r="G739" s="679">
        <v>0</v>
      </c>
      <c r="H739" s="678">
        <v>292752.2</v>
      </c>
      <c r="I739" s="677" t="s">
        <v>1504</v>
      </c>
    </row>
    <row r="740" spans="1:9" ht="17.100000000000001" customHeight="1">
      <c r="A740" s="677">
        <v>22311023</v>
      </c>
      <c r="B740" s="677" t="s">
        <v>1505</v>
      </c>
      <c r="C740" s="679">
        <v>0</v>
      </c>
      <c r="D740" s="678">
        <v>7511.93</v>
      </c>
      <c r="E740" s="679">
        <v>0</v>
      </c>
      <c r="F740" s="679">
        <v>36.65</v>
      </c>
      <c r="G740" s="679">
        <v>0</v>
      </c>
      <c r="H740" s="678">
        <v>7548.58</v>
      </c>
      <c r="I740" s="677" t="s">
        <v>1506</v>
      </c>
    </row>
    <row r="741" spans="1:9" ht="17.100000000000001" customHeight="1">
      <c r="A741" s="677">
        <v>22311024</v>
      </c>
      <c r="B741" s="677" t="s">
        <v>2683</v>
      </c>
      <c r="C741" s="679">
        <v>0</v>
      </c>
      <c r="D741" s="678">
        <v>1187343.18</v>
      </c>
      <c r="E741" s="678">
        <v>6525.28</v>
      </c>
      <c r="F741" s="678">
        <v>602859.84</v>
      </c>
      <c r="G741" s="679">
        <v>0</v>
      </c>
      <c r="H741" s="678">
        <v>1783677.74</v>
      </c>
      <c r="I741" s="677" t="s">
        <v>2684</v>
      </c>
    </row>
    <row r="742" spans="1:9" ht="17.100000000000001" customHeight="1">
      <c r="A742" s="677">
        <v>223111</v>
      </c>
      <c r="B742" s="677" t="s">
        <v>1507</v>
      </c>
      <c r="C742" s="679">
        <v>0</v>
      </c>
      <c r="D742" s="679">
        <v>0</v>
      </c>
      <c r="E742" s="679">
        <v>0</v>
      </c>
      <c r="F742" s="678">
        <v>86134.67</v>
      </c>
      <c r="G742" s="679">
        <v>0</v>
      </c>
      <c r="H742" s="678">
        <v>86134.67</v>
      </c>
      <c r="I742" s="677" t="s">
        <v>1508</v>
      </c>
    </row>
    <row r="743" spans="1:9" ht="17.100000000000001" customHeight="1">
      <c r="A743" s="677">
        <v>22311101</v>
      </c>
      <c r="B743" s="677" t="s">
        <v>1507</v>
      </c>
      <c r="C743" s="679">
        <v>0</v>
      </c>
      <c r="D743" s="679">
        <v>0</v>
      </c>
      <c r="E743" s="679">
        <v>0</v>
      </c>
      <c r="F743" s="678">
        <v>86134.67</v>
      </c>
      <c r="G743" s="679">
        <v>0</v>
      </c>
      <c r="H743" s="678">
        <v>86134.67</v>
      </c>
      <c r="I743" s="677" t="s">
        <v>1509</v>
      </c>
    </row>
    <row r="744" spans="1:9" ht="17.100000000000001" customHeight="1">
      <c r="A744" s="677">
        <v>223114</v>
      </c>
      <c r="B744" s="677" t="s">
        <v>1510</v>
      </c>
      <c r="C744" s="679">
        <v>0</v>
      </c>
      <c r="D744" s="678">
        <v>120954331.53</v>
      </c>
      <c r="E744" s="678">
        <v>2804393.65</v>
      </c>
      <c r="F744" s="678">
        <v>11716286.75</v>
      </c>
      <c r="G744" s="679">
        <v>0</v>
      </c>
      <c r="H744" s="678">
        <v>129866224.63</v>
      </c>
      <c r="I744" s="677" t="s">
        <v>1511</v>
      </c>
    </row>
    <row r="745" spans="1:9" ht="17.100000000000001" customHeight="1">
      <c r="A745" s="677">
        <v>22311401</v>
      </c>
      <c r="B745" s="677" t="s">
        <v>1512</v>
      </c>
      <c r="C745" s="679">
        <v>0</v>
      </c>
      <c r="D745" s="679">
        <v>0</v>
      </c>
      <c r="E745" s="679">
        <v>0</v>
      </c>
      <c r="F745" s="678">
        <v>26537.68</v>
      </c>
      <c r="G745" s="679">
        <v>0</v>
      </c>
      <c r="H745" s="678">
        <v>26537.68</v>
      </c>
      <c r="I745" s="677" t="s">
        <v>1513</v>
      </c>
    </row>
    <row r="746" spans="1:9" ht="17.100000000000001" customHeight="1">
      <c r="A746" s="677">
        <v>22311402</v>
      </c>
      <c r="B746" s="677" t="s">
        <v>1514</v>
      </c>
      <c r="C746" s="679">
        <v>0</v>
      </c>
      <c r="D746" s="678">
        <v>4479183.21</v>
      </c>
      <c r="E746" s="678">
        <v>5325.45</v>
      </c>
      <c r="F746" s="678">
        <v>193458.89</v>
      </c>
      <c r="G746" s="679">
        <v>0</v>
      </c>
      <c r="H746" s="678">
        <v>4667316.6500000004</v>
      </c>
      <c r="I746" s="677" t="s">
        <v>1515</v>
      </c>
    </row>
    <row r="747" spans="1:9" ht="17.100000000000001" customHeight="1">
      <c r="A747" s="677">
        <v>22311403</v>
      </c>
      <c r="B747" s="677" t="s">
        <v>1516</v>
      </c>
      <c r="C747" s="679">
        <v>0</v>
      </c>
      <c r="D747" s="678">
        <v>38298727.799999997</v>
      </c>
      <c r="E747" s="678">
        <v>226779.61</v>
      </c>
      <c r="F747" s="678">
        <v>1658779.15</v>
      </c>
      <c r="G747" s="679">
        <v>0</v>
      </c>
      <c r="H747" s="678">
        <v>39730727.340000004</v>
      </c>
      <c r="I747" s="677" t="s">
        <v>1517</v>
      </c>
    </row>
    <row r="748" spans="1:9" ht="17.100000000000001" customHeight="1">
      <c r="A748" s="677">
        <v>22311404</v>
      </c>
      <c r="B748" s="677" t="s">
        <v>1518</v>
      </c>
      <c r="C748" s="679">
        <v>0</v>
      </c>
      <c r="D748" s="678">
        <v>6777926.0099999998</v>
      </c>
      <c r="E748" s="679">
        <v>0</v>
      </c>
      <c r="F748" s="678">
        <v>1235550.77</v>
      </c>
      <c r="G748" s="679">
        <v>0</v>
      </c>
      <c r="H748" s="678">
        <v>8013476.7800000003</v>
      </c>
      <c r="I748" s="677" t="s">
        <v>1519</v>
      </c>
    </row>
    <row r="749" spans="1:9" ht="17.100000000000001" customHeight="1">
      <c r="A749" s="677">
        <v>22311409</v>
      </c>
      <c r="B749" s="677" t="s">
        <v>1520</v>
      </c>
      <c r="C749" s="679">
        <v>0</v>
      </c>
      <c r="D749" s="679">
        <v>385.52</v>
      </c>
      <c r="E749" s="679">
        <v>385.52</v>
      </c>
      <c r="F749" s="678">
        <v>42842.23</v>
      </c>
      <c r="G749" s="679">
        <v>0</v>
      </c>
      <c r="H749" s="678">
        <v>42842.23</v>
      </c>
      <c r="I749" s="677" t="s">
        <v>1521</v>
      </c>
    </row>
    <row r="750" spans="1:9" ht="17.100000000000001" customHeight="1">
      <c r="A750" s="677">
        <v>22311410</v>
      </c>
      <c r="B750" s="677" t="s">
        <v>1522</v>
      </c>
      <c r="C750" s="679">
        <v>0</v>
      </c>
      <c r="D750" s="678">
        <v>50791.33</v>
      </c>
      <c r="E750" s="679">
        <v>0</v>
      </c>
      <c r="F750" s="678">
        <v>66976.77</v>
      </c>
      <c r="G750" s="679">
        <v>0</v>
      </c>
      <c r="H750" s="678">
        <v>117768.1</v>
      </c>
      <c r="I750" s="677" t="s">
        <v>1523</v>
      </c>
    </row>
    <row r="751" spans="1:9" ht="17.100000000000001" customHeight="1">
      <c r="A751" s="677">
        <v>22311411</v>
      </c>
      <c r="B751" s="677" t="s">
        <v>1524</v>
      </c>
      <c r="C751" s="679">
        <v>0</v>
      </c>
      <c r="D751" s="678">
        <v>3632053.05</v>
      </c>
      <c r="E751" s="679">
        <v>0</v>
      </c>
      <c r="F751" s="678">
        <v>578836.92000000004</v>
      </c>
      <c r="G751" s="679">
        <v>0</v>
      </c>
      <c r="H751" s="678">
        <v>4210889.97</v>
      </c>
      <c r="I751" s="677" t="s">
        <v>1525</v>
      </c>
    </row>
    <row r="752" spans="1:9" ht="17.100000000000001" customHeight="1">
      <c r="A752" s="677">
        <v>22311412</v>
      </c>
      <c r="B752" s="677" t="s">
        <v>1526</v>
      </c>
      <c r="C752" s="679">
        <v>0</v>
      </c>
      <c r="D752" s="678">
        <v>51498819.590000004</v>
      </c>
      <c r="E752" s="678">
        <v>2369405.7400000002</v>
      </c>
      <c r="F752" s="678">
        <v>6003622.6500000004</v>
      </c>
      <c r="G752" s="679">
        <v>0</v>
      </c>
      <c r="H752" s="678">
        <v>55133036.5</v>
      </c>
      <c r="I752" s="677" t="s">
        <v>1527</v>
      </c>
    </row>
    <row r="753" spans="1:9" ht="17.100000000000001" customHeight="1">
      <c r="A753" s="677">
        <v>22311413</v>
      </c>
      <c r="B753" s="677" t="s">
        <v>1528</v>
      </c>
      <c r="C753" s="679">
        <v>0</v>
      </c>
      <c r="D753" s="679">
        <v>0</v>
      </c>
      <c r="E753" s="679">
        <v>0</v>
      </c>
      <c r="F753" s="678">
        <v>3624.36</v>
      </c>
      <c r="G753" s="679">
        <v>0</v>
      </c>
      <c r="H753" s="678">
        <v>3624.36</v>
      </c>
      <c r="I753" s="677" t="s">
        <v>1529</v>
      </c>
    </row>
    <row r="754" spans="1:9" ht="17.100000000000001" customHeight="1">
      <c r="A754" s="677">
        <v>22311414</v>
      </c>
      <c r="B754" s="677" t="s">
        <v>1530</v>
      </c>
      <c r="C754" s="679">
        <v>0</v>
      </c>
      <c r="D754" s="678">
        <v>18165.990000000002</v>
      </c>
      <c r="E754" s="679">
        <v>0</v>
      </c>
      <c r="F754" s="679">
        <v>10.52</v>
      </c>
      <c r="G754" s="679">
        <v>0</v>
      </c>
      <c r="H754" s="678">
        <v>18176.509999999998</v>
      </c>
      <c r="I754" s="677" t="s">
        <v>1531</v>
      </c>
    </row>
    <row r="755" spans="1:9" ht="17.100000000000001" customHeight="1">
      <c r="A755" s="677">
        <v>22311415</v>
      </c>
      <c r="B755" s="677" t="s">
        <v>1532</v>
      </c>
      <c r="C755" s="679">
        <v>0</v>
      </c>
      <c r="D755" s="678">
        <v>520634.78</v>
      </c>
      <c r="E755" s="678">
        <v>8500</v>
      </c>
      <c r="F755" s="678">
        <v>-98434.23</v>
      </c>
      <c r="G755" s="679">
        <v>0</v>
      </c>
      <c r="H755" s="678">
        <v>413700.55</v>
      </c>
      <c r="I755" s="677" t="s">
        <v>1533</v>
      </c>
    </row>
    <row r="756" spans="1:9" ht="17.100000000000001" customHeight="1">
      <c r="A756" s="677">
        <v>22311416</v>
      </c>
      <c r="B756" s="677" t="s">
        <v>1534</v>
      </c>
      <c r="C756" s="679">
        <v>0</v>
      </c>
      <c r="D756" s="678">
        <v>1582038.66</v>
      </c>
      <c r="E756" s="678">
        <v>175785.9</v>
      </c>
      <c r="F756" s="678">
        <v>246333.52</v>
      </c>
      <c r="G756" s="679">
        <v>0</v>
      </c>
      <c r="H756" s="678">
        <v>1652586.28</v>
      </c>
      <c r="I756" s="677" t="s">
        <v>1535</v>
      </c>
    </row>
    <row r="757" spans="1:9" ht="17.100000000000001" customHeight="1">
      <c r="A757" s="677">
        <v>22311417</v>
      </c>
      <c r="B757" s="677" t="s">
        <v>1536</v>
      </c>
      <c r="C757" s="679">
        <v>0</v>
      </c>
      <c r="D757" s="679">
        <v>0</v>
      </c>
      <c r="E757" s="679">
        <v>452.32</v>
      </c>
      <c r="F757" s="678">
        <v>2698.83</v>
      </c>
      <c r="G757" s="679">
        <v>0</v>
      </c>
      <c r="H757" s="678">
        <v>2246.5100000000002</v>
      </c>
      <c r="I757" s="677" t="s">
        <v>1537</v>
      </c>
    </row>
    <row r="758" spans="1:9" ht="17.100000000000001" customHeight="1">
      <c r="A758" s="677">
        <v>22311418</v>
      </c>
      <c r="B758" s="677" t="s">
        <v>1538</v>
      </c>
      <c r="C758" s="679">
        <v>0</v>
      </c>
      <c r="D758" s="678">
        <v>8897.52</v>
      </c>
      <c r="E758" s="679">
        <v>0</v>
      </c>
      <c r="F758" s="678">
        <v>19446.93</v>
      </c>
      <c r="G758" s="679">
        <v>0</v>
      </c>
      <c r="H758" s="678">
        <v>28344.45</v>
      </c>
      <c r="I758" s="677" t="s">
        <v>1539</v>
      </c>
    </row>
    <row r="759" spans="1:9" ht="17.100000000000001" customHeight="1">
      <c r="A759" s="677">
        <v>22311419</v>
      </c>
      <c r="B759" s="677" t="s">
        <v>1540</v>
      </c>
      <c r="C759" s="679">
        <v>0</v>
      </c>
      <c r="D759" s="678">
        <v>74047.3</v>
      </c>
      <c r="E759" s="679">
        <v>0</v>
      </c>
      <c r="F759" s="678">
        <v>93891.81</v>
      </c>
      <c r="G759" s="679">
        <v>0</v>
      </c>
      <c r="H759" s="678">
        <v>167939.11</v>
      </c>
      <c r="I759" s="677" t="s">
        <v>1541</v>
      </c>
    </row>
    <row r="760" spans="1:9" ht="17.100000000000001" customHeight="1">
      <c r="A760" s="677">
        <v>22311420</v>
      </c>
      <c r="B760" s="677" t="s">
        <v>1542</v>
      </c>
      <c r="C760" s="679">
        <v>0</v>
      </c>
      <c r="D760" s="678">
        <v>2046052.47</v>
      </c>
      <c r="E760" s="679">
        <v>0</v>
      </c>
      <c r="F760" s="678">
        <v>85092.38</v>
      </c>
      <c r="G760" s="679">
        <v>0</v>
      </c>
      <c r="H760" s="678">
        <v>2131144.85</v>
      </c>
      <c r="I760" s="677" t="s">
        <v>1543</v>
      </c>
    </row>
    <row r="761" spans="1:9" ht="17.100000000000001" customHeight="1">
      <c r="A761" s="677">
        <v>22311425</v>
      </c>
      <c r="B761" s="677" t="s">
        <v>1544</v>
      </c>
      <c r="C761" s="679">
        <v>0</v>
      </c>
      <c r="D761" s="679">
        <v>-143.79</v>
      </c>
      <c r="E761" s="679">
        <v>1.04</v>
      </c>
      <c r="F761" s="679">
        <v>455.99</v>
      </c>
      <c r="G761" s="679">
        <v>0</v>
      </c>
      <c r="H761" s="679">
        <v>311.16000000000003</v>
      </c>
      <c r="I761" s="677" t="s">
        <v>1545</v>
      </c>
    </row>
    <row r="762" spans="1:9" ht="17.100000000000001" customHeight="1">
      <c r="A762" s="677">
        <v>22311426</v>
      </c>
      <c r="B762" s="677" t="s">
        <v>1546</v>
      </c>
      <c r="C762" s="679">
        <v>0</v>
      </c>
      <c r="D762" s="678">
        <v>12293.69</v>
      </c>
      <c r="E762" s="678">
        <v>16750</v>
      </c>
      <c r="F762" s="678">
        <v>4552.5600000000004</v>
      </c>
      <c r="G762" s="679">
        <v>0</v>
      </c>
      <c r="H762" s="679">
        <v>96.25</v>
      </c>
      <c r="I762" s="677" t="s">
        <v>1547</v>
      </c>
    </row>
    <row r="763" spans="1:9" ht="17.100000000000001" customHeight="1">
      <c r="A763" s="677">
        <v>22311427</v>
      </c>
      <c r="B763" s="677" t="s">
        <v>1548</v>
      </c>
      <c r="C763" s="679">
        <v>0</v>
      </c>
      <c r="D763" s="678">
        <v>46897.26</v>
      </c>
      <c r="E763" s="679">
        <v>0</v>
      </c>
      <c r="F763" s="678">
        <v>16593.18</v>
      </c>
      <c r="G763" s="679">
        <v>0</v>
      </c>
      <c r="H763" s="678">
        <v>63490.44</v>
      </c>
      <c r="I763" s="677" t="s">
        <v>1549</v>
      </c>
    </row>
    <row r="764" spans="1:9" ht="17.100000000000001" customHeight="1">
      <c r="A764" s="677">
        <v>22311428</v>
      </c>
      <c r="B764" s="677" t="s">
        <v>1550</v>
      </c>
      <c r="C764" s="679">
        <v>0</v>
      </c>
      <c r="D764" s="678">
        <v>134792.23000000001</v>
      </c>
      <c r="E764" s="679">
        <v>0</v>
      </c>
      <c r="F764" s="678">
        <v>2894.44</v>
      </c>
      <c r="G764" s="679">
        <v>0</v>
      </c>
      <c r="H764" s="678">
        <v>137686.67000000001</v>
      </c>
      <c r="I764" s="677" t="s">
        <v>1551</v>
      </c>
    </row>
    <row r="765" spans="1:9" ht="17.100000000000001" customHeight="1">
      <c r="A765" s="677">
        <v>22311433</v>
      </c>
      <c r="B765" s="677" t="s">
        <v>1552</v>
      </c>
      <c r="C765" s="679">
        <v>0</v>
      </c>
      <c r="D765" s="679">
        <v>0</v>
      </c>
      <c r="E765" s="679">
        <v>0</v>
      </c>
      <c r="F765" s="679">
        <v>811.86</v>
      </c>
      <c r="G765" s="679">
        <v>0</v>
      </c>
      <c r="H765" s="679">
        <v>811.86</v>
      </c>
      <c r="I765" s="677" t="s">
        <v>1553</v>
      </c>
    </row>
    <row r="766" spans="1:9" ht="17.100000000000001" customHeight="1">
      <c r="A766" s="677">
        <v>22311437</v>
      </c>
      <c r="B766" s="677" t="s">
        <v>2605</v>
      </c>
      <c r="C766" s="679">
        <v>0</v>
      </c>
      <c r="D766" s="679">
        <v>0</v>
      </c>
      <c r="E766" s="679">
        <v>0</v>
      </c>
      <c r="F766" s="679">
        <v>0.08</v>
      </c>
      <c r="G766" s="679">
        <v>0</v>
      </c>
      <c r="H766" s="679">
        <v>0.08</v>
      </c>
      <c r="I766" s="677" t="s">
        <v>2606</v>
      </c>
    </row>
    <row r="767" spans="1:9" ht="17.100000000000001" customHeight="1">
      <c r="A767" s="677">
        <v>22311439</v>
      </c>
      <c r="B767" s="677" t="s">
        <v>2821</v>
      </c>
      <c r="C767" s="679">
        <v>0</v>
      </c>
      <c r="D767" s="678">
        <v>81931.5</v>
      </c>
      <c r="E767" s="679">
        <v>0</v>
      </c>
      <c r="F767" s="678">
        <v>12691.35</v>
      </c>
      <c r="G767" s="679">
        <v>0</v>
      </c>
      <c r="H767" s="678">
        <v>94622.85</v>
      </c>
      <c r="I767" s="677" t="s">
        <v>2822</v>
      </c>
    </row>
    <row r="768" spans="1:9" ht="17.100000000000001" customHeight="1">
      <c r="A768" s="677">
        <v>22311441</v>
      </c>
      <c r="B768" s="677" t="s">
        <v>1554</v>
      </c>
      <c r="C768" s="679">
        <v>0</v>
      </c>
      <c r="D768" s="679">
        <v>0</v>
      </c>
      <c r="E768" s="679">
        <v>0</v>
      </c>
      <c r="F768" s="679">
        <v>0.41</v>
      </c>
      <c r="G768" s="679">
        <v>0</v>
      </c>
      <c r="H768" s="679">
        <v>0.41</v>
      </c>
      <c r="I768" s="677" t="s">
        <v>1555</v>
      </c>
    </row>
    <row r="769" spans="1:9" ht="17.100000000000001" customHeight="1">
      <c r="A769" s="677">
        <v>22311449</v>
      </c>
      <c r="B769" s="677" t="s">
        <v>1556</v>
      </c>
      <c r="C769" s="679">
        <v>0</v>
      </c>
      <c r="D769" s="679">
        <v>0</v>
      </c>
      <c r="E769" s="679">
        <v>0</v>
      </c>
      <c r="F769" s="679">
        <v>0.1</v>
      </c>
      <c r="G769" s="679">
        <v>0</v>
      </c>
      <c r="H769" s="679">
        <v>0.1</v>
      </c>
      <c r="I769" s="677" t="s">
        <v>1557</v>
      </c>
    </row>
    <row r="770" spans="1:9" ht="17.100000000000001" customHeight="1">
      <c r="A770" s="677">
        <v>22311457</v>
      </c>
      <c r="B770" s="677" t="s">
        <v>1558</v>
      </c>
      <c r="C770" s="679">
        <v>0</v>
      </c>
      <c r="D770" s="678">
        <v>1008.07</v>
      </c>
      <c r="E770" s="678">
        <v>1008.07</v>
      </c>
      <c r="F770" s="678">
        <v>19463.77</v>
      </c>
      <c r="G770" s="679">
        <v>0</v>
      </c>
      <c r="H770" s="678">
        <v>19463.77</v>
      </c>
      <c r="I770" s="677" t="s">
        <v>1559</v>
      </c>
    </row>
    <row r="771" spans="1:9" ht="17.100000000000001" customHeight="1">
      <c r="A771" s="677">
        <v>22311458</v>
      </c>
      <c r="B771" s="677" t="s">
        <v>1560</v>
      </c>
      <c r="C771" s="679">
        <v>0</v>
      </c>
      <c r="D771" s="678">
        <v>9166.8700000000008</v>
      </c>
      <c r="E771" s="679">
        <v>0</v>
      </c>
      <c r="F771" s="678">
        <v>1402.82</v>
      </c>
      <c r="G771" s="679">
        <v>0</v>
      </c>
      <c r="H771" s="678">
        <v>10569.69</v>
      </c>
      <c r="I771" s="677" t="s">
        <v>1561</v>
      </c>
    </row>
    <row r="772" spans="1:9" ht="17.100000000000001" customHeight="1">
      <c r="A772" s="677">
        <v>22311459</v>
      </c>
      <c r="B772" s="677" t="s">
        <v>1562</v>
      </c>
      <c r="C772" s="679">
        <v>0</v>
      </c>
      <c r="D772" s="678">
        <v>473814.83</v>
      </c>
      <c r="E772" s="679">
        <v>0</v>
      </c>
      <c r="F772" s="678">
        <v>27244.639999999999</v>
      </c>
      <c r="G772" s="679">
        <v>0</v>
      </c>
      <c r="H772" s="678">
        <v>501059.47</v>
      </c>
      <c r="I772" s="677" t="s">
        <v>1563</v>
      </c>
    </row>
    <row r="773" spans="1:9" ht="17.100000000000001" customHeight="1">
      <c r="A773" s="320"/>
      <c r="B773" s="320"/>
      <c r="C773" s="320"/>
      <c r="D773" s="557" t="s">
        <v>4317</v>
      </c>
      <c r="E773" s="320" t="s">
        <v>3750</v>
      </c>
      <c r="F773" s="320"/>
      <c r="G773" s="320"/>
      <c r="H773" s="320"/>
      <c r="I773" s="320"/>
    </row>
    <row r="774" spans="1:9" ht="28.5" customHeight="1">
      <c r="A774" s="671"/>
      <c r="B774" s="671"/>
      <c r="C774" s="671"/>
      <c r="D774" s="671"/>
      <c r="E774" s="671"/>
      <c r="F774" s="671"/>
      <c r="G774" s="671"/>
      <c r="H774" s="671"/>
      <c r="I774" s="671"/>
    </row>
    <row r="775" spans="1:9" ht="22.5">
      <c r="A775" s="320"/>
      <c r="B775" s="320"/>
      <c r="C775" s="672" t="s">
        <v>4316</v>
      </c>
      <c r="D775" s="320"/>
      <c r="E775" s="320"/>
      <c r="F775" s="671"/>
      <c r="G775" s="671"/>
      <c r="H775" s="671"/>
      <c r="I775" s="671"/>
    </row>
    <row r="776" spans="1:9" ht="14.25">
      <c r="A776" s="673" t="s">
        <v>3708</v>
      </c>
      <c r="B776" s="673"/>
      <c r="C776" s="683">
        <v>42551</v>
      </c>
      <c r="D776" s="673"/>
      <c r="E776" s="557" t="s">
        <v>3709</v>
      </c>
      <c r="F776" s="671"/>
      <c r="G776" s="671"/>
      <c r="H776" s="671"/>
      <c r="I776" s="671"/>
    </row>
    <row r="777" spans="1:9">
      <c r="A777" s="676" t="s">
        <v>596</v>
      </c>
      <c r="B777" s="676" t="s">
        <v>597</v>
      </c>
      <c r="C777" s="676" t="s">
        <v>3710</v>
      </c>
      <c r="D777" s="676" t="s">
        <v>3711</v>
      </c>
      <c r="E777" s="676" t="s">
        <v>3712</v>
      </c>
      <c r="F777" s="676" t="s">
        <v>3713</v>
      </c>
      <c r="G777" s="676" t="s">
        <v>3714</v>
      </c>
      <c r="H777" s="676" t="s">
        <v>3715</v>
      </c>
      <c r="I777" s="676" t="s">
        <v>596</v>
      </c>
    </row>
    <row r="778" spans="1:9" ht="28.5" customHeight="1">
      <c r="A778" s="677">
        <v>22311460</v>
      </c>
      <c r="B778" s="677" t="s">
        <v>1564</v>
      </c>
      <c r="C778" s="679">
        <v>0</v>
      </c>
      <c r="D778" s="678">
        <v>6000745.8899999997</v>
      </c>
      <c r="E778" s="679">
        <v>0</v>
      </c>
      <c r="F778" s="678">
        <v>630558.35</v>
      </c>
      <c r="G778" s="679">
        <v>0</v>
      </c>
      <c r="H778" s="678">
        <v>6631304.2400000002</v>
      </c>
      <c r="I778" s="677" t="s">
        <v>1565</v>
      </c>
    </row>
    <row r="779" spans="1:9" ht="17.100000000000001" customHeight="1">
      <c r="A779" s="677">
        <v>22311461</v>
      </c>
      <c r="B779" s="677" t="s">
        <v>1566</v>
      </c>
      <c r="C779" s="679">
        <v>0</v>
      </c>
      <c r="D779" s="679">
        <v>0</v>
      </c>
      <c r="E779" s="679">
        <v>0</v>
      </c>
      <c r="F779" s="679">
        <v>552.17999999999995</v>
      </c>
      <c r="G779" s="679">
        <v>0</v>
      </c>
      <c r="H779" s="679">
        <v>552.17999999999995</v>
      </c>
      <c r="I779" s="677" t="s">
        <v>1567</v>
      </c>
    </row>
    <row r="780" spans="1:9" ht="17.100000000000001" customHeight="1">
      <c r="A780" s="677">
        <v>22311462</v>
      </c>
      <c r="B780" s="677" t="s">
        <v>2823</v>
      </c>
      <c r="C780" s="679">
        <v>0</v>
      </c>
      <c r="D780" s="679">
        <v>0.02</v>
      </c>
      <c r="E780" s="679">
        <v>0</v>
      </c>
      <c r="F780" s="679">
        <v>0.01</v>
      </c>
      <c r="G780" s="679">
        <v>0</v>
      </c>
      <c r="H780" s="679">
        <v>0.03</v>
      </c>
      <c r="I780" s="677" t="s">
        <v>2824</v>
      </c>
    </row>
    <row r="781" spans="1:9" ht="17.100000000000001" customHeight="1">
      <c r="A781" s="677">
        <v>22311463</v>
      </c>
      <c r="B781" s="677" t="s">
        <v>1568</v>
      </c>
      <c r="C781" s="679">
        <v>0</v>
      </c>
      <c r="D781" s="678">
        <v>74596.12</v>
      </c>
      <c r="E781" s="679">
        <v>0</v>
      </c>
      <c r="F781" s="678">
        <v>16147.27</v>
      </c>
      <c r="G781" s="679">
        <v>0</v>
      </c>
      <c r="H781" s="678">
        <v>90743.39</v>
      </c>
      <c r="I781" s="677" t="s">
        <v>1569</v>
      </c>
    </row>
    <row r="782" spans="1:9" ht="17.100000000000001" customHeight="1">
      <c r="A782" s="677">
        <v>22311464</v>
      </c>
      <c r="B782" s="677" t="s">
        <v>1570</v>
      </c>
      <c r="C782" s="679">
        <v>0</v>
      </c>
      <c r="D782" s="678">
        <v>43796.38</v>
      </c>
      <c r="E782" s="679">
        <v>0</v>
      </c>
      <c r="F782" s="678">
        <v>17727.2</v>
      </c>
      <c r="G782" s="679">
        <v>0</v>
      </c>
      <c r="H782" s="678">
        <v>61523.58</v>
      </c>
      <c r="I782" s="677" t="s">
        <v>1571</v>
      </c>
    </row>
    <row r="783" spans="1:9" ht="17.100000000000001" customHeight="1">
      <c r="A783" s="677">
        <v>22311465</v>
      </c>
      <c r="B783" s="677" t="s">
        <v>3459</v>
      </c>
      <c r="C783" s="679">
        <v>0</v>
      </c>
      <c r="D783" s="679">
        <v>0</v>
      </c>
      <c r="E783" s="679">
        <v>0</v>
      </c>
      <c r="F783" s="678">
        <v>18055.560000000001</v>
      </c>
      <c r="G783" s="679">
        <v>0</v>
      </c>
      <c r="H783" s="678">
        <v>18055.560000000001</v>
      </c>
      <c r="I783" s="677" t="s">
        <v>3460</v>
      </c>
    </row>
    <row r="784" spans="1:9" ht="17.100000000000001" customHeight="1">
      <c r="A784" s="677">
        <v>22311466</v>
      </c>
      <c r="B784" s="677" t="s">
        <v>2685</v>
      </c>
      <c r="C784" s="679">
        <v>0</v>
      </c>
      <c r="D784" s="678">
        <v>4670835.6100000003</v>
      </c>
      <c r="E784" s="679">
        <v>0</v>
      </c>
      <c r="F784" s="678">
        <v>694579.14</v>
      </c>
      <c r="G784" s="679">
        <v>0</v>
      </c>
      <c r="H784" s="678">
        <v>5365414.75</v>
      </c>
      <c r="I784" s="677" t="s">
        <v>2686</v>
      </c>
    </row>
    <row r="785" spans="1:9" ht="17.100000000000001" customHeight="1">
      <c r="A785" s="677">
        <v>22311467</v>
      </c>
      <c r="B785" s="677" t="s">
        <v>2825</v>
      </c>
      <c r="C785" s="679">
        <v>0</v>
      </c>
      <c r="D785" s="678">
        <v>23135.72</v>
      </c>
      <c r="E785" s="679">
        <v>0</v>
      </c>
      <c r="F785" s="678">
        <v>24403.73</v>
      </c>
      <c r="G785" s="679">
        <v>0</v>
      </c>
      <c r="H785" s="678">
        <v>47539.45</v>
      </c>
      <c r="I785" s="677" t="s">
        <v>2826</v>
      </c>
    </row>
    <row r="786" spans="1:9" ht="17.100000000000001" customHeight="1">
      <c r="A786" s="677">
        <v>22311472</v>
      </c>
      <c r="B786" s="677" t="s">
        <v>2827</v>
      </c>
      <c r="C786" s="679">
        <v>0</v>
      </c>
      <c r="D786" s="678">
        <v>393737.9</v>
      </c>
      <c r="E786" s="679">
        <v>0</v>
      </c>
      <c r="F786" s="678">
        <v>68882.929999999993</v>
      </c>
      <c r="G786" s="679">
        <v>0</v>
      </c>
      <c r="H786" s="678">
        <v>462620.83</v>
      </c>
      <c r="I786" s="677" t="s">
        <v>2828</v>
      </c>
    </row>
    <row r="787" spans="1:9" ht="17.100000000000001" customHeight="1">
      <c r="A787" s="677">
        <v>223115</v>
      </c>
      <c r="B787" s="677" t="s">
        <v>1572</v>
      </c>
      <c r="C787" s="679">
        <v>0</v>
      </c>
      <c r="D787" s="678">
        <v>376967945.25</v>
      </c>
      <c r="E787" s="678">
        <v>209650000</v>
      </c>
      <c r="F787" s="678">
        <v>38326849.32</v>
      </c>
      <c r="G787" s="679">
        <v>0</v>
      </c>
      <c r="H787" s="678">
        <v>205644794.56999999</v>
      </c>
      <c r="I787" s="677" t="s">
        <v>1573</v>
      </c>
    </row>
    <row r="788" spans="1:9" ht="17.100000000000001" customHeight="1">
      <c r="A788" s="677">
        <v>22311501</v>
      </c>
      <c r="B788" s="677" t="s">
        <v>1572</v>
      </c>
      <c r="C788" s="679">
        <v>0</v>
      </c>
      <c r="D788" s="678">
        <v>376967945.25</v>
      </c>
      <c r="E788" s="678">
        <v>209650000</v>
      </c>
      <c r="F788" s="678">
        <v>38326849.32</v>
      </c>
      <c r="G788" s="679">
        <v>0</v>
      </c>
      <c r="H788" s="678">
        <v>205644794.56999999</v>
      </c>
      <c r="I788" s="677" t="s">
        <v>1574</v>
      </c>
    </row>
    <row r="789" spans="1:9" ht="17.100000000000001" customHeight="1">
      <c r="A789" s="677">
        <v>223117</v>
      </c>
      <c r="B789" s="677" t="s">
        <v>1575</v>
      </c>
      <c r="C789" s="679">
        <v>0</v>
      </c>
      <c r="D789" s="678">
        <v>299907689.68000001</v>
      </c>
      <c r="E789" s="678">
        <v>579703.42000000004</v>
      </c>
      <c r="F789" s="678">
        <v>4173164.24</v>
      </c>
      <c r="G789" s="679">
        <v>0</v>
      </c>
      <c r="H789" s="678">
        <v>303501150.5</v>
      </c>
      <c r="I789" s="677" t="s">
        <v>1576</v>
      </c>
    </row>
    <row r="790" spans="1:9" ht="17.100000000000001" customHeight="1">
      <c r="A790" s="677">
        <v>22311701</v>
      </c>
      <c r="B790" s="677" t="s">
        <v>3461</v>
      </c>
      <c r="C790" s="679">
        <v>0</v>
      </c>
      <c r="D790" s="678">
        <v>343512.89</v>
      </c>
      <c r="E790" s="678">
        <v>60493.15</v>
      </c>
      <c r="F790" s="678">
        <v>51948.49</v>
      </c>
      <c r="G790" s="679">
        <v>0</v>
      </c>
      <c r="H790" s="678">
        <v>334968.23</v>
      </c>
      <c r="I790" s="677" t="s">
        <v>3462</v>
      </c>
    </row>
    <row r="791" spans="1:9" ht="17.100000000000001" customHeight="1">
      <c r="A791" s="677">
        <v>22311702</v>
      </c>
      <c r="B791" s="677" t="s">
        <v>1577</v>
      </c>
      <c r="C791" s="679">
        <v>0</v>
      </c>
      <c r="D791" s="678">
        <v>165917284.88</v>
      </c>
      <c r="E791" s="678">
        <v>514191.78</v>
      </c>
      <c r="F791" s="678">
        <v>1679322</v>
      </c>
      <c r="G791" s="679">
        <v>0</v>
      </c>
      <c r="H791" s="678">
        <v>167082415.09999999</v>
      </c>
      <c r="I791" s="677" t="s">
        <v>1578</v>
      </c>
    </row>
    <row r="792" spans="1:9" ht="17.100000000000001" customHeight="1">
      <c r="A792" s="677">
        <v>22311703</v>
      </c>
      <c r="B792" s="677" t="s">
        <v>3463</v>
      </c>
      <c r="C792" s="679">
        <v>0</v>
      </c>
      <c r="D792" s="678">
        <v>157217.09</v>
      </c>
      <c r="E792" s="678">
        <v>5018.49</v>
      </c>
      <c r="F792" s="678">
        <v>17958.89</v>
      </c>
      <c r="G792" s="679">
        <v>0</v>
      </c>
      <c r="H792" s="678">
        <v>170157.49</v>
      </c>
      <c r="I792" s="677" t="s">
        <v>3464</v>
      </c>
    </row>
    <row r="793" spans="1:9" ht="17.100000000000001" customHeight="1">
      <c r="A793" s="677">
        <v>22311704</v>
      </c>
      <c r="B793" s="677" t="s">
        <v>1579</v>
      </c>
      <c r="C793" s="679">
        <v>0</v>
      </c>
      <c r="D793" s="678">
        <v>130715624.83</v>
      </c>
      <c r="E793" s="679">
        <v>0</v>
      </c>
      <c r="F793" s="678">
        <v>1177157.08</v>
      </c>
      <c r="G793" s="679">
        <v>0</v>
      </c>
      <c r="H793" s="678">
        <v>131892781.91</v>
      </c>
      <c r="I793" s="677" t="s">
        <v>1580</v>
      </c>
    </row>
    <row r="794" spans="1:9" ht="17.100000000000001" customHeight="1">
      <c r="A794" s="677">
        <v>22311705</v>
      </c>
      <c r="B794" s="677" t="s">
        <v>2829</v>
      </c>
      <c r="C794" s="679">
        <v>0</v>
      </c>
      <c r="D794" s="678">
        <v>2774049.99</v>
      </c>
      <c r="E794" s="679">
        <v>0</v>
      </c>
      <c r="F794" s="678">
        <v>1246777.78</v>
      </c>
      <c r="G794" s="679">
        <v>0</v>
      </c>
      <c r="H794" s="678">
        <v>4020827.77</v>
      </c>
      <c r="I794" s="677" t="s">
        <v>2830</v>
      </c>
    </row>
    <row r="795" spans="1:9" ht="17.100000000000001" customHeight="1">
      <c r="A795" s="677">
        <v>223118</v>
      </c>
      <c r="B795" s="677" t="s">
        <v>1581</v>
      </c>
      <c r="C795" s="679">
        <v>0</v>
      </c>
      <c r="D795" s="678">
        <v>31024246.620000001</v>
      </c>
      <c r="E795" s="679">
        <v>0</v>
      </c>
      <c r="F795" s="678">
        <v>8599294.5199999996</v>
      </c>
      <c r="G795" s="679">
        <v>0</v>
      </c>
      <c r="H795" s="678">
        <v>39623541.140000001</v>
      </c>
      <c r="I795" s="677" t="s">
        <v>1582</v>
      </c>
    </row>
    <row r="796" spans="1:9" ht="17.100000000000001" customHeight="1">
      <c r="A796" s="677">
        <v>22311801</v>
      </c>
      <c r="B796" s="677" t="s">
        <v>1581</v>
      </c>
      <c r="C796" s="679">
        <v>0</v>
      </c>
      <c r="D796" s="678">
        <v>31024246.620000001</v>
      </c>
      <c r="E796" s="679">
        <v>0</v>
      </c>
      <c r="F796" s="678">
        <v>8599294.5199999996</v>
      </c>
      <c r="G796" s="679">
        <v>0</v>
      </c>
      <c r="H796" s="678">
        <v>39623541.140000001</v>
      </c>
      <c r="I796" s="677" t="s">
        <v>1583</v>
      </c>
    </row>
    <row r="797" spans="1:9" ht="17.100000000000001" customHeight="1">
      <c r="A797" s="677">
        <v>223199</v>
      </c>
      <c r="B797" s="677" t="s">
        <v>1584</v>
      </c>
      <c r="C797" s="679">
        <v>0</v>
      </c>
      <c r="D797" s="678">
        <v>1187362.8700000001</v>
      </c>
      <c r="E797" s="679">
        <v>820.94</v>
      </c>
      <c r="F797" s="678">
        <v>1645.02</v>
      </c>
      <c r="G797" s="679">
        <v>0</v>
      </c>
      <c r="H797" s="678">
        <v>1188186.95</v>
      </c>
      <c r="I797" s="677" t="s">
        <v>1585</v>
      </c>
    </row>
    <row r="798" spans="1:9" ht="17.100000000000001" customHeight="1">
      <c r="A798" s="677">
        <v>22319999</v>
      </c>
      <c r="B798" s="677" t="s">
        <v>1584</v>
      </c>
      <c r="C798" s="679">
        <v>0</v>
      </c>
      <c r="D798" s="678">
        <v>1187362.8700000001</v>
      </c>
      <c r="E798" s="679">
        <v>820.94</v>
      </c>
      <c r="F798" s="678">
        <v>1645.02</v>
      </c>
      <c r="G798" s="679">
        <v>0</v>
      </c>
      <c r="H798" s="678">
        <v>1188186.95</v>
      </c>
      <c r="I798" s="677" t="s">
        <v>1586</v>
      </c>
    </row>
    <row r="799" spans="1:9" ht="17.100000000000001" customHeight="1">
      <c r="A799" s="677">
        <v>2241</v>
      </c>
      <c r="B799" s="677" t="s">
        <v>1587</v>
      </c>
      <c r="C799" s="679">
        <v>0</v>
      </c>
      <c r="D799" s="678">
        <v>1266816986.99</v>
      </c>
      <c r="E799" s="678">
        <v>111219058252.32001</v>
      </c>
      <c r="F799" s="678">
        <v>111892355729.45</v>
      </c>
      <c r="G799" s="679">
        <v>0</v>
      </c>
      <c r="H799" s="678">
        <v>1940114464.1199999</v>
      </c>
      <c r="I799" s="677" t="s">
        <v>1588</v>
      </c>
    </row>
    <row r="800" spans="1:9" ht="17.100000000000001" customHeight="1">
      <c r="A800" s="677">
        <v>224101</v>
      </c>
      <c r="B800" s="677" t="s">
        <v>797</v>
      </c>
      <c r="C800" s="679">
        <v>0</v>
      </c>
      <c r="D800" s="679">
        <v>0.02</v>
      </c>
      <c r="E800" s="678">
        <v>3637717.68</v>
      </c>
      <c r="F800" s="678">
        <v>3637717.68</v>
      </c>
      <c r="G800" s="679">
        <v>0</v>
      </c>
      <c r="H800" s="679">
        <v>0.02</v>
      </c>
      <c r="I800" s="677" t="s">
        <v>1589</v>
      </c>
    </row>
    <row r="801" spans="1:9" ht="17.100000000000001" customHeight="1">
      <c r="A801" s="677">
        <v>22410199</v>
      </c>
      <c r="B801" s="677" t="s">
        <v>1590</v>
      </c>
      <c r="C801" s="679">
        <v>0</v>
      </c>
      <c r="D801" s="679">
        <v>0.02</v>
      </c>
      <c r="E801" s="678">
        <v>3637717.68</v>
      </c>
      <c r="F801" s="678">
        <v>3637717.68</v>
      </c>
      <c r="G801" s="679">
        <v>0</v>
      </c>
      <c r="H801" s="679">
        <v>0.02</v>
      </c>
      <c r="I801" s="677" t="s">
        <v>1591</v>
      </c>
    </row>
    <row r="802" spans="1:9" ht="17.100000000000001" customHeight="1">
      <c r="A802" s="677">
        <v>224102</v>
      </c>
      <c r="B802" s="677" t="s">
        <v>1592</v>
      </c>
      <c r="C802" s="679">
        <v>0</v>
      </c>
      <c r="D802" s="678">
        <v>4067.82</v>
      </c>
      <c r="E802" s="679">
        <v>0</v>
      </c>
      <c r="F802" s="679">
        <v>0</v>
      </c>
      <c r="G802" s="679">
        <v>0</v>
      </c>
      <c r="H802" s="678">
        <v>4067.82</v>
      </c>
      <c r="I802" s="677" t="s">
        <v>1593</v>
      </c>
    </row>
    <row r="803" spans="1:9" ht="17.100000000000001" customHeight="1">
      <c r="A803" s="677">
        <v>22410201</v>
      </c>
      <c r="B803" s="677" t="s">
        <v>1592</v>
      </c>
      <c r="C803" s="679">
        <v>0</v>
      </c>
      <c r="D803" s="678">
        <v>4067.82</v>
      </c>
      <c r="E803" s="679">
        <v>0</v>
      </c>
      <c r="F803" s="679">
        <v>0</v>
      </c>
      <c r="G803" s="679">
        <v>0</v>
      </c>
      <c r="H803" s="678">
        <v>4067.82</v>
      </c>
      <c r="I803" s="677" t="s">
        <v>1594</v>
      </c>
    </row>
    <row r="804" spans="1:9" ht="17.100000000000001" customHeight="1">
      <c r="A804" s="677">
        <v>224104</v>
      </c>
      <c r="B804" s="677" t="s">
        <v>1595</v>
      </c>
      <c r="C804" s="679">
        <v>0</v>
      </c>
      <c r="D804" s="678">
        <v>613657.62</v>
      </c>
      <c r="E804" s="678">
        <v>2933629.13</v>
      </c>
      <c r="F804" s="678">
        <v>2936652.15</v>
      </c>
      <c r="G804" s="679">
        <v>0</v>
      </c>
      <c r="H804" s="678">
        <v>616680.64</v>
      </c>
      <c r="I804" s="677" t="s">
        <v>1596</v>
      </c>
    </row>
    <row r="805" spans="1:9" ht="17.100000000000001" customHeight="1">
      <c r="A805" s="677">
        <v>22410401</v>
      </c>
      <c r="B805" s="677" t="s">
        <v>1595</v>
      </c>
      <c r="C805" s="679">
        <v>0</v>
      </c>
      <c r="D805" s="678">
        <v>613657.62</v>
      </c>
      <c r="E805" s="678">
        <v>2933629.13</v>
      </c>
      <c r="F805" s="678">
        <v>2936652.15</v>
      </c>
      <c r="G805" s="679">
        <v>0</v>
      </c>
      <c r="H805" s="678">
        <v>616680.64</v>
      </c>
      <c r="I805" s="677" t="s">
        <v>1597</v>
      </c>
    </row>
    <row r="806" spans="1:9" ht="17.100000000000001" customHeight="1">
      <c r="A806" s="677">
        <v>224105</v>
      </c>
      <c r="B806" s="677" t="s">
        <v>1598</v>
      </c>
      <c r="C806" s="679">
        <v>0</v>
      </c>
      <c r="D806" s="678">
        <v>176986.61</v>
      </c>
      <c r="E806" s="678">
        <v>41560</v>
      </c>
      <c r="F806" s="678">
        <v>22650</v>
      </c>
      <c r="G806" s="679">
        <v>0</v>
      </c>
      <c r="H806" s="678">
        <v>158076.60999999999</v>
      </c>
      <c r="I806" s="677" t="s">
        <v>1599</v>
      </c>
    </row>
    <row r="807" spans="1:9" ht="17.100000000000001" customHeight="1">
      <c r="A807" s="677">
        <v>22410501</v>
      </c>
      <c r="B807" s="677" t="s">
        <v>1598</v>
      </c>
      <c r="C807" s="679">
        <v>0</v>
      </c>
      <c r="D807" s="678">
        <v>176986.61</v>
      </c>
      <c r="E807" s="678">
        <v>41560</v>
      </c>
      <c r="F807" s="678">
        <v>22650</v>
      </c>
      <c r="G807" s="679">
        <v>0</v>
      </c>
      <c r="H807" s="678">
        <v>158076.60999999999</v>
      </c>
      <c r="I807" s="677" t="s">
        <v>1600</v>
      </c>
    </row>
    <row r="808" spans="1:9" ht="17.100000000000001" customHeight="1">
      <c r="A808" s="677">
        <v>224106</v>
      </c>
      <c r="B808" s="677" t="s">
        <v>1601</v>
      </c>
      <c r="C808" s="679">
        <v>0</v>
      </c>
      <c r="D808" s="678">
        <v>612682</v>
      </c>
      <c r="E808" s="678">
        <v>612782</v>
      </c>
      <c r="F808" s="678">
        <v>87302</v>
      </c>
      <c r="G808" s="679">
        <v>0</v>
      </c>
      <c r="H808" s="678">
        <v>87202</v>
      </c>
      <c r="I808" s="677" t="s">
        <v>1602</v>
      </c>
    </row>
    <row r="809" spans="1:9" ht="17.100000000000001" customHeight="1">
      <c r="A809" s="677">
        <v>22410601</v>
      </c>
      <c r="B809" s="677" t="s">
        <v>1601</v>
      </c>
      <c r="C809" s="679">
        <v>0</v>
      </c>
      <c r="D809" s="678">
        <v>612682</v>
      </c>
      <c r="E809" s="678">
        <v>612782</v>
      </c>
      <c r="F809" s="678">
        <v>87302</v>
      </c>
      <c r="G809" s="679">
        <v>0</v>
      </c>
      <c r="H809" s="678">
        <v>87202</v>
      </c>
      <c r="I809" s="677" t="s">
        <v>1603</v>
      </c>
    </row>
    <row r="810" spans="1:9" ht="17.100000000000001" customHeight="1">
      <c r="A810" s="677">
        <v>224107</v>
      </c>
      <c r="B810" s="677" t="s">
        <v>809</v>
      </c>
      <c r="C810" s="679">
        <v>0</v>
      </c>
      <c r="D810" s="678">
        <v>230227148.08000001</v>
      </c>
      <c r="E810" s="678">
        <v>35109755300.599998</v>
      </c>
      <c r="F810" s="678">
        <v>35124367980.029999</v>
      </c>
      <c r="G810" s="679">
        <v>0</v>
      </c>
      <c r="H810" s="678">
        <v>244839827.50999999</v>
      </c>
      <c r="I810" s="677" t="s">
        <v>1604</v>
      </c>
    </row>
    <row r="811" spans="1:9" ht="17.100000000000001" customHeight="1">
      <c r="A811" s="677">
        <v>22410701</v>
      </c>
      <c r="B811" s="677" t="s">
        <v>809</v>
      </c>
      <c r="C811" s="679">
        <v>0</v>
      </c>
      <c r="D811" s="678">
        <v>230227148.08000001</v>
      </c>
      <c r="E811" s="678">
        <v>35109755300.599998</v>
      </c>
      <c r="F811" s="678">
        <v>35124367980.029999</v>
      </c>
      <c r="G811" s="679">
        <v>0</v>
      </c>
      <c r="H811" s="678">
        <v>244839827.50999999</v>
      </c>
      <c r="I811" s="677" t="s">
        <v>1605</v>
      </c>
    </row>
    <row r="812" spans="1:9" ht="17.100000000000001" customHeight="1">
      <c r="A812" s="320"/>
      <c r="B812" s="320"/>
      <c r="C812" s="320"/>
      <c r="D812" s="557" t="s">
        <v>4317</v>
      </c>
      <c r="E812" s="320" t="s">
        <v>3751</v>
      </c>
      <c r="F812" s="320"/>
      <c r="G812" s="320"/>
      <c r="H812" s="320"/>
      <c r="I812" s="320"/>
    </row>
    <row r="813" spans="1:9" ht="28.5" customHeight="1">
      <c r="A813" s="671"/>
      <c r="B813" s="671"/>
      <c r="C813" s="671"/>
      <c r="D813" s="671"/>
      <c r="E813" s="671"/>
      <c r="F813" s="671"/>
      <c r="G813" s="671"/>
      <c r="H813" s="671"/>
      <c r="I813" s="671"/>
    </row>
    <row r="814" spans="1:9" ht="22.5">
      <c r="A814" s="320"/>
      <c r="B814" s="320"/>
      <c r="C814" s="672" t="s">
        <v>4316</v>
      </c>
      <c r="D814" s="320"/>
      <c r="E814" s="320"/>
      <c r="F814" s="671"/>
      <c r="G814" s="671"/>
      <c r="H814" s="671"/>
      <c r="I814" s="671"/>
    </row>
    <row r="815" spans="1:9" ht="14.25">
      <c r="A815" s="673" t="s">
        <v>3708</v>
      </c>
      <c r="B815" s="673"/>
      <c r="C815" s="683">
        <v>42551</v>
      </c>
      <c r="D815" s="673"/>
      <c r="E815" s="557" t="s">
        <v>3709</v>
      </c>
      <c r="F815" s="671"/>
      <c r="G815" s="671"/>
      <c r="H815" s="671"/>
      <c r="I815" s="671"/>
    </row>
    <row r="816" spans="1:9">
      <c r="A816" s="676" t="s">
        <v>596</v>
      </c>
      <c r="B816" s="676" t="s">
        <v>597</v>
      </c>
      <c r="C816" s="676" t="s">
        <v>3710</v>
      </c>
      <c r="D816" s="676" t="s">
        <v>3711</v>
      </c>
      <c r="E816" s="676" t="s">
        <v>3712</v>
      </c>
      <c r="F816" s="676" t="s">
        <v>3713</v>
      </c>
      <c r="G816" s="676" t="s">
        <v>3714</v>
      </c>
      <c r="H816" s="676" t="s">
        <v>3715</v>
      </c>
      <c r="I816" s="676" t="s">
        <v>596</v>
      </c>
    </row>
    <row r="817" spans="1:9" ht="28.5" customHeight="1">
      <c r="A817" s="677">
        <v>224108</v>
      </c>
      <c r="B817" s="677" t="s">
        <v>1606</v>
      </c>
      <c r="C817" s="679">
        <v>0</v>
      </c>
      <c r="D817" s="678">
        <v>29689686.710000001</v>
      </c>
      <c r="E817" s="678">
        <v>155102.95000000001</v>
      </c>
      <c r="F817" s="678">
        <v>18894</v>
      </c>
      <c r="G817" s="679">
        <v>0</v>
      </c>
      <c r="H817" s="678">
        <v>29553477.760000002</v>
      </c>
      <c r="I817" s="677" t="s">
        <v>1607</v>
      </c>
    </row>
    <row r="818" spans="1:9" ht="17.100000000000001" customHeight="1">
      <c r="A818" s="677">
        <v>22410801</v>
      </c>
      <c r="B818" s="677" t="s">
        <v>1606</v>
      </c>
      <c r="C818" s="679">
        <v>0</v>
      </c>
      <c r="D818" s="678">
        <v>29689686.710000001</v>
      </c>
      <c r="E818" s="678">
        <v>155102.95000000001</v>
      </c>
      <c r="F818" s="678">
        <v>18894</v>
      </c>
      <c r="G818" s="679">
        <v>0</v>
      </c>
      <c r="H818" s="678">
        <v>29553477.760000002</v>
      </c>
      <c r="I818" s="677" t="s">
        <v>1608</v>
      </c>
    </row>
    <row r="819" spans="1:9" ht="17.100000000000001" customHeight="1">
      <c r="A819" s="677">
        <v>224114</v>
      </c>
      <c r="B819" s="677" t="s">
        <v>1609</v>
      </c>
      <c r="C819" s="679">
        <v>0</v>
      </c>
      <c r="D819" s="678">
        <v>10000000</v>
      </c>
      <c r="E819" s="679">
        <v>0</v>
      </c>
      <c r="F819" s="679">
        <v>0</v>
      </c>
      <c r="G819" s="679">
        <v>0</v>
      </c>
      <c r="H819" s="678">
        <v>10000000</v>
      </c>
      <c r="I819" s="677" t="s">
        <v>1610</v>
      </c>
    </row>
    <row r="820" spans="1:9" ht="17.100000000000001" customHeight="1">
      <c r="A820" s="677">
        <v>22411401</v>
      </c>
      <c r="B820" s="677" t="s">
        <v>1609</v>
      </c>
      <c r="C820" s="679">
        <v>0</v>
      </c>
      <c r="D820" s="678">
        <v>10000000</v>
      </c>
      <c r="E820" s="679">
        <v>0</v>
      </c>
      <c r="F820" s="679">
        <v>0</v>
      </c>
      <c r="G820" s="679">
        <v>0</v>
      </c>
      <c r="H820" s="678">
        <v>10000000</v>
      </c>
      <c r="I820" s="677" t="s">
        <v>1611</v>
      </c>
    </row>
    <row r="821" spans="1:9" ht="17.100000000000001" customHeight="1">
      <c r="A821" s="677">
        <v>224115</v>
      </c>
      <c r="B821" s="677" t="s">
        <v>1612</v>
      </c>
      <c r="C821" s="679">
        <v>0</v>
      </c>
      <c r="D821" s="678">
        <v>7740698.8499999996</v>
      </c>
      <c r="E821" s="678">
        <v>13872</v>
      </c>
      <c r="F821" s="678">
        <v>82969.210000000006</v>
      </c>
      <c r="G821" s="679">
        <v>0</v>
      </c>
      <c r="H821" s="678">
        <v>7809796.0599999996</v>
      </c>
      <c r="I821" s="677" t="s">
        <v>1613</v>
      </c>
    </row>
    <row r="822" spans="1:9" ht="17.100000000000001" customHeight="1">
      <c r="A822" s="677">
        <v>22411501</v>
      </c>
      <c r="B822" s="677" t="s">
        <v>1612</v>
      </c>
      <c r="C822" s="679">
        <v>0</v>
      </c>
      <c r="D822" s="678">
        <v>7740698.8499999996</v>
      </c>
      <c r="E822" s="678">
        <v>13872</v>
      </c>
      <c r="F822" s="678">
        <v>82969.210000000006</v>
      </c>
      <c r="G822" s="679">
        <v>0</v>
      </c>
      <c r="H822" s="678">
        <v>7809796.0599999996</v>
      </c>
      <c r="I822" s="677" t="s">
        <v>1614</v>
      </c>
    </row>
    <row r="823" spans="1:9" ht="17.100000000000001" customHeight="1">
      <c r="A823" s="677">
        <v>224116</v>
      </c>
      <c r="B823" s="677" t="s">
        <v>2687</v>
      </c>
      <c r="C823" s="679">
        <v>0</v>
      </c>
      <c r="D823" s="678">
        <v>1309277.05</v>
      </c>
      <c r="E823" s="678">
        <v>594194.80000000005</v>
      </c>
      <c r="F823" s="678">
        <v>2343126.37</v>
      </c>
      <c r="G823" s="679">
        <v>0</v>
      </c>
      <c r="H823" s="678">
        <v>3058208.62</v>
      </c>
      <c r="I823" s="677" t="s">
        <v>2688</v>
      </c>
    </row>
    <row r="824" spans="1:9" ht="17.100000000000001" customHeight="1">
      <c r="A824" s="677">
        <v>22411601</v>
      </c>
      <c r="B824" s="677" t="s">
        <v>2687</v>
      </c>
      <c r="C824" s="679">
        <v>0</v>
      </c>
      <c r="D824" s="678">
        <v>1309277.05</v>
      </c>
      <c r="E824" s="678">
        <v>594194.80000000005</v>
      </c>
      <c r="F824" s="678">
        <v>2343126.37</v>
      </c>
      <c r="G824" s="679">
        <v>0</v>
      </c>
      <c r="H824" s="678">
        <v>3058208.62</v>
      </c>
      <c r="I824" s="677" t="s">
        <v>2689</v>
      </c>
    </row>
    <row r="825" spans="1:9" ht="17.100000000000001" customHeight="1">
      <c r="A825" s="677">
        <v>224118</v>
      </c>
      <c r="B825" s="677" t="s">
        <v>3837</v>
      </c>
      <c r="C825" s="679">
        <v>0</v>
      </c>
      <c r="D825" s="679">
        <v>0</v>
      </c>
      <c r="E825" s="678">
        <v>766470</v>
      </c>
      <c r="F825" s="678">
        <v>766470</v>
      </c>
      <c r="G825" s="679">
        <v>0</v>
      </c>
      <c r="H825" s="679">
        <v>0</v>
      </c>
      <c r="I825" s="677" t="s">
        <v>3882</v>
      </c>
    </row>
    <row r="826" spans="1:9" ht="17.100000000000001" customHeight="1">
      <c r="A826" s="677">
        <v>22411801</v>
      </c>
      <c r="B826" s="677" t="s">
        <v>3837</v>
      </c>
      <c r="C826" s="679">
        <v>0</v>
      </c>
      <c r="D826" s="679">
        <v>0</v>
      </c>
      <c r="E826" s="678">
        <v>766470</v>
      </c>
      <c r="F826" s="678">
        <v>766470</v>
      </c>
      <c r="G826" s="679">
        <v>0</v>
      </c>
      <c r="H826" s="679">
        <v>0</v>
      </c>
      <c r="I826" s="677" t="s">
        <v>3883</v>
      </c>
    </row>
    <row r="827" spans="1:9" ht="17.100000000000001" customHeight="1">
      <c r="A827" s="677">
        <v>224199</v>
      </c>
      <c r="B827" s="677" t="s">
        <v>1615</v>
      </c>
      <c r="C827" s="679">
        <v>0</v>
      </c>
      <c r="D827" s="678">
        <v>986442782.23000002</v>
      </c>
      <c r="E827" s="678">
        <v>76100547623.160004</v>
      </c>
      <c r="F827" s="678">
        <v>76758091968.009995</v>
      </c>
      <c r="G827" s="679">
        <v>0</v>
      </c>
      <c r="H827" s="678">
        <v>1643987127.0799999</v>
      </c>
      <c r="I827" s="677" t="s">
        <v>1616</v>
      </c>
    </row>
    <row r="828" spans="1:9" ht="17.100000000000001" customHeight="1">
      <c r="A828" s="677">
        <v>22419999</v>
      </c>
      <c r="B828" s="677" t="s">
        <v>1615</v>
      </c>
      <c r="C828" s="679">
        <v>0</v>
      </c>
      <c r="D828" s="678">
        <v>986442782.23000002</v>
      </c>
      <c r="E828" s="678">
        <v>76100547623.160004</v>
      </c>
      <c r="F828" s="678">
        <v>76758091968.009995</v>
      </c>
      <c r="G828" s="679">
        <v>0</v>
      </c>
      <c r="H828" s="678">
        <v>1643987127.0799999</v>
      </c>
      <c r="I828" s="677" t="s">
        <v>1617</v>
      </c>
    </row>
    <row r="829" spans="1:9" ht="17.100000000000001" customHeight="1">
      <c r="A829" s="677">
        <v>2314</v>
      </c>
      <c r="B829" s="677" t="s">
        <v>1618</v>
      </c>
      <c r="C829" s="679">
        <v>0</v>
      </c>
      <c r="D829" s="678">
        <v>156382028824.01001</v>
      </c>
      <c r="E829" s="678">
        <v>242817436.77000001</v>
      </c>
      <c r="F829" s="678">
        <v>184352536.13999999</v>
      </c>
      <c r="G829" s="679">
        <v>0</v>
      </c>
      <c r="H829" s="678">
        <v>156323563923.38</v>
      </c>
      <c r="I829" s="677" t="s">
        <v>1619</v>
      </c>
    </row>
    <row r="830" spans="1:9" ht="17.100000000000001" customHeight="1">
      <c r="A830" s="677">
        <v>231401</v>
      </c>
      <c r="B830" s="677" t="s">
        <v>1620</v>
      </c>
      <c r="C830" s="679">
        <v>0</v>
      </c>
      <c r="D830" s="678">
        <v>116245188350.75</v>
      </c>
      <c r="E830" s="678">
        <v>222292178.63</v>
      </c>
      <c r="F830" s="678">
        <v>12796890.779999999</v>
      </c>
      <c r="G830" s="679">
        <v>0</v>
      </c>
      <c r="H830" s="678">
        <v>116035693062.89999</v>
      </c>
      <c r="I830" s="677" t="s">
        <v>1621</v>
      </c>
    </row>
    <row r="831" spans="1:9" ht="17.100000000000001" customHeight="1">
      <c r="A831" s="677">
        <v>23140101</v>
      </c>
      <c r="B831" s="677" t="s">
        <v>1622</v>
      </c>
      <c r="C831" s="679">
        <v>0</v>
      </c>
      <c r="D831" s="678">
        <v>115019109600</v>
      </c>
      <c r="E831" s="678">
        <v>219960000</v>
      </c>
      <c r="F831" s="679">
        <v>0</v>
      </c>
      <c r="G831" s="679">
        <v>0</v>
      </c>
      <c r="H831" s="678">
        <v>114799149600</v>
      </c>
      <c r="I831" s="677" t="s">
        <v>1623</v>
      </c>
    </row>
    <row r="832" spans="1:9" ht="17.100000000000001" customHeight="1">
      <c r="A832" s="677">
        <v>23140102</v>
      </c>
      <c r="B832" s="677" t="s">
        <v>3465</v>
      </c>
      <c r="C832" s="679">
        <v>0</v>
      </c>
      <c r="D832" s="678">
        <v>1226078750.75</v>
      </c>
      <c r="E832" s="678">
        <v>2332178.63</v>
      </c>
      <c r="F832" s="678">
        <v>12796890.779999999</v>
      </c>
      <c r="G832" s="679">
        <v>0</v>
      </c>
      <c r="H832" s="678">
        <v>1236543462.9000001</v>
      </c>
      <c r="I832" s="677" t="s">
        <v>3466</v>
      </c>
    </row>
    <row r="833" spans="1:9" ht="17.100000000000001" customHeight="1">
      <c r="A833" s="677">
        <v>231402</v>
      </c>
      <c r="B833" s="677" t="s">
        <v>1624</v>
      </c>
      <c r="C833" s="679">
        <v>0</v>
      </c>
      <c r="D833" s="678">
        <v>30522726174.830002</v>
      </c>
      <c r="E833" s="678">
        <v>1774.36</v>
      </c>
      <c r="F833" s="678">
        <v>150000200</v>
      </c>
      <c r="G833" s="679">
        <v>0</v>
      </c>
      <c r="H833" s="678">
        <v>30672724600.470001</v>
      </c>
      <c r="I833" s="677" t="s">
        <v>1625</v>
      </c>
    </row>
    <row r="834" spans="1:9" ht="17.100000000000001" customHeight="1">
      <c r="A834" s="677">
        <v>23140201</v>
      </c>
      <c r="B834" s="677" t="s">
        <v>1626</v>
      </c>
      <c r="C834" s="679">
        <v>0</v>
      </c>
      <c r="D834" s="678">
        <v>87000000</v>
      </c>
      <c r="E834" s="679">
        <v>0</v>
      </c>
      <c r="F834" s="679">
        <v>0</v>
      </c>
      <c r="G834" s="679">
        <v>0</v>
      </c>
      <c r="H834" s="678">
        <v>87000000</v>
      </c>
      <c r="I834" s="677" t="s">
        <v>1627</v>
      </c>
    </row>
    <row r="835" spans="1:9" ht="17.100000000000001" customHeight="1">
      <c r="A835" s="677">
        <v>23140203</v>
      </c>
      <c r="B835" s="677" t="s">
        <v>1628</v>
      </c>
      <c r="C835" s="679">
        <v>0</v>
      </c>
      <c r="D835" s="678">
        <v>578198366.35000002</v>
      </c>
      <c r="E835" s="678">
        <v>1774.36</v>
      </c>
      <c r="F835" s="679">
        <v>0</v>
      </c>
      <c r="G835" s="679">
        <v>0</v>
      </c>
      <c r="H835" s="678">
        <v>578196591.99000001</v>
      </c>
      <c r="I835" s="677" t="s">
        <v>1629</v>
      </c>
    </row>
    <row r="836" spans="1:9" ht="17.100000000000001" customHeight="1">
      <c r="A836" s="677">
        <v>23140205</v>
      </c>
      <c r="B836" s="677" t="s">
        <v>1630</v>
      </c>
      <c r="C836" s="679">
        <v>0</v>
      </c>
      <c r="D836" s="678">
        <v>24207524359.299999</v>
      </c>
      <c r="E836" s="679">
        <v>0</v>
      </c>
      <c r="F836" s="679">
        <v>0</v>
      </c>
      <c r="G836" s="679">
        <v>0</v>
      </c>
      <c r="H836" s="678">
        <v>24207524359.299999</v>
      </c>
      <c r="I836" s="677" t="s">
        <v>1631</v>
      </c>
    </row>
    <row r="837" spans="1:9" ht="17.100000000000001" customHeight="1">
      <c r="A837" s="677">
        <v>23140207</v>
      </c>
      <c r="B837" s="677" t="s">
        <v>1632</v>
      </c>
      <c r="C837" s="679">
        <v>0</v>
      </c>
      <c r="D837" s="678">
        <v>5460185679.5600004</v>
      </c>
      <c r="E837" s="679">
        <v>0</v>
      </c>
      <c r="F837" s="678">
        <v>150000000</v>
      </c>
      <c r="G837" s="679">
        <v>0</v>
      </c>
      <c r="H837" s="678">
        <v>5610185679.5600004</v>
      </c>
      <c r="I837" s="677" t="s">
        <v>1633</v>
      </c>
    </row>
    <row r="838" spans="1:9" ht="17.100000000000001" customHeight="1">
      <c r="A838" s="677">
        <v>23140209</v>
      </c>
      <c r="B838" s="677" t="s">
        <v>1634</v>
      </c>
      <c r="C838" s="679">
        <v>0</v>
      </c>
      <c r="D838" s="678">
        <v>189817769.62</v>
      </c>
      <c r="E838" s="679">
        <v>0</v>
      </c>
      <c r="F838" s="679">
        <v>200</v>
      </c>
      <c r="G838" s="679">
        <v>0</v>
      </c>
      <c r="H838" s="678">
        <v>189817969.62</v>
      </c>
      <c r="I838" s="677" t="s">
        <v>1635</v>
      </c>
    </row>
    <row r="839" spans="1:9" ht="17.100000000000001" customHeight="1">
      <c r="A839" s="677">
        <v>231403</v>
      </c>
      <c r="B839" s="677" t="s">
        <v>1636</v>
      </c>
      <c r="C839" s="679">
        <v>0</v>
      </c>
      <c r="D839" s="678">
        <v>9217806058.2399998</v>
      </c>
      <c r="E839" s="679">
        <v>0</v>
      </c>
      <c r="F839" s="679">
        <v>0</v>
      </c>
      <c r="G839" s="679">
        <v>0</v>
      </c>
      <c r="H839" s="678">
        <v>9217806058.2399998</v>
      </c>
      <c r="I839" s="677" t="s">
        <v>1637</v>
      </c>
    </row>
    <row r="840" spans="1:9" ht="17.100000000000001" customHeight="1">
      <c r="A840" s="677">
        <v>23140301</v>
      </c>
      <c r="B840" s="677" t="s">
        <v>1638</v>
      </c>
      <c r="C840" s="679">
        <v>0</v>
      </c>
      <c r="D840" s="678">
        <v>9217806058.2399998</v>
      </c>
      <c r="E840" s="679">
        <v>0</v>
      </c>
      <c r="F840" s="679">
        <v>0</v>
      </c>
      <c r="G840" s="679">
        <v>0</v>
      </c>
      <c r="H840" s="678">
        <v>9217806058.2399998</v>
      </c>
      <c r="I840" s="677" t="s">
        <v>1639</v>
      </c>
    </row>
    <row r="841" spans="1:9" ht="17.100000000000001" customHeight="1">
      <c r="A841" s="677">
        <v>231407</v>
      </c>
      <c r="B841" s="677" t="s">
        <v>1640</v>
      </c>
      <c r="C841" s="679">
        <v>0</v>
      </c>
      <c r="D841" s="678">
        <v>2193444.66</v>
      </c>
      <c r="E841" s="678">
        <v>4639086.78</v>
      </c>
      <c r="F841" s="678">
        <v>5671048.3600000003</v>
      </c>
      <c r="G841" s="679">
        <v>0</v>
      </c>
      <c r="H841" s="678">
        <v>3225406.24</v>
      </c>
      <c r="I841" s="677" t="s">
        <v>1641</v>
      </c>
    </row>
    <row r="842" spans="1:9" ht="17.100000000000001" customHeight="1">
      <c r="A842" s="677">
        <v>23140701</v>
      </c>
      <c r="B842" s="677" t="s">
        <v>1642</v>
      </c>
      <c r="C842" s="679">
        <v>0</v>
      </c>
      <c r="D842" s="678">
        <v>2193444.66</v>
      </c>
      <c r="E842" s="678">
        <v>4639086.78</v>
      </c>
      <c r="F842" s="678">
        <v>5671048.3600000003</v>
      </c>
      <c r="G842" s="679">
        <v>0</v>
      </c>
      <c r="H842" s="678">
        <v>3225406.24</v>
      </c>
      <c r="I842" s="677" t="s">
        <v>1643</v>
      </c>
    </row>
    <row r="843" spans="1:9" ht="17.100000000000001" customHeight="1">
      <c r="A843" s="677">
        <v>231408</v>
      </c>
      <c r="B843" s="677" t="s">
        <v>1644</v>
      </c>
      <c r="C843" s="679">
        <v>0</v>
      </c>
      <c r="D843" s="679">
        <v>0</v>
      </c>
      <c r="E843" s="678">
        <v>15884397</v>
      </c>
      <c r="F843" s="678">
        <v>15884397</v>
      </c>
      <c r="G843" s="679">
        <v>0</v>
      </c>
      <c r="H843" s="679">
        <v>0</v>
      </c>
      <c r="I843" s="677" t="s">
        <v>1645</v>
      </c>
    </row>
    <row r="844" spans="1:9" ht="17.100000000000001" customHeight="1">
      <c r="A844" s="677">
        <v>23140801</v>
      </c>
      <c r="B844" s="677" t="s">
        <v>1646</v>
      </c>
      <c r="C844" s="679">
        <v>0</v>
      </c>
      <c r="D844" s="679">
        <v>0</v>
      </c>
      <c r="E844" s="678">
        <v>15884397</v>
      </c>
      <c r="F844" s="678">
        <v>15884397</v>
      </c>
      <c r="G844" s="679">
        <v>0</v>
      </c>
      <c r="H844" s="679">
        <v>0</v>
      </c>
      <c r="I844" s="677" t="s">
        <v>1647</v>
      </c>
    </row>
    <row r="845" spans="1:9" ht="17.100000000000001" customHeight="1">
      <c r="A845" s="677">
        <v>231409</v>
      </c>
      <c r="B845" s="677" t="s">
        <v>4000</v>
      </c>
      <c r="C845" s="679">
        <v>0</v>
      </c>
      <c r="D845" s="678">
        <v>394114795.52999997</v>
      </c>
      <c r="E845" s="679">
        <v>0</v>
      </c>
      <c r="F845" s="679">
        <v>0</v>
      </c>
      <c r="G845" s="679">
        <v>0</v>
      </c>
      <c r="H845" s="678">
        <v>394114795.52999997</v>
      </c>
      <c r="I845" s="677" t="s">
        <v>4001</v>
      </c>
    </row>
    <row r="846" spans="1:9" ht="17.100000000000001" customHeight="1">
      <c r="A846" s="677">
        <v>23140901</v>
      </c>
      <c r="B846" s="677" t="s">
        <v>4002</v>
      </c>
      <c r="C846" s="679">
        <v>0</v>
      </c>
      <c r="D846" s="678">
        <v>394114795.52999997</v>
      </c>
      <c r="E846" s="679">
        <v>0</v>
      </c>
      <c r="F846" s="679">
        <v>0</v>
      </c>
      <c r="G846" s="679">
        <v>0</v>
      </c>
      <c r="H846" s="678">
        <v>394114795.52999997</v>
      </c>
      <c r="I846" s="677" t="s">
        <v>4003</v>
      </c>
    </row>
    <row r="847" spans="1:9" ht="17.100000000000001" customHeight="1">
      <c r="A847" s="677">
        <v>2401</v>
      </c>
      <c r="B847" s="677" t="s">
        <v>1648</v>
      </c>
      <c r="C847" s="679">
        <v>0</v>
      </c>
      <c r="D847" s="678">
        <v>21082198.649999999</v>
      </c>
      <c r="E847" s="679">
        <v>63.1</v>
      </c>
      <c r="F847" s="679">
        <v>0</v>
      </c>
      <c r="G847" s="679">
        <v>0</v>
      </c>
      <c r="H847" s="678">
        <v>21082135.550000001</v>
      </c>
      <c r="I847" s="677" t="s">
        <v>1649</v>
      </c>
    </row>
    <row r="848" spans="1:9" ht="17.100000000000001" customHeight="1">
      <c r="A848" s="677">
        <v>240101</v>
      </c>
      <c r="B848" s="677" t="s">
        <v>1648</v>
      </c>
      <c r="C848" s="679">
        <v>0</v>
      </c>
      <c r="D848" s="678">
        <v>21082198.649999999</v>
      </c>
      <c r="E848" s="679">
        <v>63.1</v>
      </c>
      <c r="F848" s="679">
        <v>0</v>
      </c>
      <c r="G848" s="679">
        <v>0</v>
      </c>
      <c r="H848" s="678">
        <v>21082135.550000001</v>
      </c>
      <c r="I848" s="677" t="s">
        <v>1650</v>
      </c>
    </row>
    <row r="849" spans="1:9" ht="17.100000000000001" customHeight="1">
      <c r="A849" s="677">
        <v>24010108</v>
      </c>
      <c r="B849" s="677" t="s">
        <v>1651</v>
      </c>
      <c r="C849" s="679">
        <v>0</v>
      </c>
      <c r="D849" s="678">
        <v>21082198.100000001</v>
      </c>
      <c r="E849" s="679">
        <v>63.1</v>
      </c>
      <c r="F849" s="679">
        <v>0</v>
      </c>
      <c r="G849" s="679">
        <v>0</v>
      </c>
      <c r="H849" s="678">
        <v>21082135</v>
      </c>
      <c r="I849" s="677" t="s">
        <v>1652</v>
      </c>
    </row>
    <row r="850" spans="1:9" ht="17.100000000000001" customHeight="1">
      <c r="A850" s="677">
        <v>24010199</v>
      </c>
      <c r="B850" s="677" t="s">
        <v>1653</v>
      </c>
      <c r="C850" s="679">
        <v>0</v>
      </c>
      <c r="D850" s="679">
        <v>0.55000000000000004</v>
      </c>
      <c r="E850" s="679">
        <v>0</v>
      </c>
      <c r="F850" s="679">
        <v>0</v>
      </c>
      <c r="G850" s="679">
        <v>0</v>
      </c>
      <c r="H850" s="679">
        <v>0.55000000000000004</v>
      </c>
      <c r="I850" s="677" t="s">
        <v>1654</v>
      </c>
    </row>
    <row r="851" spans="1:9" ht="17.100000000000001" customHeight="1">
      <c r="A851" s="320"/>
      <c r="B851" s="320"/>
      <c r="C851" s="320"/>
      <c r="D851" s="557" t="s">
        <v>4317</v>
      </c>
      <c r="E851" s="320" t="s">
        <v>3752</v>
      </c>
      <c r="F851" s="320"/>
      <c r="G851" s="320"/>
      <c r="H851" s="320"/>
      <c r="I851" s="320"/>
    </row>
    <row r="852" spans="1:9" ht="28.5" customHeight="1">
      <c r="A852" s="671"/>
      <c r="B852" s="671"/>
      <c r="C852" s="671"/>
      <c r="D852" s="671"/>
      <c r="E852" s="671"/>
      <c r="F852" s="671"/>
      <c r="G852" s="671"/>
      <c r="H852" s="671"/>
      <c r="I852" s="671"/>
    </row>
    <row r="853" spans="1:9" ht="22.5">
      <c r="A853" s="320"/>
      <c r="B853" s="320"/>
      <c r="C853" s="672" t="s">
        <v>4316</v>
      </c>
      <c r="D853" s="320"/>
      <c r="E853" s="320"/>
      <c r="F853" s="671"/>
      <c r="G853" s="671"/>
      <c r="H853" s="671"/>
      <c r="I853" s="671"/>
    </row>
    <row r="854" spans="1:9" ht="14.25">
      <c r="A854" s="673" t="s">
        <v>3708</v>
      </c>
      <c r="B854" s="673"/>
      <c r="C854" s="683">
        <v>42551</v>
      </c>
      <c r="D854" s="673"/>
      <c r="E854" s="557" t="s">
        <v>3709</v>
      </c>
      <c r="F854" s="671"/>
      <c r="G854" s="671"/>
      <c r="H854" s="671"/>
      <c r="I854" s="671"/>
    </row>
    <row r="855" spans="1:9">
      <c r="A855" s="676" t="s">
        <v>596</v>
      </c>
      <c r="B855" s="676" t="s">
        <v>597</v>
      </c>
      <c r="C855" s="676" t="s">
        <v>3710</v>
      </c>
      <c r="D855" s="676" t="s">
        <v>3711</v>
      </c>
      <c r="E855" s="676" t="s">
        <v>3712</v>
      </c>
      <c r="F855" s="676" t="s">
        <v>3713</v>
      </c>
      <c r="G855" s="676" t="s">
        <v>3714</v>
      </c>
      <c r="H855" s="676" t="s">
        <v>3715</v>
      </c>
      <c r="I855" s="676" t="s">
        <v>596</v>
      </c>
    </row>
    <row r="856" spans="1:9" ht="28.5" customHeight="1">
      <c r="A856" s="677">
        <v>2502</v>
      </c>
      <c r="B856" s="677" t="s">
        <v>141</v>
      </c>
      <c r="C856" s="679">
        <v>0</v>
      </c>
      <c r="D856" s="678">
        <v>7594569157.0799999</v>
      </c>
      <c r="E856" s="679">
        <v>0</v>
      </c>
      <c r="F856" s="678">
        <v>63335.71</v>
      </c>
      <c r="G856" s="679">
        <v>0</v>
      </c>
      <c r="H856" s="678">
        <v>7594632492.79</v>
      </c>
      <c r="I856" s="677" t="s">
        <v>1655</v>
      </c>
    </row>
    <row r="857" spans="1:9" ht="17.100000000000001" customHeight="1">
      <c r="A857" s="677">
        <v>250203</v>
      </c>
      <c r="B857" s="677" t="s">
        <v>1656</v>
      </c>
      <c r="C857" s="679">
        <v>0</v>
      </c>
      <c r="D857" s="678">
        <v>7594569157.0799999</v>
      </c>
      <c r="E857" s="679">
        <v>0</v>
      </c>
      <c r="F857" s="678">
        <v>63335.71</v>
      </c>
      <c r="G857" s="679">
        <v>0</v>
      </c>
      <c r="H857" s="678">
        <v>7594632492.79</v>
      </c>
      <c r="I857" s="677" t="s">
        <v>1657</v>
      </c>
    </row>
    <row r="858" spans="1:9" ht="17.100000000000001" customHeight="1">
      <c r="A858" s="677">
        <v>25020301</v>
      </c>
      <c r="B858" s="677" t="s">
        <v>1658</v>
      </c>
      <c r="C858" s="679">
        <v>0</v>
      </c>
      <c r="D858" s="678">
        <v>7600000000</v>
      </c>
      <c r="E858" s="679">
        <v>0</v>
      </c>
      <c r="F858" s="679">
        <v>0</v>
      </c>
      <c r="G858" s="679">
        <v>0</v>
      </c>
      <c r="H858" s="678">
        <v>7600000000</v>
      </c>
      <c r="I858" s="677" t="s">
        <v>1659</v>
      </c>
    </row>
    <row r="859" spans="1:9" ht="17.100000000000001" customHeight="1">
      <c r="A859" s="677">
        <v>25020302</v>
      </c>
      <c r="B859" s="677" t="s">
        <v>1660</v>
      </c>
      <c r="C859" s="678">
        <v>5430842.9199999999</v>
      </c>
      <c r="D859" s="679">
        <v>0</v>
      </c>
      <c r="E859" s="679">
        <v>0</v>
      </c>
      <c r="F859" s="678">
        <v>63335.71</v>
      </c>
      <c r="G859" s="678">
        <v>5367507.21</v>
      </c>
      <c r="H859" s="679">
        <v>0</v>
      </c>
      <c r="I859" s="677" t="s">
        <v>1661</v>
      </c>
    </row>
    <row r="860" spans="1:9" ht="17.100000000000001" customHeight="1">
      <c r="A860" s="677">
        <v>2503</v>
      </c>
      <c r="B860" s="677" t="s">
        <v>1662</v>
      </c>
      <c r="C860" s="679">
        <v>0</v>
      </c>
      <c r="D860" s="678">
        <v>81900930154.309998</v>
      </c>
      <c r="E860" s="678">
        <v>500000000</v>
      </c>
      <c r="F860" s="678">
        <v>171810071.52000001</v>
      </c>
      <c r="G860" s="679">
        <v>0</v>
      </c>
      <c r="H860" s="678">
        <v>81572740225.830002</v>
      </c>
      <c r="I860" s="677" t="s">
        <v>1663</v>
      </c>
    </row>
    <row r="861" spans="1:9" ht="17.100000000000001" customHeight="1">
      <c r="A861" s="677">
        <v>250302</v>
      </c>
      <c r="B861" s="677" t="s">
        <v>2690</v>
      </c>
      <c r="C861" s="679">
        <v>0</v>
      </c>
      <c r="D861" s="678">
        <v>24203688731.849998</v>
      </c>
      <c r="E861" s="678">
        <v>500000000</v>
      </c>
      <c r="F861" s="678">
        <v>53341525.229999997</v>
      </c>
      <c r="G861" s="679">
        <v>0</v>
      </c>
      <c r="H861" s="678">
        <v>23757030257.080002</v>
      </c>
      <c r="I861" s="677" t="s">
        <v>2691</v>
      </c>
    </row>
    <row r="862" spans="1:9" ht="17.100000000000001" customHeight="1">
      <c r="A862" s="677">
        <v>25030201</v>
      </c>
      <c r="B862" s="677" t="s">
        <v>4325</v>
      </c>
      <c r="C862" s="679">
        <v>0</v>
      </c>
      <c r="D862" s="678">
        <v>24580000000</v>
      </c>
      <c r="E862" s="678">
        <v>500000000</v>
      </c>
      <c r="F862" s="679">
        <v>0</v>
      </c>
      <c r="G862" s="679">
        <v>0</v>
      </c>
      <c r="H862" s="678">
        <v>24080000000</v>
      </c>
      <c r="I862" s="677" t="s">
        <v>2692</v>
      </c>
    </row>
    <row r="863" spans="1:9" ht="17.100000000000001" customHeight="1">
      <c r="A863" s="677">
        <v>25030202</v>
      </c>
      <c r="B863" s="677" t="s">
        <v>4326</v>
      </c>
      <c r="C863" s="678">
        <v>376311268.14999998</v>
      </c>
      <c r="D863" s="679">
        <v>0</v>
      </c>
      <c r="E863" s="679">
        <v>0</v>
      </c>
      <c r="F863" s="678">
        <v>53341525.229999997</v>
      </c>
      <c r="G863" s="678">
        <v>322969742.92000002</v>
      </c>
      <c r="H863" s="679">
        <v>0</v>
      </c>
      <c r="I863" s="677" t="s">
        <v>4006</v>
      </c>
    </row>
    <row r="864" spans="1:9" ht="17.100000000000001" customHeight="1">
      <c r="A864" s="677">
        <v>250399</v>
      </c>
      <c r="B864" s="677" t="s">
        <v>4327</v>
      </c>
      <c r="C864" s="679">
        <v>0</v>
      </c>
      <c r="D864" s="678">
        <v>57697241422.459999</v>
      </c>
      <c r="E864" s="679">
        <v>0</v>
      </c>
      <c r="F864" s="678">
        <v>118468546.29000001</v>
      </c>
      <c r="G864" s="679">
        <v>0</v>
      </c>
      <c r="H864" s="678">
        <v>57815709968.75</v>
      </c>
      <c r="I864" s="677" t="s">
        <v>1664</v>
      </c>
    </row>
    <row r="865" spans="1:9" ht="17.100000000000001" customHeight="1">
      <c r="A865" s="677">
        <v>25039901</v>
      </c>
      <c r="B865" s="677" t="s">
        <v>4328</v>
      </c>
      <c r="C865" s="679">
        <v>0</v>
      </c>
      <c r="D865" s="678">
        <v>58630000000</v>
      </c>
      <c r="E865" s="679">
        <v>0</v>
      </c>
      <c r="F865" s="679">
        <v>0</v>
      </c>
      <c r="G865" s="679">
        <v>0</v>
      </c>
      <c r="H865" s="678">
        <v>58630000000</v>
      </c>
      <c r="I865" s="677" t="s">
        <v>1665</v>
      </c>
    </row>
    <row r="866" spans="1:9" ht="17.100000000000001" customHeight="1">
      <c r="A866" s="677">
        <v>25039902</v>
      </c>
      <c r="B866" s="677" t="s">
        <v>4329</v>
      </c>
      <c r="C866" s="678">
        <v>932758577.53999996</v>
      </c>
      <c r="D866" s="679">
        <v>0</v>
      </c>
      <c r="E866" s="679">
        <v>0</v>
      </c>
      <c r="F866" s="678">
        <v>118468546.29000001</v>
      </c>
      <c r="G866" s="678">
        <v>814290031.25</v>
      </c>
      <c r="H866" s="679">
        <v>0</v>
      </c>
      <c r="I866" s="677" t="s">
        <v>4007</v>
      </c>
    </row>
    <row r="867" spans="1:9" ht="17.100000000000001" customHeight="1">
      <c r="A867" s="677">
        <v>2801</v>
      </c>
      <c r="B867" s="677" t="s">
        <v>1666</v>
      </c>
      <c r="C867" s="679">
        <v>0</v>
      </c>
      <c r="D867" s="678">
        <v>27980000</v>
      </c>
      <c r="E867" s="679">
        <v>0</v>
      </c>
      <c r="F867" s="679">
        <v>0</v>
      </c>
      <c r="G867" s="679">
        <v>0</v>
      </c>
      <c r="H867" s="678">
        <v>27980000</v>
      </c>
      <c r="I867" s="677" t="s">
        <v>1667</v>
      </c>
    </row>
    <row r="868" spans="1:9" ht="17.100000000000001" customHeight="1">
      <c r="A868" s="677">
        <v>280101</v>
      </c>
      <c r="B868" s="677" t="s">
        <v>1666</v>
      </c>
      <c r="C868" s="679">
        <v>0</v>
      </c>
      <c r="D868" s="678">
        <v>27980000</v>
      </c>
      <c r="E868" s="679">
        <v>0</v>
      </c>
      <c r="F868" s="679">
        <v>0</v>
      </c>
      <c r="G868" s="679">
        <v>0</v>
      </c>
      <c r="H868" s="678">
        <v>27980000</v>
      </c>
      <c r="I868" s="677" t="s">
        <v>1668</v>
      </c>
    </row>
    <row r="869" spans="1:9" ht="17.100000000000001" customHeight="1">
      <c r="A869" s="677">
        <v>28010101</v>
      </c>
      <c r="B869" s="677" t="s">
        <v>1666</v>
      </c>
      <c r="C869" s="679">
        <v>0</v>
      </c>
      <c r="D869" s="678">
        <v>27980000</v>
      </c>
      <c r="E869" s="679">
        <v>0</v>
      </c>
      <c r="F869" s="679">
        <v>0</v>
      </c>
      <c r="G869" s="679">
        <v>0</v>
      </c>
      <c r="H869" s="678">
        <v>27980000</v>
      </c>
      <c r="I869" s="677" t="s">
        <v>1669</v>
      </c>
    </row>
    <row r="870" spans="1:9" ht="17.100000000000001" customHeight="1">
      <c r="A870" s="677"/>
      <c r="B870" s="684" t="s">
        <v>3758</v>
      </c>
      <c r="C870" s="678">
        <v>1314500688.6099999</v>
      </c>
      <c r="D870" s="678">
        <v>708748388001.73999</v>
      </c>
      <c r="E870" s="678">
        <v>220352022383.20999</v>
      </c>
      <c r="F870" s="678">
        <v>209877893385.20999</v>
      </c>
      <c r="G870" s="678">
        <v>1142627281.3800001</v>
      </c>
      <c r="H870" s="678">
        <v>698102385596.51001</v>
      </c>
      <c r="I870" s="677" t="s">
        <v>1125</v>
      </c>
    </row>
    <row r="871" spans="1:9" ht="17.100000000000001" customHeight="1">
      <c r="A871" s="320"/>
      <c r="B871" s="320"/>
      <c r="C871" s="320"/>
      <c r="D871" s="557" t="s">
        <v>4317</v>
      </c>
      <c r="E871" s="320" t="s">
        <v>3759</v>
      </c>
      <c r="F871" s="320"/>
      <c r="G871" s="320"/>
      <c r="H871" s="320"/>
      <c r="I871" s="320"/>
    </row>
    <row r="872" spans="1:9" ht="17.100000000000001" customHeight="1">
      <c r="A872" s="671"/>
      <c r="B872" s="671"/>
      <c r="C872" s="671"/>
      <c r="D872" s="671"/>
      <c r="E872" s="671"/>
      <c r="F872" s="671"/>
      <c r="G872" s="671"/>
      <c r="H872" s="671"/>
      <c r="I872" s="671"/>
    </row>
    <row r="873" spans="1:9" ht="17.100000000000001" customHeight="1">
      <c r="A873" s="320"/>
      <c r="B873" s="320"/>
      <c r="C873" s="672" t="s">
        <v>4316</v>
      </c>
      <c r="D873" s="320"/>
      <c r="E873" s="320"/>
      <c r="F873" s="671"/>
      <c r="G873" s="671"/>
      <c r="H873" s="671"/>
      <c r="I873" s="671"/>
    </row>
    <row r="874" spans="1:9" ht="17.100000000000001" customHeight="1">
      <c r="A874" s="673" t="s">
        <v>3708</v>
      </c>
      <c r="B874" s="673"/>
      <c r="C874" s="683">
        <v>42551</v>
      </c>
      <c r="D874" s="673"/>
      <c r="E874" s="557" t="s">
        <v>3709</v>
      </c>
      <c r="F874" s="671"/>
      <c r="G874" s="671"/>
      <c r="H874" s="671"/>
      <c r="I874" s="671"/>
    </row>
    <row r="875" spans="1:9" ht="17.100000000000001" customHeight="1">
      <c r="A875" s="676" t="s">
        <v>596</v>
      </c>
      <c r="B875" s="676" t="s">
        <v>597</v>
      </c>
      <c r="C875" s="676" t="s">
        <v>3710</v>
      </c>
      <c r="D875" s="676" t="s">
        <v>3711</v>
      </c>
      <c r="E875" s="676" t="s">
        <v>3712</v>
      </c>
      <c r="F875" s="676" t="s">
        <v>3713</v>
      </c>
      <c r="G875" s="676" t="s">
        <v>3714</v>
      </c>
      <c r="H875" s="676" t="s">
        <v>3715</v>
      </c>
      <c r="I875" s="676" t="s">
        <v>596</v>
      </c>
    </row>
    <row r="876" spans="1:9" ht="28.5" customHeight="1">
      <c r="A876" s="677">
        <v>3031</v>
      </c>
      <c r="B876" s="677" t="s">
        <v>1670</v>
      </c>
      <c r="C876" s="678">
        <v>681476282.91999996</v>
      </c>
      <c r="D876" s="679">
        <v>0</v>
      </c>
      <c r="E876" s="678">
        <v>276199409077.58002</v>
      </c>
      <c r="F876" s="678">
        <v>277217148619.40997</v>
      </c>
      <c r="G876" s="679">
        <v>0</v>
      </c>
      <c r="H876" s="678">
        <v>336263258.91000003</v>
      </c>
      <c r="I876" s="677" t="s">
        <v>1671</v>
      </c>
    </row>
    <row r="877" spans="1:9">
      <c r="A877" s="677">
        <v>303101</v>
      </c>
      <c r="B877" s="677" t="s">
        <v>3884</v>
      </c>
      <c r="C877" s="678">
        <v>576966799.77999997</v>
      </c>
      <c r="D877" s="679">
        <v>0</v>
      </c>
      <c r="E877" s="678">
        <v>123029835114.95</v>
      </c>
      <c r="F877" s="678">
        <v>123715858661.72</v>
      </c>
      <c r="G877" s="679">
        <v>0</v>
      </c>
      <c r="H877" s="678">
        <v>109056746.98999999</v>
      </c>
      <c r="I877" s="677" t="s">
        <v>3885</v>
      </c>
    </row>
    <row r="878" spans="1:9" ht="24">
      <c r="A878" s="677">
        <v>30310101</v>
      </c>
      <c r="B878" s="677" t="s">
        <v>3884</v>
      </c>
      <c r="C878" s="678">
        <v>576966799.77999997</v>
      </c>
      <c r="D878" s="679">
        <v>0</v>
      </c>
      <c r="E878" s="678">
        <v>123029835114.95</v>
      </c>
      <c r="F878" s="678">
        <v>123715858661.72</v>
      </c>
      <c r="G878" s="679">
        <v>0</v>
      </c>
      <c r="H878" s="678">
        <v>109056746.98999999</v>
      </c>
      <c r="I878" s="677" t="s">
        <v>3886</v>
      </c>
    </row>
    <row r="879" spans="1:9">
      <c r="A879" s="677">
        <v>303102</v>
      </c>
      <c r="B879" s="677" t="s">
        <v>1672</v>
      </c>
      <c r="C879" s="678">
        <v>29591984.5</v>
      </c>
      <c r="D879" s="679">
        <v>0</v>
      </c>
      <c r="E879" s="678">
        <v>350159035.88</v>
      </c>
      <c r="F879" s="678">
        <v>319485968.23000002</v>
      </c>
      <c r="G879" s="678">
        <v>60265052.149999999</v>
      </c>
      <c r="H879" s="679">
        <v>0</v>
      </c>
      <c r="I879" s="677" t="s">
        <v>1673</v>
      </c>
    </row>
    <row r="880" spans="1:9" ht="28.5" customHeight="1">
      <c r="A880" s="677">
        <v>30310201</v>
      </c>
      <c r="B880" s="677" t="s">
        <v>1674</v>
      </c>
      <c r="C880" s="678">
        <v>29591984.5</v>
      </c>
      <c r="D880" s="679">
        <v>0</v>
      </c>
      <c r="E880" s="678">
        <v>350159035.88</v>
      </c>
      <c r="F880" s="678">
        <v>319485968.23000002</v>
      </c>
      <c r="G880" s="678">
        <v>60265052.149999999</v>
      </c>
      <c r="H880" s="679">
        <v>0</v>
      </c>
      <c r="I880" s="677" t="s">
        <v>1675</v>
      </c>
    </row>
    <row r="881" spans="1:9" ht="17.100000000000001" customHeight="1">
      <c r="A881" s="677">
        <v>303103</v>
      </c>
      <c r="B881" s="677" t="s">
        <v>1676</v>
      </c>
      <c r="C881" s="678">
        <v>633557.99</v>
      </c>
      <c r="D881" s="679">
        <v>0</v>
      </c>
      <c r="E881" s="678">
        <v>1777878802.95</v>
      </c>
      <c r="F881" s="678">
        <v>2231303479.4000001</v>
      </c>
      <c r="G881" s="679">
        <v>0</v>
      </c>
      <c r="H881" s="678">
        <v>452791118.45999998</v>
      </c>
      <c r="I881" s="677" t="s">
        <v>1677</v>
      </c>
    </row>
    <row r="882" spans="1:9" ht="17.100000000000001" customHeight="1">
      <c r="A882" s="677">
        <v>30310301</v>
      </c>
      <c r="B882" s="677" t="s">
        <v>1676</v>
      </c>
      <c r="C882" s="678">
        <v>633557.99</v>
      </c>
      <c r="D882" s="679">
        <v>0</v>
      </c>
      <c r="E882" s="678">
        <v>1777878802.95</v>
      </c>
      <c r="F882" s="678">
        <v>2231303479.4000001</v>
      </c>
      <c r="G882" s="679">
        <v>0</v>
      </c>
      <c r="H882" s="678">
        <v>452791118.45999998</v>
      </c>
      <c r="I882" s="677" t="s">
        <v>1678</v>
      </c>
    </row>
    <row r="883" spans="1:9" ht="17.100000000000001" customHeight="1">
      <c r="A883" s="677">
        <v>303104</v>
      </c>
      <c r="B883" s="677" t="s">
        <v>1679</v>
      </c>
      <c r="C883" s="678">
        <v>207190876.19999999</v>
      </c>
      <c r="D883" s="679">
        <v>0</v>
      </c>
      <c r="E883" s="678">
        <v>475938245.55000001</v>
      </c>
      <c r="F883" s="678">
        <v>483929412.81999999</v>
      </c>
      <c r="G883" s="678">
        <v>199199708.93000001</v>
      </c>
      <c r="H883" s="679">
        <v>0</v>
      </c>
      <c r="I883" s="677" t="s">
        <v>1680</v>
      </c>
    </row>
    <row r="884" spans="1:9" ht="17.100000000000001" customHeight="1">
      <c r="A884" s="677">
        <v>30310401</v>
      </c>
      <c r="B884" s="677" t="s">
        <v>1681</v>
      </c>
      <c r="C884" s="678">
        <v>207190876.19999999</v>
      </c>
      <c r="D884" s="679">
        <v>0</v>
      </c>
      <c r="E884" s="678">
        <v>475938245.55000001</v>
      </c>
      <c r="F884" s="678">
        <v>483929412.81999999</v>
      </c>
      <c r="G884" s="678">
        <v>199199708.93000001</v>
      </c>
      <c r="H884" s="679">
        <v>0</v>
      </c>
      <c r="I884" s="677" t="s">
        <v>1682</v>
      </c>
    </row>
    <row r="885" spans="1:9" ht="17.100000000000001" customHeight="1">
      <c r="A885" s="677">
        <v>303106</v>
      </c>
      <c r="B885" s="677" t="s">
        <v>3887</v>
      </c>
      <c r="C885" s="679">
        <v>0</v>
      </c>
      <c r="D885" s="678">
        <v>38109915.859999999</v>
      </c>
      <c r="E885" s="678">
        <v>241749637</v>
      </c>
      <c r="F885" s="678">
        <v>225972887.37</v>
      </c>
      <c r="G885" s="679">
        <v>0</v>
      </c>
      <c r="H885" s="678">
        <v>22333166.23</v>
      </c>
      <c r="I885" s="677" t="s">
        <v>3888</v>
      </c>
    </row>
    <row r="886" spans="1:9" ht="17.100000000000001" customHeight="1">
      <c r="A886" s="677">
        <v>30310601</v>
      </c>
      <c r="B886" s="677" t="s">
        <v>3889</v>
      </c>
      <c r="C886" s="679">
        <v>0</v>
      </c>
      <c r="D886" s="679">
        <v>0</v>
      </c>
      <c r="E886" s="678">
        <v>114452437.78</v>
      </c>
      <c r="F886" s="678">
        <v>114452437.78</v>
      </c>
      <c r="G886" s="679">
        <v>0</v>
      </c>
      <c r="H886" s="679">
        <v>0</v>
      </c>
      <c r="I886" s="677" t="s">
        <v>3890</v>
      </c>
    </row>
    <row r="887" spans="1:9" ht="17.100000000000001" customHeight="1">
      <c r="A887" s="677">
        <v>30310602</v>
      </c>
      <c r="B887" s="677" t="s">
        <v>3891</v>
      </c>
      <c r="C887" s="679">
        <v>0</v>
      </c>
      <c r="D887" s="678">
        <v>18898896.870000001</v>
      </c>
      <c r="E887" s="678">
        <v>8238827.5599999996</v>
      </c>
      <c r="F887" s="678">
        <v>7785272.3399999999</v>
      </c>
      <c r="G887" s="679">
        <v>0</v>
      </c>
      <c r="H887" s="678">
        <v>18445341.649999999</v>
      </c>
      <c r="I887" s="677" t="s">
        <v>3892</v>
      </c>
    </row>
    <row r="888" spans="1:9" ht="17.100000000000001" customHeight="1">
      <c r="A888" s="677">
        <v>30310603</v>
      </c>
      <c r="B888" s="677" t="s">
        <v>3893</v>
      </c>
      <c r="C888" s="679">
        <v>0</v>
      </c>
      <c r="D888" s="679">
        <v>0</v>
      </c>
      <c r="E888" s="678">
        <v>18375621.77</v>
      </c>
      <c r="F888" s="678">
        <v>18375621.77</v>
      </c>
      <c r="G888" s="679">
        <v>0</v>
      </c>
      <c r="H888" s="679">
        <v>0</v>
      </c>
      <c r="I888" s="677" t="s">
        <v>3894</v>
      </c>
    </row>
    <row r="889" spans="1:9" ht="17.100000000000001" customHeight="1">
      <c r="A889" s="677">
        <v>30310604</v>
      </c>
      <c r="B889" s="677" t="s">
        <v>3895</v>
      </c>
      <c r="C889" s="679">
        <v>0</v>
      </c>
      <c r="D889" s="678">
        <v>19232167.989999998</v>
      </c>
      <c r="E889" s="678">
        <v>83005131.569999993</v>
      </c>
      <c r="F889" s="678">
        <v>67660788.159999996</v>
      </c>
      <c r="G889" s="679">
        <v>0</v>
      </c>
      <c r="H889" s="678">
        <v>3887824.58</v>
      </c>
      <c r="I889" s="677" t="s">
        <v>3896</v>
      </c>
    </row>
    <row r="890" spans="1:9" ht="17.100000000000001" customHeight="1">
      <c r="A890" s="677">
        <v>30310605</v>
      </c>
      <c r="B890" s="677" t="s">
        <v>3897</v>
      </c>
      <c r="C890" s="678">
        <v>21149</v>
      </c>
      <c r="D890" s="679">
        <v>0</v>
      </c>
      <c r="E890" s="678">
        <v>2994925.7</v>
      </c>
      <c r="F890" s="678">
        <v>3016074.7</v>
      </c>
      <c r="G890" s="679">
        <v>0</v>
      </c>
      <c r="H890" s="679">
        <v>0</v>
      </c>
      <c r="I890" s="677" t="s">
        <v>3898</v>
      </c>
    </row>
    <row r="891" spans="1:9" ht="17.100000000000001" customHeight="1">
      <c r="A891" s="677">
        <v>30310606</v>
      </c>
      <c r="B891" s="677" t="s">
        <v>3899</v>
      </c>
      <c r="C891" s="679">
        <v>0</v>
      </c>
      <c r="D891" s="679">
        <v>0</v>
      </c>
      <c r="E891" s="678">
        <v>14682692.619999999</v>
      </c>
      <c r="F891" s="678">
        <v>14682692.619999999</v>
      </c>
      <c r="G891" s="679">
        <v>0</v>
      </c>
      <c r="H891" s="679">
        <v>0</v>
      </c>
      <c r="I891" s="677" t="s">
        <v>3900</v>
      </c>
    </row>
    <row r="892" spans="1:9" ht="17.100000000000001" customHeight="1">
      <c r="A892" s="677">
        <v>303107</v>
      </c>
      <c r="B892" s="677" t="s">
        <v>1683</v>
      </c>
      <c r="C892" s="679">
        <v>0</v>
      </c>
      <c r="D892" s="678">
        <v>99094829.030000001</v>
      </c>
      <c r="E892" s="678">
        <v>778564776.45000005</v>
      </c>
      <c r="F892" s="678">
        <v>749297433.59000003</v>
      </c>
      <c r="G892" s="679">
        <v>0</v>
      </c>
      <c r="H892" s="678">
        <v>69827486.170000002</v>
      </c>
      <c r="I892" s="677" t="s">
        <v>1684</v>
      </c>
    </row>
    <row r="893" spans="1:9" ht="17.100000000000001" customHeight="1">
      <c r="A893" s="677">
        <v>30310701</v>
      </c>
      <c r="B893" s="677" t="s">
        <v>1685</v>
      </c>
      <c r="C893" s="679">
        <v>0</v>
      </c>
      <c r="D893" s="678">
        <v>1909953677.6500001</v>
      </c>
      <c r="E893" s="678">
        <v>319238625.64999998</v>
      </c>
      <c r="F893" s="678">
        <v>318245419.60000002</v>
      </c>
      <c r="G893" s="679">
        <v>0</v>
      </c>
      <c r="H893" s="678">
        <v>1908960471.5999999</v>
      </c>
      <c r="I893" s="677" t="s">
        <v>1686</v>
      </c>
    </row>
    <row r="894" spans="1:9" ht="17.100000000000001" customHeight="1">
      <c r="A894" s="677">
        <v>30310703</v>
      </c>
      <c r="B894" s="677" t="s">
        <v>1687</v>
      </c>
      <c r="C894" s="678">
        <v>1810858848.6199999</v>
      </c>
      <c r="D894" s="679">
        <v>0</v>
      </c>
      <c r="E894" s="678">
        <v>459326150.80000001</v>
      </c>
      <c r="F894" s="678">
        <v>431052013.99000001</v>
      </c>
      <c r="G894" s="678">
        <v>1839132985.4300001</v>
      </c>
      <c r="H894" s="679">
        <v>0</v>
      </c>
      <c r="I894" s="677" t="s">
        <v>1688</v>
      </c>
    </row>
    <row r="895" spans="1:9" ht="17.100000000000001" customHeight="1">
      <c r="A895" s="677">
        <v>303108</v>
      </c>
      <c r="B895" s="677" t="s">
        <v>3901</v>
      </c>
      <c r="C895" s="679">
        <v>0.1</v>
      </c>
      <c r="D895" s="679">
        <v>0</v>
      </c>
      <c r="E895" s="678">
        <v>85787300164.039993</v>
      </c>
      <c r="F895" s="678">
        <v>85787300164.139999</v>
      </c>
      <c r="G895" s="679">
        <v>0</v>
      </c>
      <c r="H895" s="679">
        <v>0</v>
      </c>
      <c r="I895" s="677" t="s">
        <v>3902</v>
      </c>
    </row>
    <row r="896" spans="1:9" ht="17.100000000000001" customHeight="1">
      <c r="A896" s="677">
        <v>30310801</v>
      </c>
      <c r="B896" s="677" t="s">
        <v>3903</v>
      </c>
      <c r="C896" s="679">
        <v>0.1</v>
      </c>
      <c r="D896" s="679">
        <v>0</v>
      </c>
      <c r="E896" s="678">
        <v>85787300164.039993</v>
      </c>
      <c r="F896" s="678">
        <v>85787300164.139999</v>
      </c>
      <c r="G896" s="679">
        <v>0</v>
      </c>
      <c r="H896" s="679">
        <v>0</v>
      </c>
      <c r="I896" s="677" t="s">
        <v>3904</v>
      </c>
    </row>
    <row r="897" spans="1:9" ht="17.100000000000001" customHeight="1">
      <c r="A897" s="677">
        <v>303111</v>
      </c>
      <c r="B897" s="677" t="s">
        <v>2831</v>
      </c>
      <c r="C897" s="679">
        <v>0</v>
      </c>
      <c r="D897" s="678">
        <v>9273601.9900000002</v>
      </c>
      <c r="E897" s="678">
        <v>392914692.62</v>
      </c>
      <c r="F897" s="678">
        <v>339152165.57999998</v>
      </c>
      <c r="G897" s="678">
        <v>44488925.049999997</v>
      </c>
      <c r="H897" s="679">
        <v>0</v>
      </c>
      <c r="I897" s="677" t="s">
        <v>2832</v>
      </c>
    </row>
    <row r="898" spans="1:9" ht="17.100000000000001" customHeight="1">
      <c r="A898" s="677">
        <v>30311101</v>
      </c>
      <c r="B898" s="677" t="s">
        <v>2831</v>
      </c>
      <c r="C898" s="679">
        <v>0</v>
      </c>
      <c r="D898" s="678">
        <v>9273601.9900000002</v>
      </c>
      <c r="E898" s="678">
        <v>392914692.62</v>
      </c>
      <c r="F898" s="678">
        <v>339152165.57999998</v>
      </c>
      <c r="G898" s="678">
        <v>44488925.049999997</v>
      </c>
      <c r="H898" s="679">
        <v>0</v>
      </c>
      <c r="I898" s="677" t="s">
        <v>2833</v>
      </c>
    </row>
    <row r="899" spans="1:9" ht="17.100000000000001" customHeight="1">
      <c r="A899" s="677">
        <v>303112</v>
      </c>
      <c r="B899" s="677" t="s">
        <v>2834</v>
      </c>
      <c r="C899" s="679">
        <v>0</v>
      </c>
      <c r="D899" s="678">
        <v>186803.49</v>
      </c>
      <c r="E899" s="678">
        <v>188486.68</v>
      </c>
      <c r="F899" s="678">
        <v>243924.57</v>
      </c>
      <c r="G899" s="679">
        <v>0</v>
      </c>
      <c r="H899" s="678">
        <v>242241.38</v>
      </c>
      <c r="I899" s="677" t="s">
        <v>2835</v>
      </c>
    </row>
    <row r="900" spans="1:9" ht="17.100000000000001" customHeight="1">
      <c r="A900" s="677">
        <v>30311201</v>
      </c>
      <c r="B900" s="677" t="s">
        <v>2836</v>
      </c>
      <c r="C900" s="679">
        <v>0</v>
      </c>
      <c r="D900" s="678">
        <v>22606.48</v>
      </c>
      <c r="E900" s="678">
        <v>22606.48</v>
      </c>
      <c r="F900" s="679">
        <v>0</v>
      </c>
      <c r="G900" s="679">
        <v>0</v>
      </c>
      <c r="H900" s="679">
        <v>0</v>
      </c>
      <c r="I900" s="677" t="s">
        <v>2837</v>
      </c>
    </row>
    <row r="901" spans="1:9" ht="17.100000000000001" customHeight="1">
      <c r="A901" s="677">
        <v>30311202</v>
      </c>
      <c r="B901" s="677" t="s">
        <v>2838</v>
      </c>
      <c r="C901" s="679">
        <v>0</v>
      </c>
      <c r="D901" s="678">
        <v>164202.67000000001</v>
      </c>
      <c r="E901" s="678">
        <v>165880.20000000001</v>
      </c>
      <c r="F901" s="678">
        <v>243918.91</v>
      </c>
      <c r="G901" s="679">
        <v>0</v>
      </c>
      <c r="H901" s="678">
        <v>242241.38</v>
      </c>
      <c r="I901" s="677" t="s">
        <v>2839</v>
      </c>
    </row>
    <row r="902" spans="1:9" ht="17.100000000000001" customHeight="1">
      <c r="A902" s="677">
        <v>30311203</v>
      </c>
      <c r="B902" s="677" t="s">
        <v>3905</v>
      </c>
      <c r="C902" s="679">
        <v>5.66</v>
      </c>
      <c r="D902" s="679">
        <v>0</v>
      </c>
      <c r="E902" s="679">
        <v>0</v>
      </c>
      <c r="F902" s="679">
        <v>5.66</v>
      </c>
      <c r="G902" s="679">
        <v>0</v>
      </c>
      <c r="H902" s="679">
        <v>0</v>
      </c>
      <c r="I902" s="677" t="s">
        <v>3906</v>
      </c>
    </row>
    <row r="903" spans="1:9" ht="17.100000000000001" customHeight="1">
      <c r="A903" s="677">
        <v>303199</v>
      </c>
      <c r="B903" s="677" t="s">
        <v>1689</v>
      </c>
      <c r="C903" s="678">
        <v>13758214.720000001</v>
      </c>
      <c r="D903" s="679">
        <v>0</v>
      </c>
      <c r="E903" s="678">
        <v>63364880121.459999</v>
      </c>
      <c r="F903" s="678">
        <v>63364604521.989998</v>
      </c>
      <c r="G903" s="678">
        <v>14033814.189999999</v>
      </c>
      <c r="H903" s="679">
        <v>0</v>
      </c>
      <c r="I903" s="677" t="s">
        <v>1690</v>
      </c>
    </row>
    <row r="904" spans="1:9" ht="17.100000000000001" customHeight="1">
      <c r="A904" s="677">
        <v>30319999</v>
      </c>
      <c r="B904" s="677" t="s">
        <v>489</v>
      </c>
      <c r="C904" s="678">
        <v>13758214.720000001</v>
      </c>
      <c r="D904" s="679">
        <v>0</v>
      </c>
      <c r="E904" s="678">
        <v>63364880121.459999</v>
      </c>
      <c r="F904" s="678">
        <v>63364604521.989998</v>
      </c>
      <c r="G904" s="678">
        <v>14033814.189999999</v>
      </c>
      <c r="H904" s="679">
        <v>0</v>
      </c>
      <c r="I904" s="677" t="s">
        <v>1691</v>
      </c>
    </row>
    <row r="905" spans="1:9" ht="17.100000000000001" customHeight="1">
      <c r="A905" s="677">
        <v>3041</v>
      </c>
      <c r="B905" s="677" t="s">
        <v>1692</v>
      </c>
      <c r="C905" s="678">
        <v>921346748.90999997</v>
      </c>
      <c r="D905" s="679">
        <v>0</v>
      </c>
      <c r="E905" s="678">
        <v>50429524333.470001</v>
      </c>
      <c r="F905" s="678">
        <v>51349174977.470001</v>
      </c>
      <c r="G905" s="678">
        <v>1696104.91</v>
      </c>
      <c r="H905" s="679">
        <v>0</v>
      </c>
      <c r="I905" s="677" t="s">
        <v>1693</v>
      </c>
    </row>
    <row r="906" spans="1:9" ht="17.100000000000001" customHeight="1">
      <c r="A906" s="677">
        <v>304101</v>
      </c>
      <c r="B906" s="677" t="s">
        <v>1694</v>
      </c>
      <c r="C906" s="678">
        <v>917999999.94000006</v>
      </c>
      <c r="D906" s="679">
        <v>0</v>
      </c>
      <c r="E906" s="678">
        <v>9069789894.5400009</v>
      </c>
      <c r="F906" s="678">
        <v>9987789894.6900005</v>
      </c>
      <c r="G906" s="679">
        <v>0</v>
      </c>
      <c r="H906" s="679">
        <v>0.21</v>
      </c>
      <c r="I906" s="677" t="s">
        <v>1695</v>
      </c>
    </row>
    <row r="907" spans="1:9" ht="17.100000000000001" customHeight="1">
      <c r="A907" s="677">
        <v>30410101</v>
      </c>
      <c r="B907" s="677" t="s">
        <v>1696</v>
      </c>
      <c r="C907" s="679">
        <v>0</v>
      </c>
      <c r="D907" s="679">
        <v>0.06</v>
      </c>
      <c r="E907" s="678">
        <v>9054789894.5400009</v>
      </c>
      <c r="F907" s="678">
        <v>9054789894.6900005</v>
      </c>
      <c r="G907" s="679">
        <v>0</v>
      </c>
      <c r="H907" s="679">
        <v>0.21</v>
      </c>
      <c r="I907" s="677" t="s">
        <v>1697</v>
      </c>
    </row>
    <row r="908" spans="1:9" ht="17.100000000000001" customHeight="1">
      <c r="A908" s="677">
        <v>30410111</v>
      </c>
      <c r="B908" s="677" t="s">
        <v>1698</v>
      </c>
      <c r="C908" s="679">
        <v>0</v>
      </c>
      <c r="D908" s="678">
        <v>14986842702.1</v>
      </c>
      <c r="E908" s="679">
        <v>0</v>
      </c>
      <c r="F908" s="678">
        <v>933000000</v>
      </c>
      <c r="G908" s="679">
        <v>0</v>
      </c>
      <c r="H908" s="678">
        <v>15919842702.1</v>
      </c>
      <c r="I908" s="677" t="s">
        <v>1699</v>
      </c>
    </row>
    <row r="909" spans="1:9" ht="17.100000000000001" customHeight="1">
      <c r="A909" s="677">
        <v>30410199</v>
      </c>
      <c r="B909" s="677" t="s">
        <v>1700</v>
      </c>
      <c r="C909" s="678">
        <v>15904842702.1</v>
      </c>
      <c r="D909" s="679">
        <v>0</v>
      </c>
      <c r="E909" s="678">
        <v>15000000</v>
      </c>
      <c r="F909" s="679">
        <v>0</v>
      </c>
      <c r="G909" s="678">
        <v>15919842702.1</v>
      </c>
      <c r="H909" s="679">
        <v>0</v>
      </c>
      <c r="I909" s="677" t="s">
        <v>1701</v>
      </c>
    </row>
    <row r="910" spans="1:9" ht="17.100000000000001" customHeight="1">
      <c r="A910" s="320"/>
      <c r="B910" s="320"/>
      <c r="C910" s="320"/>
      <c r="D910" s="557" t="s">
        <v>4317</v>
      </c>
      <c r="E910" s="320" t="s">
        <v>3761</v>
      </c>
      <c r="F910" s="320"/>
      <c r="G910" s="320"/>
      <c r="H910" s="320"/>
      <c r="I910" s="320"/>
    </row>
    <row r="911" spans="1:9" ht="17.100000000000001" customHeight="1">
      <c r="A911" s="671"/>
      <c r="B911" s="671"/>
      <c r="C911" s="671"/>
      <c r="D911" s="671"/>
      <c r="E911" s="671"/>
      <c r="F911" s="671"/>
      <c r="G911" s="671"/>
      <c r="H911" s="671"/>
      <c r="I911" s="671"/>
    </row>
    <row r="912" spans="1:9" ht="17.100000000000001" customHeight="1">
      <c r="A912" s="320"/>
      <c r="B912" s="320"/>
      <c r="C912" s="672" t="s">
        <v>4316</v>
      </c>
      <c r="D912" s="320"/>
      <c r="E912" s="320"/>
      <c r="F912" s="671"/>
      <c r="G912" s="671"/>
      <c r="H912" s="671"/>
      <c r="I912" s="671"/>
    </row>
    <row r="913" spans="1:9" ht="17.100000000000001" customHeight="1">
      <c r="A913" s="673" t="s">
        <v>3708</v>
      </c>
      <c r="B913" s="673"/>
      <c r="C913" s="683">
        <v>42551</v>
      </c>
      <c r="D913" s="673"/>
      <c r="E913" s="557" t="s">
        <v>3709</v>
      </c>
      <c r="F913" s="671"/>
      <c r="G913" s="671"/>
      <c r="H913" s="671"/>
      <c r="I913" s="671"/>
    </row>
    <row r="914" spans="1:9" ht="17.100000000000001" customHeight="1">
      <c r="A914" s="676" t="s">
        <v>596</v>
      </c>
      <c r="B914" s="676" t="s">
        <v>597</v>
      </c>
      <c r="C914" s="676" t="s">
        <v>3710</v>
      </c>
      <c r="D914" s="676" t="s">
        <v>3711</v>
      </c>
      <c r="E914" s="676" t="s">
        <v>3712</v>
      </c>
      <c r="F914" s="676" t="s">
        <v>3713</v>
      </c>
      <c r="G914" s="676" t="s">
        <v>3714</v>
      </c>
      <c r="H914" s="676" t="s">
        <v>3715</v>
      </c>
      <c r="I914" s="676" t="s">
        <v>596</v>
      </c>
    </row>
    <row r="915" spans="1:9" ht="28.5" customHeight="1">
      <c r="A915" s="677">
        <v>304105</v>
      </c>
      <c r="B915" s="677" t="s">
        <v>1702</v>
      </c>
      <c r="C915" s="679">
        <v>0</v>
      </c>
      <c r="D915" s="678">
        <v>7682.88</v>
      </c>
      <c r="E915" s="679">
        <v>0</v>
      </c>
      <c r="F915" s="679">
        <v>0</v>
      </c>
      <c r="G915" s="679">
        <v>0</v>
      </c>
      <c r="H915" s="678">
        <v>7682.88</v>
      </c>
      <c r="I915" s="677" t="s">
        <v>1703</v>
      </c>
    </row>
    <row r="916" spans="1:9" ht="24">
      <c r="A916" s="677">
        <v>30410501</v>
      </c>
      <c r="B916" s="677" t="s">
        <v>1702</v>
      </c>
      <c r="C916" s="679">
        <v>0</v>
      </c>
      <c r="D916" s="678">
        <v>7682.88</v>
      </c>
      <c r="E916" s="679">
        <v>0</v>
      </c>
      <c r="F916" s="679">
        <v>0</v>
      </c>
      <c r="G916" s="679">
        <v>0</v>
      </c>
      <c r="H916" s="678">
        <v>7682.88</v>
      </c>
      <c r="I916" s="677" t="s">
        <v>1704</v>
      </c>
    </row>
    <row r="917" spans="1:9" ht="24">
      <c r="A917" s="677">
        <v>30410901</v>
      </c>
      <c r="B917" s="677" t="s">
        <v>1705</v>
      </c>
      <c r="C917" s="678">
        <v>1312900000</v>
      </c>
      <c r="D917" s="679">
        <v>0</v>
      </c>
      <c r="E917" s="679">
        <v>0</v>
      </c>
      <c r="F917" s="679">
        <v>0</v>
      </c>
      <c r="G917" s="678">
        <v>1312900000</v>
      </c>
      <c r="H917" s="679">
        <v>0</v>
      </c>
      <c r="I917" s="677" t="s">
        <v>1706</v>
      </c>
    </row>
    <row r="918" spans="1:9" ht="24">
      <c r="A918" s="677">
        <v>30410902</v>
      </c>
      <c r="B918" s="677" t="s">
        <v>1707</v>
      </c>
      <c r="C918" s="679">
        <v>0</v>
      </c>
      <c r="D918" s="678">
        <v>1312900000</v>
      </c>
      <c r="E918" s="679">
        <v>0</v>
      </c>
      <c r="F918" s="679">
        <v>0</v>
      </c>
      <c r="G918" s="679">
        <v>0</v>
      </c>
      <c r="H918" s="678">
        <v>1312900000</v>
      </c>
      <c r="I918" s="677" t="s">
        <v>1708</v>
      </c>
    </row>
    <row r="919" spans="1:9" ht="28.5" customHeight="1">
      <c r="A919" s="677">
        <v>304114</v>
      </c>
      <c r="B919" s="677" t="s">
        <v>1709</v>
      </c>
      <c r="C919" s="678">
        <v>2824848.52</v>
      </c>
      <c r="D919" s="679">
        <v>0</v>
      </c>
      <c r="E919" s="678">
        <v>66397312.810000002</v>
      </c>
      <c r="F919" s="678">
        <v>67518373.329999998</v>
      </c>
      <c r="G919" s="678">
        <v>1703788</v>
      </c>
      <c r="H919" s="679">
        <v>0</v>
      </c>
      <c r="I919" s="677" t="s">
        <v>1710</v>
      </c>
    </row>
    <row r="920" spans="1:9" ht="17.100000000000001" customHeight="1">
      <c r="A920" s="677">
        <v>30411401</v>
      </c>
      <c r="B920" s="677" t="s">
        <v>1709</v>
      </c>
      <c r="C920" s="678">
        <v>2824848.52</v>
      </c>
      <c r="D920" s="679">
        <v>0</v>
      </c>
      <c r="E920" s="678">
        <v>66397312.810000002</v>
      </c>
      <c r="F920" s="678">
        <v>67518373.329999998</v>
      </c>
      <c r="G920" s="678">
        <v>1703788</v>
      </c>
      <c r="H920" s="679">
        <v>0</v>
      </c>
      <c r="I920" s="677" t="s">
        <v>1711</v>
      </c>
    </row>
    <row r="921" spans="1:9" ht="17.100000000000001" customHeight="1">
      <c r="A921" s="677">
        <v>304115</v>
      </c>
      <c r="B921" s="677" t="s">
        <v>3909</v>
      </c>
      <c r="C921" s="678">
        <v>529583.32999999996</v>
      </c>
      <c r="D921" s="679">
        <v>0</v>
      </c>
      <c r="E921" s="678">
        <v>41293337126.120003</v>
      </c>
      <c r="F921" s="678">
        <v>41293866709.449997</v>
      </c>
      <c r="G921" s="679">
        <v>0</v>
      </c>
      <c r="H921" s="679">
        <v>0</v>
      </c>
      <c r="I921" s="677" t="s">
        <v>3910</v>
      </c>
    </row>
    <row r="922" spans="1:9" ht="17.100000000000001" customHeight="1">
      <c r="A922" s="677">
        <v>30411501</v>
      </c>
      <c r="B922" s="677" t="s">
        <v>3909</v>
      </c>
      <c r="C922" s="678">
        <v>529583.32999999996</v>
      </c>
      <c r="D922" s="679">
        <v>0</v>
      </c>
      <c r="E922" s="678">
        <v>41293337126.120003</v>
      </c>
      <c r="F922" s="678">
        <v>41293866709.449997</v>
      </c>
      <c r="G922" s="679">
        <v>0</v>
      </c>
      <c r="H922" s="679">
        <v>0</v>
      </c>
      <c r="I922" s="677" t="s">
        <v>3911</v>
      </c>
    </row>
    <row r="923" spans="1:9" ht="17.100000000000001" customHeight="1">
      <c r="A923" s="677">
        <v>305101</v>
      </c>
      <c r="B923" s="677" t="s">
        <v>1705</v>
      </c>
      <c r="C923" s="678">
        <v>388503825</v>
      </c>
      <c r="D923" s="679">
        <v>0</v>
      </c>
      <c r="E923" s="679">
        <v>0</v>
      </c>
      <c r="F923" s="679">
        <v>0</v>
      </c>
      <c r="G923" s="678">
        <v>388503825</v>
      </c>
      <c r="H923" s="679">
        <v>0</v>
      </c>
      <c r="I923" s="677" t="s">
        <v>1712</v>
      </c>
    </row>
    <row r="924" spans="1:9" ht="17.100000000000001" customHeight="1">
      <c r="A924" s="677">
        <v>30510101</v>
      </c>
      <c r="B924" s="677" t="s">
        <v>1705</v>
      </c>
      <c r="C924" s="678">
        <v>388503825</v>
      </c>
      <c r="D924" s="679">
        <v>0</v>
      </c>
      <c r="E924" s="679">
        <v>0</v>
      </c>
      <c r="F924" s="679">
        <v>0</v>
      </c>
      <c r="G924" s="678">
        <v>388503825</v>
      </c>
      <c r="H924" s="679">
        <v>0</v>
      </c>
      <c r="I924" s="677" t="s">
        <v>1713</v>
      </c>
    </row>
    <row r="925" spans="1:9" ht="17.100000000000001" customHeight="1">
      <c r="A925" s="677">
        <v>305102</v>
      </c>
      <c r="B925" s="677" t="s">
        <v>1707</v>
      </c>
      <c r="C925" s="679">
        <v>0</v>
      </c>
      <c r="D925" s="678">
        <v>388503825</v>
      </c>
      <c r="E925" s="679">
        <v>0</v>
      </c>
      <c r="F925" s="679">
        <v>0</v>
      </c>
      <c r="G925" s="679">
        <v>0</v>
      </c>
      <c r="H925" s="678">
        <v>388503825</v>
      </c>
      <c r="I925" s="677" t="s">
        <v>1714</v>
      </c>
    </row>
    <row r="926" spans="1:9" ht="17.100000000000001" customHeight="1">
      <c r="A926" s="677">
        <v>30510201</v>
      </c>
      <c r="B926" s="677" t="s">
        <v>1707</v>
      </c>
      <c r="C926" s="679">
        <v>0</v>
      </c>
      <c r="D926" s="678">
        <v>388503825</v>
      </c>
      <c r="E926" s="679">
        <v>0</v>
      </c>
      <c r="F926" s="679">
        <v>0</v>
      </c>
      <c r="G926" s="679">
        <v>0</v>
      </c>
      <c r="H926" s="678">
        <v>388503825</v>
      </c>
      <c r="I926" s="677" t="s">
        <v>1715</v>
      </c>
    </row>
    <row r="927" spans="1:9" ht="17.100000000000001" customHeight="1">
      <c r="A927" s="677">
        <v>3301</v>
      </c>
      <c r="B927" s="677" t="s">
        <v>3912</v>
      </c>
      <c r="C927" s="678">
        <v>52632.33</v>
      </c>
      <c r="D927" s="679">
        <v>0</v>
      </c>
      <c r="E927" s="678">
        <v>123830448.31999999</v>
      </c>
      <c r="F927" s="678">
        <v>123883080.65000001</v>
      </c>
      <c r="G927" s="679">
        <v>0</v>
      </c>
      <c r="H927" s="679">
        <v>0</v>
      </c>
      <c r="I927" s="677" t="s">
        <v>3913</v>
      </c>
    </row>
    <row r="928" spans="1:9" ht="17.100000000000001" customHeight="1">
      <c r="A928" s="677">
        <v>330103</v>
      </c>
      <c r="B928" s="677" t="s">
        <v>3914</v>
      </c>
      <c r="C928" s="679">
        <v>0</v>
      </c>
      <c r="D928" s="678">
        <v>2220.7399999999998</v>
      </c>
      <c r="E928" s="678">
        <v>2220.7399999999998</v>
      </c>
      <c r="F928" s="679">
        <v>0</v>
      </c>
      <c r="G928" s="679">
        <v>0</v>
      </c>
      <c r="H928" s="679">
        <v>0</v>
      </c>
      <c r="I928" s="677" t="s">
        <v>3915</v>
      </c>
    </row>
    <row r="929" spans="1:9" ht="17.100000000000001" customHeight="1">
      <c r="A929" s="677">
        <v>33010301</v>
      </c>
      <c r="B929" s="677" t="s">
        <v>3914</v>
      </c>
      <c r="C929" s="679">
        <v>0</v>
      </c>
      <c r="D929" s="678">
        <v>2220.7399999999998</v>
      </c>
      <c r="E929" s="678">
        <v>2220.7399999999998</v>
      </c>
      <c r="F929" s="679">
        <v>0</v>
      </c>
      <c r="G929" s="679">
        <v>0</v>
      </c>
      <c r="H929" s="679">
        <v>0</v>
      </c>
      <c r="I929" s="677" t="s">
        <v>3916</v>
      </c>
    </row>
    <row r="930" spans="1:9" ht="17.100000000000001" customHeight="1">
      <c r="A930" s="677">
        <v>330105</v>
      </c>
      <c r="B930" s="677" t="s">
        <v>4330</v>
      </c>
      <c r="C930" s="678">
        <v>408820.24</v>
      </c>
      <c r="D930" s="679">
        <v>0</v>
      </c>
      <c r="E930" s="678">
        <v>69414454.599999994</v>
      </c>
      <c r="F930" s="678">
        <v>69823274.840000004</v>
      </c>
      <c r="G930" s="679">
        <v>0</v>
      </c>
      <c r="H930" s="679">
        <v>0</v>
      </c>
      <c r="I930" s="677" t="s">
        <v>3918</v>
      </c>
    </row>
    <row r="931" spans="1:9" ht="17.100000000000001" customHeight="1">
      <c r="A931" s="677">
        <v>33010501</v>
      </c>
      <c r="B931" s="677" t="s">
        <v>4330</v>
      </c>
      <c r="C931" s="678">
        <v>408820.24</v>
      </c>
      <c r="D931" s="679">
        <v>0</v>
      </c>
      <c r="E931" s="678">
        <v>69414454.599999994</v>
      </c>
      <c r="F931" s="678">
        <v>69823274.840000004</v>
      </c>
      <c r="G931" s="679">
        <v>0</v>
      </c>
      <c r="H931" s="679">
        <v>0</v>
      </c>
      <c r="I931" s="677" t="s">
        <v>3920</v>
      </c>
    </row>
    <row r="932" spans="1:9" ht="17.100000000000001" customHeight="1">
      <c r="A932" s="677">
        <v>330106</v>
      </c>
      <c r="B932" s="677" t="s">
        <v>4331</v>
      </c>
      <c r="C932" s="679">
        <v>0</v>
      </c>
      <c r="D932" s="678">
        <v>27726.09</v>
      </c>
      <c r="E932" s="678">
        <v>7445256.0899999999</v>
      </c>
      <c r="F932" s="678">
        <v>7417530</v>
      </c>
      <c r="G932" s="679">
        <v>0</v>
      </c>
      <c r="H932" s="679">
        <v>0</v>
      </c>
      <c r="I932" s="677" t="s">
        <v>3922</v>
      </c>
    </row>
    <row r="933" spans="1:9" ht="17.100000000000001" customHeight="1">
      <c r="A933" s="677">
        <v>33010601</v>
      </c>
      <c r="B933" s="677" t="s">
        <v>4331</v>
      </c>
      <c r="C933" s="679">
        <v>0</v>
      </c>
      <c r="D933" s="678">
        <v>27726.09</v>
      </c>
      <c r="E933" s="678">
        <v>7445256.0899999999</v>
      </c>
      <c r="F933" s="678">
        <v>7417530</v>
      </c>
      <c r="G933" s="679">
        <v>0</v>
      </c>
      <c r="H933" s="679">
        <v>0</v>
      </c>
      <c r="I933" s="677" t="s">
        <v>3924</v>
      </c>
    </row>
    <row r="934" spans="1:9" ht="17.100000000000001" customHeight="1">
      <c r="A934" s="677">
        <v>330107</v>
      </c>
      <c r="B934" s="677" t="s">
        <v>3925</v>
      </c>
      <c r="C934" s="679">
        <v>0</v>
      </c>
      <c r="D934" s="678">
        <v>281786.2</v>
      </c>
      <c r="E934" s="678">
        <v>34375013.329999998</v>
      </c>
      <c r="F934" s="678">
        <v>34093227.130000003</v>
      </c>
      <c r="G934" s="679">
        <v>0</v>
      </c>
      <c r="H934" s="679">
        <v>0</v>
      </c>
      <c r="I934" s="677" t="s">
        <v>3926</v>
      </c>
    </row>
    <row r="935" spans="1:9" ht="17.100000000000001" customHeight="1">
      <c r="A935" s="677">
        <v>33010701</v>
      </c>
      <c r="B935" s="677" t="s">
        <v>3925</v>
      </c>
      <c r="C935" s="679">
        <v>0</v>
      </c>
      <c r="D935" s="678">
        <v>281786.2</v>
      </c>
      <c r="E935" s="678">
        <v>34375013.329999998</v>
      </c>
      <c r="F935" s="678">
        <v>34093227.130000003</v>
      </c>
      <c r="G935" s="679">
        <v>0</v>
      </c>
      <c r="H935" s="679">
        <v>0</v>
      </c>
      <c r="I935" s="677" t="s">
        <v>3927</v>
      </c>
    </row>
    <row r="936" spans="1:9" ht="17.100000000000001" customHeight="1">
      <c r="A936" s="677">
        <v>330110</v>
      </c>
      <c r="B936" s="677" t="s">
        <v>3928</v>
      </c>
      <c r="C936" s="679">
        <v>0</v>
      </c>
      <c r="D936" s="678">
        <v>3052.71</v>
      </c>
      <c r="E936" s="678">
        <v>208751.71</v>
      </c>
      <c r="F936" s="678">
        <v>205699</v>
      </c>
      <c r="G936" s="679">
        <v>0</v>
      </c>
      <c r="H936" s="679">
        <v>0</v>
      </c>
      <c r="I936" s="677" t="s">
        <v>3929</v>
      </c>
    </row>
    <row r="937" spans="1:9" ht="17.100000000000001" customHeight="1">
      <c r="A937" s="677">
        <v>33011001</v>
      </c>
      <c r="B937" s="677" t="s">
        <v>3928</v>
      </c>
      <c r="C937" s="679">
        <v>0</v>
      </c>
      <c r="D937" s="678">
        <v>3052.71</v>
      </c>
      <c r="E937" s="678">
        <v>208751.71</v>
      </c>
      <c r="F937" s="678">
        <v>205699</v>
      </c>
      <c r="G937" s="679">
        <v>0</v>
      </c>
      <c r="H937" s="679">
        <v>0</v>
      </c>
      <c r="I937" s="677" t="s">
        <v>3930</v>
      </c>
    </row>
    <row r="938" spans="1:9" ht="17.100000000000001" customHeight="1">
      <c r="A938" s="677">
        <v>330112</v>
      </c>
      <c r="B938" s="677" t="s">
        <v>3931</v>
      </c>
      <c r="C938" s="679">
        <v>0</v>
      </c>
      <c r="D938" s="678">
        <v>36819.370000000003</v>
      </c>
      <c r="E938" s="678">
        <v>275605.28000000003</v>
      </c>
      <c r="F938" s="678">
        <v>238785.91</v>
      </c>
      <c r="G938" s="679">
        <v>0</v>
      </c>
      <c r="H938" s="679">
        <v>0</v>
      </c>
      <c r="I938" s="677" t="s">
        <v>3932</v>
      </c>
    </row>
    <row r="939" spans="1:9" ht="17.100000000000001" customHeight="1">
      <c r="A939" s="677">
        <v>33011201</v>
      </c>
      <c r="B939" s="677" t="s">
        <v>3931</v>
      </c>
      <c r="C939" s="679">
        <v>0</v>
      </c>
      <c r="D939" s="678">
        <v>36819.370000000003</v>
      </c>
      <c r="E939" s="678">
        <v>275605.28000000003</v>
      </c>
      <c r="F939" s="678">
        <v>238785.91</v>
      </c>
      <c r="G939" s="679">
        <v>0</v>
      </c>
      <c r="H939" s="679">
        <v>0</v>
      </c>
      <c r="I939" s="677" t="s">
        <v>3933</v>
      </c>
    </row>
    <row r="940" spans="1:9" ht="17.100000000000001" customHeight="1">
      <c r="A940" s="677">
        <v>330113</v>
      </c>
      <c r="B940" s="677" t="s">
        <v>3934</v>
      </c>
      <c r="C940" s="679">
        <v>0</v>
      </c>
      <c r="D940" s="679">
        <v>0</v>
      </c>
      <c r="E940" s="678">
        <v>11828671.119999999</v>
      </c>
      <c r="F940" s="678">
        <v>11828671.119999999</v>
      </c>
      <c r="G940" s="679">
        <v>0</v>
      </c>
      <c r="H940" s="679">
        <v>0</v>
      </c>
      <c r="I940" s="677" t="s">
        <v>3935</v>
      </c>
    </row>
    <row r="941" spans="1:9" ht="17.100000000000001" customHeight="1">
      <c r="A941" s="677">
        <v>33011301</v>
      </c>
      <c r="B941" s="677" t="s">
        <v>3934</v>
      </c>
      <c r="C941" s="679">
        <v>0</v>
      </c>
      <c r="D941" s="679">
        <v>0</v>
      </c>
      <c r="E941" s="678">
        <v>11828671.119999999</v>
      </c>
      <c r="F941" s="678">
        <v>11828671.119999999</v>
      </c>
      <c r="G941" s="679">
        <v>0</v>
      </c>
      <c r="H941" s="679">
        <v>0</v>
      </c>
      <c r="I941" s="677" t="s">
        <v>3936</v>
      </c>
    </row>
    <row r="942" spans="1:9" ht="17.100000000000001" customHeight="1">
      <c r="A942" s="677">
        <v>330114</v>
      </c>
      <c r="B942" s="677" t="s">
        <v>3937</v>
      </c>
      <c r="C942" s="679">
        <v>0</v>
      </c>
      <c r="D942" s="678">
        <v>4582.8</v>
      </c>
      <c r="E942" s="678">
        <v>280475.45</v>
      </c>
      <c r="F942" s="678">
        <v>275892.65000000002</v>
      </c>
      <c r="G942" s="679">
        <v>0</v>
      </c>
      <c r="H942" s="679">
        <v>0</v>
      </c>
      <c r="I942" s="677" t="s">
        <v>3938</v>
      </c>
    </row>
    <row r="943" spans="1:9" ht="17.100000000000001" customHeight="1">
      <c r="A943" s="677">
        <v>33011401</v>
      </c>
      <c r="B943" s="677" t="s">
        <v>3937</v>
      </c>
      <c r="C943" s="679">
        <v>0</v>
      </c>
      <c r="D943" s="678">
        <v>4582.8</v>
      </c>
      <c r="E943" s="678">
        <v>280475.45</v>
      </c>
      <c r="F943" s="678">
        <v>275892.65000000002</v>
      </c>
      <c r="G943" s="679">
        <v>0</v>
      </c>
      <c r="H943" s="679">
        <v>0</v>
      </c>
      <c r="I943" s="677" t="s">
        <v>3939</v>
      </c>
    </row>
    <row r="944" spans="1:9" ht="17.100000000000001" customHeight="1">
      <c r="A944" s="677"/>
      <c r="B944" s="684" t="s">
        <v>3760</v>
      </c>
      <c r="C944" s="678">
        <v>20249031215.759998</v>
      </c>
      <c r="D944" s="678">
        <v>18646155551.599998</v>
      </c>
      <c r="E944" s="678">
        <v>326752763859.37</v>
      </c>
      <c r="F944" s="678">
        <v>328690206677.53003</v>
      </c>
      <c r="G944" s="678">
        <v>19780070800.849998</v>
      </c>
      <c r="H944" s="678">
        <v>20114637954.849998</v>
      </c>
      <c r="I944" s="677" t="s">
        <v>1125</v>
      </c>
    </row>
    <row r="945" spans="1:9" ht="17.100000000000001" customHeight="1">
      <c r="A945" s="320"/>
      <c r="B945" s="320"/>
      <c r="C945" s="320"/>
      <c r="D945" s="557" t="s">
        <v>4317</v>
      </c>
      <c r="E945" s="320" t="s">
        <v>3763</v>
      </c>
      <c r="F945" s="320"/>
      <c r="G945" s="320"/>
      <c r="H945" s="320"/>
      <c r="I945" s="320"/>
    </row>
    <row r="946" spans="1:9" ht="17.100000000000001" customHeight="1">
      <c r="A946" s="671"/>
      <c r="B946" s="671"/>
      <c r="C946" s="671"/>
      <c r="D946" s="671"/>
      <c r="E946" s="671"/>
      <c r="F946" s="671"/>
      <c r="G946" s="671"/>
      <c r="H946" s="671"/>
      <c r="I946" s="671"/>
    </row>
    <row r="947" spans="1:9" ht="17.100000000000001" customHeight="1">
      <c r="A947" s="320"/>
      <c r="B947" s="320"/>
      <c r="C947" s="672" t="s">
        <v>4316</v>
      </c>
      <c r="D947" s="320"/>
      <c r="E947" s="320"/>
      <c r="F947" s="671"/>
      <c r="G947" s="671"/>
      <c r="H947" s="671"/>
      <c r="I947" s="671"/>
    </row>
    <row r="948" spans="1:9" ht="17.100000000000001" customHeight="1">
      <c r="A948" s="673" t="s">
        <v>3708</v>
      </c>
      <c r="B948" s="673"/>
      <c r="C948" s="683">
        <v>42551</v>
      </c>
      <c r="D948" s="673"/>
      <c r="E948" s="557" t="s">
        <v>3709</v>
      </c>
      <c r="F948" s="671"/>
      <c r="G948" s="671"/>
      <c r="H948" s="671"/>
      <c r="I948" s="671"/>
    </row>
    <row r="949" spans="1:9" ht="17.100000000000001" customHeight="1">
      <c r="A949" s="676" t="s">
        <v>596</v>
      </c>
      <c r="B949" s="676" t="s">
        <v>597</v>
      </c>
      <c r="C949" s="676" t="s">
        <v>3710</v>
      </c>
      <c r="D949" s="676" t="s">
        <v>3711</v>
      </c>
      <c r="E949" s="676" t="s">
        <v>3712</v>
      </c>
      <c r="F949" s="676" t="s">
        <v>3713</v>
      </c>
      <c r="G949" s="676" t="s">
        <v>3714</v>
      </c>
      <c r="H949" s="676" t="s">
        <v>3715</v>
      </c>
      <c r="I949" s="676" t="s">
        <v>596</v>
      </c>
    </row>
    <row r="950" spans="1:9" ht="28.5" customHeight="1">
      <c r="A950" s="677">
        <v>4001</v>
      </c>
      <c r="B950" s="677" t="s">
        <v>1716</v>
      </c>
      <c r="C950" s="679">
        <v>0</v>
      </c>
      <c r="D950" s="678">
        <v>8153418539</v>
      </c>
      <c r="E950" s="679">
        <v>0</v>
      </c>
      <c r="F950" s="679">
        <v>0</v>
      </c>
      <c r="G950" s="679">
        <v>0</v>
      </c>
      <c r="H950" s="678">
        <v>8153418539</v>
      </c>
      <c r="I950" s="677" t="s">
        <v>1717</v>
      </c>
    </row>
    <row r="951" spans="1:9">
      <c r="A951" s="677">
        <v>400101</v>
      </c>
      <c r="B951" s="677" t="s">
        <v>1718</v>
      </c>
      <c r="C951" s="679">
        <v>0</v>
      </c>
      <c r="D951" s="678">
        <v>5754293600</v>
      </c>
      <c r="E951" s="679">
        <v>0</v>
      </c>
      <c r="F951" s="679">
        <v>0</v>
      </c>
      <c r="G951" s="679">
        <v>0</v>
      </c>
      <c r="H951" s="678">
        <v>5754293600</v>
      </c>
      <c r="I951" s="677" t="s">
        <v>1719</v>
      </c>
    </row>
    <row r="952" spans="1:9" ht="24">
      <c r="A952" s="677">
        <v>40010101</v>
      </c>
      <c r="B952" s="677" t="s">
        <v>1718</v>
      </c>
      <c r="C952" s="679">
        <v>0</v>
      </c>
      <c r="D952" s="678">
        <v>5754293600</v>
      </c>
      <c r="E952" s="679">
        <v>0</v>
      </c>
      <c r="F952" s="679">
        <v>0</v>
      </c>
      <c r="G952" s="679">
        <v>0</v>
      </c>
      <c r="H952" s="678">
        <v>5754293600</v>
      </c>
      <c r="I952" s="677" t="s">
        <v>1720</v>
      </c>
    </row>
    <row r="953" spans="1:9">
      <c r="A953" s="677">
        <v>400102</v>
      </c>
      <c r="B953" s="677" t="s">
        <v>1721</v>
      </c>
      <c r="C953" s="679">
        <v>0</v>
      </c>
      <c r="D953" s="678">
        <v>377457616</v>
      </c>
      <c r="E953" s="679">
        <v>0</v>
      </c>
      <c r="F953" s="679">
        <v>0</v>
      </c>
      <c r="G953" s="679">
        <v>0</v>
      </c>
      <c r="H953" s="678">
        <v>377457616</v>
      </c>
      <c r="I953" s="677" t="s">
        <v>1722</v>
      </c>
    </row>
    <row r="954" spans="1:9" ht="28.5" customHeight="1">
      <c r="A954" s="677">
        <v>40010201</v>
      </c>
      <c r="B954" s="677" t="s">
        <v>1721</v>
      </c>
      <c r="C954" s="679">
        <v>0</v>
      </c>
      <c r="D954" s="678">
        <v>377457616</v>
      </c>
      <c r="E954" s="679">
        <v>0</v>
      </c>
      <c r="F954" s="679">
        <v>0</v>
      </c>
      <c r="G954" s="679">
        <v>0</v>
      </c>
      <c r="H954" s="678">
        <v>377457616</v>
      </c>
      <c r="I954" s="677" t="s">
        <v>1723</v>
      </c>
    </row>
    <row r="955" spans="1:9" ht="17.100000000000001" customHeight="1">
      <c r="A955" s="677">
        <v>400103</v>
      </c>
      <c r="B955" s="677" t="s">
        <v>1724</v>
      </c>
      <c r="C955" s="679">
        <v>0</v>
      </c>
      <c r="D955" s="678">
        <v>2021667323</v>
      </c>
      <c r="E955" s="679">
        <v>0</v>
      </c>
      <c r="F955" s="679">
        <v>0</v>
      </c>
      <c r="G955" s="679">
        <v>0</v>
      </c>
      <c r="H955" s="678">
        <v>2021667323</v>
      </c>
      <c r="I955" s="677" t="s">
        <v>1725</v>
      </c>
    </row>
    <row r="956" spans="1:9" ht="17.100000000000001" customHeight="1">
      <c r="A956" s="677">
        <v>40010301</v>
      </c>
      <c r="B956" s="677" t="s">
        <v>1724</v>
      </c>
      <c r="C956" s="679">
        <v>0</v>
      </c>
      <c r="D956" s="678">
        <v>2021667323</v>
      </c>
      <c r="E956" s="679">
        <v>0</v>
      </c>
      <c r="F956" s="679">
        <v>0</v>
      </c>
      <c r="G956" s="679">
        <v>0</v>
      </c>
      <c r="H956" s="678">
        <v>2021667323</v>
      </c>
      <c r="I956" s="677" t="s">
        <v>1726</v>
      </c>
    </row>
    <row r="957" spans="1:9" ht="17.100000000000001" customHeight="1">
      <c r="A957" s="677">
        <v>4002</v>
      </c>
      <c r="B957" s="677" t="s">
        <v>1727</v>
      </c>
      <c r="C957" s="679">
        <v>0</v>
      </c>
      <c r="D957" s="678">
        <v>4818931886.2799997</v>
      </c>
      <c r="E957" s="679">
        <v>0</v>
      </c>
      <c r="F957" s="679">
        <v>0</v>
      </c>
      <c r="G957" s="679">
        <v>0</v>
      </c>
      <c r="H957" s="678">
        <v>4818931886.2799997</v>
      </c>
      <c r="I957" s="677" t="s">
        <v>1728</v>
      </c>
    </row>
    <row r="958" spans="1:9" ht="17.100000000000001" customHeight="1">
      <c r="A958" s="677">
        <v>400201</v>
      </c>
      <c r="B958" s="677" t="s">
        <v>1729</v>
      </c>
      <c r="C958" s="679">
        <v>0</v>
      </c>
      <c r="D958" s="678">
        <v>3200000000</v>
      </c>
      <c r="E958" s="679">
        <v>0</v>
      </c>
      <c r="F958" s="679">
        <v>0</v>
      </c>
      <c r="G958" s="679">
        <v>0</v>
      </c>
      <c r="H958" s="678">
        <v>3200000000</v>
      </c>
      <c r="I958" s="677" t="s">
        <v>1730</v>
      </c>
    </row>
    <row r="959" spans="1:9" ht="17.100000000000001" customHeight="1">
      <c r="A959" s="677">
        <v>40020101</v>
      </c>
      <c r="B959" s="677" t="s">
        <v>1729</v>
      </c>
      <c r="C959" s="679">
        <v>0</v>
      </c>
      <c r="D959" s="678">
        <v>3200000000</v>
      </c>
      <c r="E959" s="679">
        <v>0</v>
      </c>
      <c r="F959" s="679">
        <v>0</v>
      </c>
      <c r="G959" s="679">
        <v>0</v>
      </c>
      <c r="H959" s="678">
        <v>3200000000</v>
      </c>
      <c r="I959" s="677" t="s">
        <v>1731</v>
      </c>
    </row>
    <row r="960" spans="1:9" ht="17.100000000000001" customHeight="1">
      <c r="A960" s="677">
        <v>400299</v>
      </c>
      <c r="B960" s="677" t="s">
        <v>1732</v>
      </c>
      <c r="C960" s="679">
        <v>0</v>
      </c>
      <c r="D960" s="678">
        <v>1618931886.28</v>
      </c>
      <c r="E960" s="679">
        <v>0</v>
      </c>
      <c r="F960" s="679">
        <v>0</v>
      </c>
      <c r="G960" s="679">
        <v>0</v>
      </c>
      <c r="H960" s="678">
        <v>1618931886.28</v>
      </c>
      <c r="I960" s="677" t="s">
        <v>1733</v>
      </c>
    </row>
    <row r="961" spans="1:9" ht="17.100000000000001" customHeight="1">
      <c r="A961" s="677">
        <v>40029999</v>
      </c>
      <c r="B961" s="677" t="s">
        <v>1732</v>
      </c>
      <c r="C961" s="679">
        <v>0</v>
      </c>
      <c r="D961" s="678">
        <v>1618931886.28</v>
      </c>
      <c r="E961" s="679">
        <v>0</v>
      </c>
      <c r="F961" s="679">
        <v>0</v>
      </c>
      <c r="G961" s="679">
        <v>0</v>
      </c>
      <c r="H961" s="678">
        <v>1618931886.28</v>
      </c>
      <c r="I961" s="677" t="s">
        <v>1734</v>
      </c>
    </row>
    <row r="962" spans="1:9" ht="17.100000000000001" customHeight="1">
      <c r="A962" s="677">
        <v>4101</v>
      </c>
      <c r="B962" s="677" t="s">
        <v>1735</v>
      </c>
      <c r="C962" s="679">
        <v>0</v>
      </c>
      <c r="D962" s="678">
        <v>2661376609.8200002</v>
      </c>
      <c r="E962" s="679">
        <v>0</v>
      </c>
      <c r="F962" s="679">
        <v>0</v>
      </c>
      <c r="G962" s="679">
        <v>0</v>
      </c>
      <c r="H962" s="678">
        <v>2661376609.8200002</v>
      </c>
      <c r="I962" s="677" t="s">
        <v>1736</v>
      </c>
    </row>
    <row r="963" spans="1:9" ht="17.100000000000001" customHeight="1">
      <c r="A963" s="677">
        <v>410101</v>
      </c>
      <c r="B963" s="677" t="s">
        <v>1737</v>
      </c>
      <c r="C963" s="679">
        <v>0</v>
      </c>
      <c r="D963" s="678">
        <v>2661376609.8200002</v>
      </c>
      <c r="E963" s="679">
        <v>0</v>
      </c>
      <c r="F963" s="679">
        <v>0</v>
      </c>
      <c r="G963" s="679">
        <v>0</v>
      </c>
      <c r="H963" s="678">
        <v>2661376609.8200002</v>
      </c>
      <c r="I963" s="677" t="s">
        <v>1738</v>
      </c>
    </row>
    <row r="964" spans="1:9" ht="17.100000000000001" customHeight="1">
      <c r="A964" s="677">
        <v>41010101</v>
      </c>
      <c r="B964" s="677" t="s">
        <v>1737</v>
      </c>
      <c r="C964" s="679">
        <v>0</v>
      </c>
      <c r="D964" s="678">
        <v>2661376609.8200002</v>
      </c>
      <c r="E964" s="679">
        <v>0</v>
      </c>
      <c r="F964" s="679">
        <v>0</v>
      </c>
      <c r="G964" s="679">
        <v>0</v>
      </c>
      <c r="H964" s="678">
        <v>2661376609.8200002</v>
      </c>
      <c r="I964" s="677" t="s">
        <v>1739</v>
      </c>
    </row>
    <row r="965" spans="1:9" ht="17.100000000000001" customHeight="1">
      <c r="A965" s="677">
        <v>4102</v>
      </c>
      <c r="B965" s="677" t="s">
        <v>1740</v>
      </c>
      <c r="C965" s="679">
        <v>0</v>
      </c>
      <c r="D965" s="678">
        <v>6517607754.96</v>
      </c>
      <c r="E965" s="679">
        <v>0</v>
      </c>
      <c r="F965" s="679">
        <v>0</v>
      </c>
      <c r="G965" s="679">
        <v>0</v>
      </c>
      <c r="H965" s="678">
        <v>6517607754.96</v>
      </c>
      <c r="I965" s="677" t="s">
        <v>1741</v>
      </c>
    </row>
    <row r="966" spans="1:9" ht="17.100000000000001" customHeight="1">
      <c r="A966" s="677">
        <v>410201</v>
      </c>
      <c r="B966" s="677" t="s">
        <v>1742</v>
      </c>
      <c r="C966" s="679">
        <v>0</v>
      </c>
      <c r="D966" s="678">
        <v>4665192556.3100004</v>
      </c>
      <c r="E966" s="679">
        <v>0</v>
      </c>
      <c r="F966" s="679">
        <v>0</v>
      </c>
      <c r="G966" s="679">
        <v>0</v>
      </c>
      <c r="H966" s="678">
        <v>4665192556.3100004</v>
      </c>
      <c r="I966" s="677" t="s">
        <v>1743</v>
      </c>
    </row>
    <row r="967" spans="1:9" ht="17.100000000000001" customHeight="1">
      <c r="A967" s="677">
        <v>41020101</v>
      </c>
      <c r="B967" s="677" t="s">
        <v>1742</v>
      </c>
      <c r="C967" s="679">
        <v>0</v>
      </c>
      <c r="D967" s="678">
        <v>4665192556.3100004</v>
      </c>
      <c r="E967" s="679">
        <v>0</v>
      </c>
      <c r="F967" s="679">
        <v>0</v>
      </c>
      <c r="G967" s="679">
        <v>0</v>
      </c>
      <c r="H967" s="678">
        <v>4665192556.3100004</v>
      </c>
      <c r="I967" s="677" t="s">
        <v>1744</v>
      </c>
    </row>
    <row r="968" spans="1:9" ht="17.100000000000001" customHeight="1">
      <c r="A968" s="677">
        <v>410299</v>
      </c>
      <c r="B968" s="677" t="s">
        <v>1745</v>
      </c>
      <c r="C968" s="679">
        <v>0</v>
      </c>
      <c r="D968" s="678">
        <v>1852415198.6500001</v>
      </c>
      <c r="E968" s="679">
        <v>0</v>
      </c>
      <c r="F968" s="679">
        <v>0</v>
      </c>
      <c r="G968" s="679">
        <v>0</v>
      </c>
      <c r="H968" s="678">
        <v>1852415198.6500001</v>
      </c>
      <c r="I968" s="677" t="s">
        <v>1746</v>
      </c>
    </row>
    <row r="969" spans="1:9" ht="17.100000000000001" customHeight="1">
      <c r="A969" s="677">
        <v>41029999</v>
      </c>
      <c r="B969" s="677" t="s">
        <v>1745</v>
      </c>
      <c r="C969" s="679">
        <v>0</v>
      </c>
      <c r="D969" s="678">
        <v>1852415198.6500001</v>
      </c>
      <c r="E969" s="679">
        <v>0</v>
      </c>
      <c r="F969" s="679">
        <v>0</v>
      </c>
      <c r="G969" s="679">
        <v>0</v>
      </c>
      <c r="H969" s="678">
        <v>1852415198.6500001</v>
      </c>
      <c r="I969" s="677" t="s">
        <v>1747</v>
      </c>
    </row>
    <row r="970" spans="1:9" ht="17.100000000000001" customHeight="1">
      <c r="A970" s="677">
        <v>4104</v>
      </c>
      <c r="B970" s="677" t="s">
        <v>1748</v>
      </c>
      <c r="C970" s="679">
        <v>0</v>
      </c>
      <c r="D970" s="678">
        <v>9203579433.8600006</v>
      </c>
      <c r="E970" s="678">
        <v>65613273.780000001</v>
      </c>
      <c r="F970" s="678">
        <v>74554484.069999993</v>
      </c>
      <c r="G970" s="679">
        <v>0</v>
      </c>
      <c r="H970" s="678">
        <v>9212520644.1499996</v>
      </c>
      <c r="I970" s="677" t="s">
        <v>1749</v>
      </c>
    </row>
    <row r="971" spans="1:9" ht="17.100000000000001" customHeight="1">
      <c r="A971" s="677">
        <v>410408</v>
      </c>
      <c r="B971" s="677" t="s">
        <v>1750</v>
      </c>
      <c r="C971" s="679">
        <v>0</v>
      </c>
      <c r="D971" s="678">
        <v>9203579433.8600006</v>
      </c>
      <c r="E971" s="678">
        <v>65613273.780000001</v>
      </c>
      <c r="F971" s="678">
        <v>74554484.069999993</v>
      </c>
      <c r="G971" s="679">
        <v>0</v>
      </c>
      <c r="H971" s="678">
        <v>9212520644.1499996</v>
      </c>
      <c r="I971" s="677" t="s">
        <v>1751</v>
      </c>
    </row>
    <row r="972" spans="1:9" ht="17.100000000000001" customHeight="1">
      <c r="A972" s="677">
        <v>41040801</v>
      </c>
      <c r="B972" s="677" t="s">
        <v>1750</v>
      </c>
      <c r="C972" s="679">
        <v>0</v>
      </c>
      <c r="D972" s="678">
        <v>9203579433.8600006</v>
      </c>
      <c r="E972" s="678">
        <v>65613273.780000001</v>
      </c>
      <c r="F972" s="678">
        <v>74554484.069999993</v>
      </c>
      <c r="G972" s="679">
        <v>0</v>
      </c>
      <c r="H972" s="678">
        <v>9212520644.1499996</v>
      </c>
      <c r="I972" s="677" t="s">
        <v>1752</v>
      </c>
    </row>
    <row r="973" spans="1:9" ht="17.100000000000001" customHeight="1">
      <c r="A973" s="677">
        <v>4301</v>
      </c>
      <c r="B973" s="677" t="s">
        <v>2840</v>
      </c>
      <c r="C973" s="679">
        <v>0</v>
      </c>
      <c r="D973" s="678">
        <v>212011382.63999999</v>
      </c>
      <c r="E973" s="678">
        <v>3629770</v>
      </c>
      <c r="F973" s="678">
        <v>19440</v>
      </c>
      <c r="G973" s="679">
        <v>0</v>
      </c>
      <c r="H973" s="678">
        <v>208401052.63999999</v>
      </c>
      <c r="I973" s="677" t="s">
        <v>2841</v>
      </c>
    </row>
    <row r="974" spans="1:9" ht="17.100000000000001" customHeight="1">
      <c r="A974" s="677">
        <v>430101</v>
      </c>
      <c r="B974" s="677" t="s">
        <v>2840</v>
      </c>
      <c r="C974" s="679">
        <v>0</v>
      </c>
      <c r="D974" s="678">
        <v>212011382.63999999</v>
      </c>
      <c r="E974" s="678">
        <v>3629770</v>
      </c>
      <c r="F974" s="678">
        <v>19440</v>
      </c>
      <c r="G974" s="679">
        <v>0</v>
      </c>
      <c r="H974" s="678">
        <v>208401052.63999999</v>
      </c>
      <c r="I974" s="677" t="s">
        <v>2842</v>
      </c>
    </row>
    <row r="975" spans="1:9" ht="17.100000000000001" customHeight="1">
      <c r="A975" s="677">
        <v>43010101</v>
      </c>
      <c r="B975" s="677" t="s">
        <v>2843</v>
      </c>
      <c r="C975" s="679">
        <v>0</v>
      </c>
      <c r="D975" s="678">
        <v>230044923.15000001</v>
      </c>
      <c r="E975" s="678">
        <v>3629770</v>
      </c>
      <c r="F975" s="678">
        <v>19440</v>
      </c>
      <c r="G975" s="679">
        <v>0</v>
      </c>
      <c r="H975" s="678">
        <v>226434593.15000001</v>
      </c>
      <c r="I975" s="677" t="s">
        <v>2844</v>
      </c>
    </row>
    <row r="976" spans="1:9" ht="17.100000000000001" customHeight="1">
      <c r="A976" s="677">
        <v>43010102</v>
      </c>
      <c r="B976" s="677" t="s">
        <v>2845</v>
      </c>
      <c r="C976" s="679">
        <v>0</v>
      </c>
      <c r="D976" s="678">
        <v>-18033540.510000002</v>
      </c>
      <c r="E976" s="679">
        <v>0</v>
      </c>
      <c r="F976" s="679">
        <v>0</v>
      </c>
      <c r="G976" s="679">
        <v>0</v>
      </c>
      <c r="H976" s="678">
        <v>-18033540.510000002</v>
      </c>
      <c r="I976" s="677" t="s">
        <v>2846</v>
      </c>
    </row>
    <row r="977" spans="1:9" ht="17.100000000000001" customHeight="1">
      <c r="A977" s="677"/>
      <c r="B977" s="684" t="s">
        <v>3762</v>
      </c>
      <c r="C977" s="679">
        <v>0</v>
      </c>
      <c r="D977" s="678">
        <v>31566925606.560001</v>
      </c>
      <c r="E977" s="678">
        <v>69243043.780000001</v>
      </c>
      <c r="F977" s="678">
        <v>74573924.069999993</v>
      </c>
      <c r="G977" s="679">
        <v>0</v>
      </c>
      <c r="H977" s="678">
        <v>31572256486.849998</v>
      </c>
      <c r="I977" s="677" t="s">
        <v>1125</v>
      </c>
    </row>
    <row r="978" spans="1:9" ht="17.100000000000001" customHeight="1">
      <c r="A978" s="320"/>
      <c r="B978" s="320"/>
      <c r="C978" s="320"/>
      <c r="D978" s="557" t="s">
        <v>4317</v>
      </c>
      <c r="E978" s="320" t="s">
        <v>3764</v>
      </c>
      <c r="F978" s="320"/>
      <c r="G978" s="320"/>
      <c r="H978" s="320"/>
      <c r="I978" s="320"/>
    </row>
    <row r="979" spans="1:9" ht="17.100000000000001" customHeight="1">
      <c r="A979" s="671"/>
      <c r="B979" s="671"/>
      <c r="C979" s="671"/>
      <c r="D979" s="671"/>
      <c r="E979" s="671"/>
      <c r="F979" s="671"/>
      <c r="G979" s="671"/>
      <c r="H979" s="671"/>
      <c r="I979" s="671"/>
    </row>
    <row r="980" spans="1:9" ht="17.100000000000001" customHeight="1">
      <c r="A980" s="320"/>
      <c r="B980" s="320"/>
      <c r="C980" s="672" t="s">
        <v>4316</v>
      </c>
      <c r="D980" s="320"/>
      <c r="E980" s="320"/>
      <c r="F980" s="671"/>
      <c r="G980" s="671"/>
      <c r="H980" s="671"/>
      <c r="I980" s="671"/>
    </row>
    <row r="981" spans="1:9" ht="17.100000000000001" customHeight="1">
      <c r="A981" s="673" t="s">
        <v>3708</v>
      </c>
      <c r="B981" s="673"/>
      <c r="C981" s="683">
        <v>42551</v>
      </c>
      <c r="D981" s="673"/>
      <c r="E981" s="557" t="s">
        <v>3709</v>
      </c>
      <c r="F981" s="671"/>
      <c r="G981" s="671"/>
      <c r="H981" s="671"/>
      <c r="I981" s="671"/>
    </row>
    <row r="982" spans="1:9" ht="17.100000000000001" customHeight="1">
      <c r="A982" s="676" t="s">
        <v>596</v>
      </c>
      <c r="B982" s="676" t="s">
        <v>597</v>
      </c>
      <c r="C982" s="676" t="s">
        <v>3710</v>
      </c>
      <c r="D982" s="676" t="s">
        <v>3711</v>
      </c>
      <c r="E982" s="676" t="s">
        <v>3712</v>
      </c>
      <c r="F982" s="676" t="s">
        <v>3713</v>
      </c>
      <c r="G982" s="676" t="s">
        <v>3714</v>
      </c>
      <c r="H982" s="676" t="s">
        <v>3715</v>
      </c>
      <c r="I982" s="676" t="s">
        <v>596</v>
      </c>
    </row>
    <row r="983" spans="1:9" ht="28.5" customHeight="1">
      <c r="A983" s="677">
        <v>6011</v>
      </c>
      <c r="B983" s="677" t="s">
        <v>1753</v>
      </c>
      <c r="C983" s="679">
        <v>0</v>
      </c>
      <c r="D983" s="678">
        <v>5054217856.9499998</v>
      </c>
      <c r="E983" s="679">
        <v>0</v>
      </c>
      <c r="F983" s="678">
        <v>468428594.55000001</v>
      </c>
      <c r="G983" s="679">
        <v>0</v>
      </c>
      <c r="H983" s="678">
        <v>5522646451.5</v>
      </c>
      <c r="I983" s="677" t="s">
        <v>1754</v>
      </c>
    </row>
    <row r="984" spans="1:9">
      <c r="A984" s="677">
        <v>601101</v>
      </c>
      <c r="B984" s="677" t="s">
        <v>1755</v>
      </c>
      <c r="C984" s="679">
        <v>0</v>
      </c>
      <c r="D984" s="678">
        <v>257160029.47</v>
      </c>
      <c r="E984" s="679">
        <v>0</v>
      </c>
      <c r="F984" s="678">
        <v>20551735.32</v>
      </c>
      <c r="G984" s="679">
        <v>0</v>
      </c>
      <c r="H984" s="678">
        <v>277711764.79000002</v>
      </c>
      <c r="I984" s="677" t="s">
        <v>1756</v>
      </c>
    </row>
    <row r="985" spans="1:9" ht="24">
      <c r="A985" s="677">
        <v>60110101</v>
      </c>
      <c r="B985" s="677" t="s">
        <v>2693</v>
      </c>
      <c r="C985" s="679">
        <v>0</v>
      </c>
      <c r="D985" s="678">
        <v>32284.49</v>
      </c>
      <c r="E985" s="679">
        <v>0</v>
      </c>
      <c r="F985" s="678">
        <v>2705.88</v>
      </c>
      <c r="G985" s="679">
        <v>0</v>
      </c>
      <c r="H985" s="678">
        <v>34990.370000000003</v>
      </c>
      <c r="I985" s="677" t="s">
        <v>2694</v>
      </c>
    </row>
    <row r="986" spans="1:9" ht="24">
      <c r="A986" s="677">
        <v>60110102</v>
      </c>
      <c r="B986" s="677" t="s">
        <v>1757</v>
      </c>
      <c r="C986" s="679">
        <v>0</v>
      </c>
      <c r="D986" s="678">
        <v>1170720.3799999999</v>
      </c>
      <c r="E986" s="679">
        <v>0</v>
      </c>
      <c r="F986" s="678">
        <v>105873.95</v>
      </c>
      <c r="G986" s="679">
        <v>0</v>
      </c>
      <c r="H986" s="678">
        <v>1276594.33</v>
      </c>
      <c r="I986" s="677" t="s">
        <v>1758</v>
      </c>
    </row>
    <row r="987" spans="1:9" ht="28.5" customHeight="1">
      <c r="A987" s="677">
        <v>60110103</v>
      </c>
      <c r="B987" s="677" t="s">
        <v>1759</v>
      </c>
      <c r="C987" s="679">
        <v>0</v>
      </c>
      <c r="D987" s="678">
        <v>43418.76</v>
      </c>
      <c r="E987" s="679">
        <v>0</v>
      </c>
      <c r="F987" s="678">
        <v>3102.53</v>
      </c>
      <c r="G987" s="679">
        <v>0</v>
      </c>
      <c r="H987" s="678">
        <v>46521.29</v>
      </c>
      <c r="I987" s="677" t="s">
        <v>1760</v>
      </c>
    </row>
    <row r="988" spans="1:9" ht="17.100000000000001" customHeight="1">
      <c r="A988" s="677">
        <v>60110104</v>
      </c>
      <c r="B988" s="677" t="s">
        <v>1761</v>
      </c>
      <c r="C988" s="679">
        <v>0</v>
      </c>
      <c r="D988" s="678">
        <v>2696964.81</v>
      </c>
      <c r="E988" s="679">
        <v>0</v>
      </c>
      <c r="F988" s="678">
        <v>175108.55</v>
      </c>
      <c r="G988" s="679">
        <v>0</v>
      </c>
      <c r="H988" s="678">
        <v>2872073.36</v>
      </c>
      <c r="I988" s="677" t="s">
        <v>1762</v>
      </c>
    </row>
    <row r="989" spans="1:9" ht="17.100000000000001" customHeight="1">
      <c r="A989" s="677">
        <v>60110105</v>
      </c>
      <c r="B989" s="677" t="s">
        <v>1763</v>
      </c>
      <c r="C989" s="679">
        <v>0</v>
      </c>
      <c r="D989" s="678">
        <v>43058263.380000003</v>
      </c>
      <c r="E989" s="679">
        <v>0</v>
      </c>
      <c r="F989" s="678">
        <v>3759866.56</v>
      </c>
      <c r="G989" s="679">
        <v>0</v>
      </c>
      <c r="H989" s="678">
        <v>46818129.939999998</v>
      </c>
      <c r="I989" s="677" t="s">
        <v>1764</v>
      </c>
    </row>
    <row r="990" spans="1:9" ht="17.100000000000001" customHeight="1">
      <c r="A990" s="677">
        <v>60110106</v>
      </c>
      <c r="B990" s="677" t="s">
        <v>1765</v>
      </c>
      <c r="C990" s="679">
        <v>0</v>
      </c>
      <c r="D990" s="678">
        <v>7837272.9100000001</v>
      </c>
      <c r="E990" s="679">
        <v>0</v>
      </c>
      <c r="F990" s="678">
        <v>758331.33</v>
      </c>
      <c r="G990" s="679">
        <v>0</v>
      </c>
      <c r="H990" s="678">
        <v>8595604.2400000002</v>
      </c>
      <c r="I990" s="677" t="s">
        <v>1766</v>
      </c>
    </row>
    <row r="991" spans="1:9" ht="17.100000000000001" customHeight="1">
      <c r="A991" s="677">
        <v>60110107</v>
      </c>
      <c r="B991" s="677" t="s">
        <v>1767</v>
      </c>
      <c r="C991" s="679">
        <v>0</v>
      </c>
      <c r="D991" s="678">
        <v>145417.17000000001</v>
      </c>
      <c r="E991" s="679">
        <v>0</v>
      </c>
      <c r="F991" s="678">
        <v>8198.06</v>
      </c>
      <c r="G991" s="679">
        <v>0</v>
      </c>
      <c r="H991" s="678">
        <v>153615.23000000001</v>
      </c>
      <c r="I991" s="677" t="s">
        <v>1768</v>
      </c>
    </row>
    <row r="992" spans="1:9" ht="17.100000000000001" customHeight="1">
      <c r="A992" s="677">
        <v>60110108</v>
      </c>
      <c r="B992" s="677" t="s">
        <v>2695</v>
      </c>
      <c r="C992" s="679">
        <v>0</v>
      </c>
      <c r="D992" s="678">
        <v>126166.88</v>
      </c>
      <c r="E992" s="679">
        <v>0</v>
      </c>
      <c r="F992" s="678">
        <v>10781.75</v>
      </c>
      <c r="G992" s="679">
        <v>0</v>
      </c>
      <c r="H992" s="678">
        <v>136948.63</v>
      </c>
      <c r="I992" s="677" t="s">
        <v>2696</v>
      </c>
    </row>
    <row r="993" spans="1:9" ht="17.100000000000001" customHeight="1">
      <c r="A993" s="677">
        <v>60110110</v>
      </c>
      <c r="B993" s="677" t="s">
        <v>1769</v>
      </c>
      <c r="C993" s="679">
        <v>0</v>
      </c>
      <c r="D993" s="678">
        <v>92022844.769999996</v>
      </c>
      <c r="E993" s="679">
        <v>0</v>
      </c>
      <c r="F993" s="678">
        <v>5946083.5199999996</v>
      </c>
      <c r="G993" s="679">
        <v>0</v>
      </c>
      <c r="H993" s="678">
        <v>97968928.290000007</v>
      </c>
      <c r="I993" s="677" t="s">
        <v>1770</v>
      </c>
    </row>
    <row r="994" spans="1:9" ht="17.100000000000001" customHeight="1">
      <c r="A994" s="677">
        <v>60110111</v>
      </c>
      <c r="B994" s="677" t="s">
        <v>1771</v>
      </c>
      <c r="C994" s="679">
        <v>0</v>
      </c>
      <c r="D994" s="678">
        <v>109820233.73999999</v>
      </c>
      <c r="E994" s="679">
        <v>0</v>
      </c>
      <c r="F994" s="678">
        <v>9769871.1400000006</v>
      </c>
      <c r="G994" s="679">
        <v>0</v>
      </c>
      <c r="H994" s="678">
        <v>119590104.88</v>
      </c>
      <c r="I994" s="677" t="s">
        <v>1772</v>
      </c>
    </row>
    <row r="995" spans="1:9" ht="17.100000000000001" customHeight="1">
      <c r="A995" s="677">
        <v>60110112</v>
      </c>
      <c r="B995" s="677" t="s">
        <v>1773</v>
      </c>
      <c r="C995" s="679">
        <v>0</v>
      </c>
      <c r="D995" s="678">
        <v>206442.18</v>
      </c>
      <c r="E995" s="679">
        <v>0</v>
      </c>
      <c r="F995" s="678">
        <v>11812.05</v>
      </c>
      <c r="G995" s="679">
        <v>0</v>
      </c>
      <c r="H995" s="678">
        <v>218254.23</v>
      </c>
      <c r="I995" s="677" t="s">
        <v>1774</v>
      </c>
    </row>
    <row r="996" spans="1:9" ht="17.100000000000001" customHeight="1">
      <c r="A996" s="677">
        <v>601102</v>
      </c>
      <c r="B996" s="677" t="s">
        <v>4008</v>
      </c>
      <c r="C996" s="679">
        <v>0</v>
      </c>
      <c r="D996" s="678">
        <v>79196.710000000006</v>
      </c>
      <c r="E996" s="679">
        <v>0</v>
      </c>
      <c r="F996" s="678">
        <v>4603.04</v>
      </c>
      <c r="G996" s="679">
        <v>0</v>
      </c>
      <c r="H996" s="678">
        <v>83799.75</v>
      </c>
      <c r="I996" s="677" t="s">
        <v>4009</v>
      </c>
    </row>
    <row r="997" spans="1:9" ht="17.100000000000001" customHeight="1">
      <c r="A997" s="677">
        <v>60110202</v>
      </c>
      <c r="B997" s="677" t="s">
        <v>4010</v>
      </c>
      <c r="C997" s="679">
        <v>0</v>
      </c>
      <c r="D997" s="678">
        <v>79196.710000000006</v>
      </c>
      <c r="E997" s="679">
        <v>0</v>
      </c>
      <c r="F997" s="678">
        <v>4603.04</v>
      </c>
      <c r="G997" s="679">
        <v>0</v>
      </c>
      <c r="H997" s="678">
        <v>83799.75</v>
      </c>
      <c r="I997" s="677" t="s">
        <v>4011</v>
      </c>
    </row>
    <row r="998" spans="1:9" ht="17.100000000000001" customHeight="1">
      <c r="A998" s="677">
        <v>601103</v>
      </c>
      <c r="B998" s="677" t="s">
        <v>1775</v>
      </c>
      <c r="C998" s="679">
        <v>0</v>
      </c>
      <c r="D998" s="678">
        <v>103093436.23</v>
      </c>
      <c r="E998" s="679">
        <v>0</v>
      </c>
      <c r="F998" s="678">
        <v>8040672.3799999999</v>
      </c>
      <c r="G998" s="679">
        <v>0</v>
      </c>
      <c r="H998" s="678">
        <v>111134108.61</v>
      </c>
      <c r="I998" s="677" t="s">
        <v>1776</v>
      </c>
    </row>
    <row r="999" spans="1:9" ht="17.100000000000001" customHeight="1">
      <c r="A999" s="677">
        <v>60110301</v>
      </c>
      <c r="B999" s="677" t="s">
        <v>1777</v>
      </c>
      <c r="C999" s="679">
        <v>0</v>
      </c>
      <c r="D999" s="678">
        <v>19930255.129999999</v>
      </c>
      <c r="E999" s="679">
        <v>0</v>
      </c>
      <c r="F999" s="678">
        <v>1693478.59</v>
      </c>
      <c r="G999" s="679">
        <v>0</v>
      </c>
      <c r="H999" s="678">
        <v>21623733.719999999</v>
      </c>
      <c r="I999" s="677" t="s">
        <v>1778</v>
      </c>
    </row>
    <row r="1000" spans="1:9" ht="17.100000000000001" customHeight="1">
      <c r="A1000" s="677">
        <v>60110302</v>
      </c>
      <c r="B1000" s="677" t="s">
        <v>1779</v>
      </c>
      <c r="C1000" s="679">
        <v>0</v>
      </c>
      <c r="D1000" s="678">
        <v>39999708.030000001</v>
      </c>
      <c r="E1000" s="679">
        <v>0</v>
      </c>
      <c r="F1000" s="678">
        <v>2570552.2799999998</v>
      </c>
      <c r="G1000" s="679">
        <v>0</v>
      </c>
      <c r="H1000" s="678">
        <v>42570260.310000002</v>
      </c>
      <c r="I1000" s="677" t="s">
        <v>1780</v>
      </c>
    </row>
    <row r="1001" spans="1:9" ht="17.100000000000001" customHeight="1">
      <c r="A1001" s="677">
        <v>60110303</v>
      </c>
      <c r="B1001" s="677" t="s">
        <v>1781</v>
      </c>
      <c r="C1001" s="679">
        <v>0</v>
      </c>
      <c r="D1001" s="678">
        <v>3044493.94</v>
      </c>
      <c r="E1001" s="679">
        <v>0</v>
      </c>
      <c r="F1001" s="678">
        <v>579868.23</v>
      </c>
      <c r="G1001" s="679">
        <v>0</v>
      </c>
      <c r="H1001" s="678">
        <v>3624362.17</v>
      </c>
      <c r="I1001" s="677" t="s">
        <v>1782</v>
      </c>
    </row>
    <row r="1002" spans="1:9" ht="17.100000000000001" customHeight="1">
      <c r="A1002" s="677">
        <v>60110304</v>
      </c>
      <c r="B1002" s="677" t="s">
        <v>1783</v>
      </c>
      <c r="C1002" s="679">
        <v>0</v>
      </c>
      <c r="D1002" s="678">
        <v>29699739.539999999</v>
      </c>
      <c r="E1002" s="679">
        <v>0</v>
      </c>
      <c r="F1002" s="678">
        <v>1630655.37</v>
      </c>
      <c r="G1002" s="679">
        <v>0</v>
      </c>
      <c r="H1002" s="678">
        <v>31330394.91</v>
      </c>
      <c r="I1002" s="677" t="s">
        <v>1784</v>
      </c>
    </row>
    <row r="1003" spans="1:9" ht="17.100000000000001" customHeight="1">
      <c r="A1003" s="677">
        <v>60110305</v>
      </c>
      <c r="B1003" s="677" t="s">
        <v>1785</v>
      </c>
      <c r="C1003" s="679">
        <v>0</v>
      </c>
      <c r="D1003" s="678">
        <v>10419239.59</v>
      </c>
      <c r="E1003" s="679">
        <v>0</v>
      </c>
      <c r="F1003" s="678">
        <v>1566117.91</v>
      </c>
      <c r="G1003" s="679">
        <v>0</v>
      </c>
      <c r="H1003" s="678">
        <v>11985357.5</v>
      </c>
      <c r="I1003" s="677" t="s">
        <v>1786</v>
      </c>
    </row>
    <row r="1004" spans="1:9" ht="17.100000000000001" customHeight="1">
      <c r="A1004" s="677">
        <v>601104</v>
      </c>
      <c r="B1004" s="677" t="s">
        <v>1787</v>
      </c>
      <c r="C1004" s="679">
        <v>0</v>
      </c>
      <c r="D1004" s="678">
        <v>4543833400.9200001</v>
      </c>
      <c r="E1004" s="679">
        <v>0</v>
      </c>
      <c r="F1004" s="678">
        <v>428233455.38999999</v>
      </c>
      <c r="G1004" s="679">
        <v>0</v>
      </c>
      <c r="H1004" s="678">
        <v>4972066856.3100004</v>
      </c>
      <c r="I1004" s="677" t="s">
        <v>1788</v>
      </c>
    </row>
    <row r="1005" spans="1:9" ht="17.100000000000001" customHeight="1">
      <c r="A1005" s="677">
        <v>60110401</v>
      </c>
      <c r="B1005" s="677" t="s">
        <v>1789</v>
      </c>
      <c r="C1005" s="679">
        <v>0</v>
      </c>
      <c r="D1005" s="678">
        <v>9538888.5399999991</v>
      </c>
      <c r="E1005" s="679">
        <v>0</v>
      </c>
      <c r="F1005" s="678">
        <v>700470.59</v>
      </c>
      <c r="G1005" s="679">
        <v>0</v>
      </c>
      <c r="H1005" s="678">
        <v>10239359.130000001</v>
      </c>
      <c r="I1005" s="677" t="s">
        <v>1790</v>
      </c>
    </row>
    <row r="1006" spans="1:9" ht="17.100000000000001" customHeight="1">
      <c r="A1006" s="677">
        <v>60110402</v>
      </c>
      <c r="B1006" s="677" t="s">
        <v>1791</v>
      </c>
      <c r="C1006" s="679">
        <v>0</v>
      </c>
      <c r="D1006" s="678">
        <v>178796491.38</v>
      </c>
      <c r="E1006" s="679">
        <v>0</v>
      </c>
      <c r="F1006" s="678">
        <v>14656230.26</v>
      </c>
      <c r="G1006" s="679">
        <v>0</v>
      </c>
      <c r="H1006" s="678">
        <v>193452721.63999999</v>
      </c>
      <c r="I1006" s="677" t="s">
        <v>1792</v>
      </c>
    </row>
    <row r="1007" spans="1:9" ht="17.100000000000001" customHeight="1">
      <c r="A1007" s="677">
        <v>60110403</v>
      </c>
      <c r="B1007" s="677" t="s">
        <v>1793</v>
      </c>
      <c r="C1007" s="679">
        <v>0</v>
      </c>
      <c r="D1007" s="678">
        <v>580142332.96000004</v>
      </c>
      <c r="E1007" s="679">
        <v>0</v>
      </c>
      <c r="F1007" s="678">
        <v>56700909.280000001</v>
      </c>
      <c r="G1007" s="679">
        <v>0</v>
      </c>
      <c r="H1007" s="678">
        <v>636843242.24000001</v>
      </c>
      <c r="I1007" s="677" t="s">
        <v>1794</v>
      </c>
    </row>
    <row r="1008" spans="1:9" ht="17.100000000000001" customHeight="1">
      <c r="A1008" s="677">
        <v>60110404</v>
      </c>
      <c r="B1008" s="677" t="s">
        <v>1795</v>
      </c>
      <c r="C1008" s="679">
        <v>0</v>
      </c>
      <c r="D1008" s="678">
        <v>292868928.25999999</v>
      </c>
      <c r="E1008" s="679">
        <v>0</v>
      </c>
      <c r="F1008" s="678">
        <v>21305512.489999998</v>
      </c>
      <c r="G1008" s="679">
        <v>0</v>
      </c>
      <c r="H1008" s="678">
        <v>314174440.75</v>
      </c>
      <c r="I1008" s="677" t="s">
        <v>1796</v>
      </c>
    </row>
    <row r="1009" spans="1:9" ht="17.100000000000001" customHeight="1">
      <c r="A1009" s="677">
        <v>60110405</v>
      </c>
      <c r="B1009" s="677" t="s">
        <v>1797</v>
      </c>
      <c r="C1009" s="679">
        <v>0</v>
      </c>
      <c r="D1009" s="678">
        <v>359609070.5</v>
      </c>
      <c r="E1009" s="679">
        <v>0</v>
      </c>
      <c r="F1009" s="678">
        <v>28051370.800000001</v>
      </c>
      <c r="G1009" s="679">
        <v>0</v>
      </c>
      <c r="H1009" s="678">
        <v>387660441.30000001</v>
      </c>
      <c r="I1009" s="677" t="s">
        <v>1798</v>
      </c>
    </row>
    <row r="1010" spans="1:9" ht="17.100000000000001" customHeight="1">
      <c r="A1010" s="677">
        <v>60110406</v>
      </c>
      <c r="B1010" s="677" t="s">
        <v>1799</v>
      </c>
      <c r="C1010" s="679">
        <v>0</v>
      </c>
      <c r="D1010" s="678">
        <v>3354222.17</v>
      </c>
      <c r="E1010" s="679">
        <v>0</v>
      </c>
      <c r="F1010" s="678">
        <v>250970.93</v>
      </c>
      <c r="G1010" s="679">
        <v>0</v>
      </c>
      <c r="H1010" s="678">
        <v>3605193.1</v>
      </c>
      <c r="I1010" s="677" t="s">
        <v>1800</v>
      </c>
    </row>
    <row r="1011" spans="1:9" ht="17.100000000000001" customHeight="1">
      <c r="A1011" s="677">
        <v>60110407</v>
      </c>
      <c r="B1011" s="677" t="s">
        <v>1801</v>
      </c>
      <c r="C1011" s="679">
        <v>0</v>
      </c>
      <c r="D1011" s="678">
        <v>1077552853.74</v>
      </c>
      <c r="E1011" s="679">
        <v>0</v>
      </c>
      <c r="F1011" s="678">
        <v>97807024.680000007</v>
      </c>
      <c r="G1011" s="679">
        <v>0</v>
      </c>
      <c r="H1011" s="678">
        <v>1175359878.4200001</v>
      </c>
      <c r="I1011" s="677" t="s">
        <v>1802</v>
      </c>
    </row>
    <row r="1012" spans="1:9" ht="17.100000000000001" customHeight="1">
      <c r="A1012" s="677">
        <v>60110408</v>
      </c>
      <c r="B1012" s="677" t="s">
        <v>1803</v>
      </c>
      <c r="C1012" s="679">
        <v>0</v>
      </c>
      <c r="D1012" s="678">
        <v>703377163.49000001</v>
      </c>
      <c r="E1012" s="679">
        <v>0</v>
      </c>
      <c r="F1012" s="678">
        <v>106157385.45</v>
      </c>
      <c r="G1012" s="679">
        <v>0</v>
      </c>
      <c r="H1012" s="678">
        <v>809534548.94000006</v>
      </c>
      <c r="I1012" s="677" t="s">
        <v>1804</v>
      </c>
    </row>
    <row r="1013" spans="1:9" ht="17.100000000000001" customHeight="1">
      <c r="A1013" s="677">
        <v>60110409</v>
      </c>
      <c r="B1013" s="677" t="s">
        <v>1805</v>
      </c>
      <c r="C1013" s="679">
        <v>0</v>
      </c>
      <c r="D1013" s="678">
        <v>18645676.390000001</v>
      </c>
      <c r="E1013" s="679">
        <v>0</v>
      </c>
      <c r="F1013" s="678">
        <v>2032726.47</v>
      </c>
      <c r="G1013" s="679">
        <v>0</v>
      </c>
      <c r="H1013" s="678">
        <v>20678402.859999999</v>
      </c>
      <c r="I1013" s="677" t="s">
        <v>1806</v>
      </c>
    </row>
    <row r="1014" spans="1:9" ht="17.100000000000001" customHeight="1">
      <c r="A1014" s="677">
        <v>60110410</v>
      </c>
      <c r="B1014" s="677" t="s">
        <v>1807</v>
      </c>
      <c r="C1014" s="679">
        <v>0</v>
      </c>
      <c r="D1014" s="678">
        <v>541337638.35000002</v>
      </c>
      <c r="E1014" s="679">
        <v>0</v>
      </c>
      <c r="F1014" s="678">
        <v>34312356.799999997</v>
      </c>
      <c r="G1014" s="679">
        <v>0</v>
      </c>
      <c r="H1014" s="678">
        <v>575649995.14999998</v>
      </c>
      <c r="I1014" s="677" t="s">
        <v>1808</v>
      </c>
    </row>
    <row r="1015" spans="1:9" ht="17.100000000000001" customHeight="1">
      <c r="A1015" s="677">
        <v>60110411</v>
      </c>
      <c r="B1015" s="677" t="s">
        <v>1809</v>
      </c>
      <c r="C1015" s="679">
        <v>0</v>
      </c>
      <c r="D1015" s="678">
        <v>643100932.90999997</v>
      </c>
      <c r="E1015" s="679">
        <v>0</v>
      </c>
      <c r="F1015" s="678">
        <v>56256111.969999999</v>
      </c>
      <c r="G1015" s="679">
        <v>0</v>
      </c>
      <c r="H1015" s="678">
        <v>699357044.88</v>
      </c>
      <c r="I1015" s="677" t="s">
        <v>1810</v>
      </c>
    </row>
    <row r="1016" spans="1:9" ht="17.100000000000001" customHeight="1">
      <c r="A1016" s="677">
        <v>60110412</v>
      </c>
      <c r="B1016" s="677" t="s">
        <v>1811</v>
      </c>
      <c r="C1016" s="679">
        <v>0</v>
      </c>
      <c r="D1016" s="678">
        <v>90512706.439999998</v>
      </c>
      <c r="E1016" s="679">
        <v>0</v>
      </c>
      <c r="F1016" s="678">
        <v>6955551.8200000003</v>
      </c>
      <c r="G1016" s="679">
        <v>0</v>
      </c>
      <c r="H1016" s="678">
        <v>97468258.260000005</v>
      </c>
      <c r="I1016" s="677" t="s">
        <v>1812</v>
      </c>
    </row>
    <row r="1017" spans="1:9" ht="17.100000000000001" customHeight="1">
      <c r="A1017" s="320"/>
      <c r="B1017" s="320"/>
      <c r="C1017" s="320"/>
      <c r="D1017" s="557" t="s">
        <v>4317</v>
      </c>
      <c r="E1017" s="320" t="s">
        <v>3768</v>
      </c>
      <c r="F1017" s="320"/>
      <c r="G1017" s="320"/>
      <c r="H1017" s="320"/>
      <c r="I1017" s="320"/>
    </row>
    <row r="1018" spans="1:9" ht="17.100000000000001" customHeight="1">
      <c r="A1018" s="671"/>
      <c r="B1018" s="671"/>
      <c r="C1018" s="671"/>
      <c r="D1018" s="671"/>
      <c r="E1018" s="671"/>
      <c r="F1018" s="671"/>
      <c r="G1018" s="671"/>
      <c r="H1018" s="671"/>
      <c r="I1018" s="671"/>
    </row>
    <row r="1019" spans="1:9" ht="17.100000000000001" customHeight="1">
      <c r="A1019" s="320"/>
      <c r="B1019" s="320"/>
      <c r="C1019" s="672" t="s">
        <v>4316</v>
      </c>
      <c r="D1019" s="320"/>
      <c r="E1019" s="320"/>
      <c r="F1019" s="671"/>
      <c r="G1019" s="671"/>
      <c r="H1019" s="671"/>
      <c r="I1019" s="671"/>
    </row>
    <row r="1020" spans="1:9" ht="17.100000000000001" customHeight="1">
      <c r="A1020" s="673" t="s">
        <v>3708</v>
      </c>
      <c r="B1020" s="673"/>
      <c r="C1020" s="683">
        <v>42551</v>
      </c>
      <c r="D1020" s="673"/>
      <c r="E1020" s="557" t="s">
        <v>3709</v>
      </c>
      <c r="F1020" s="671"/>
      <c r="G1020" s="671"/>
      <c r="H1020" s="671"/>
      <c r="I1020" s="671"/>
    </row>
    <row r="1021" spans="1:9" ht="17.100000000000001" customHeight="1">
      <c r="A1021" s="676" t="s">
        <v>596</v>
      </c>
      <c r="B1021" s="676" t="s">
        <v>597</v>
      </c>
      <c r="C1021" s="676" t="s">
        <v>3710</v>
      </c>
      <c r="D1021" s="676" t="s">
        <v>3711</v>
      </c>
      <c r="E1021" s="676" t="s">
        <v>3712</v>
      </c>
      <c r="F1021" s="676" t="s">
        <v>3713</v>
      </c>
      <c r="G1021" s="676" t="s">
        <v>3714</v>
      </c>
      <c r="H1021" s="676" t="s">
        <v>3715</v>
      </c>
      <c r="I1021" s="676" t="s">
        <v>596</v>
      </c>
    </row>
    <row r="1022" spans="1:9" ht="28.5" customHeight="1">
      <c r="A1022" s="677">
        <v>60110413</v>
      </c>
      <c r="B1022" s="677" t="s">
        <v>1813</v>
      </c>
      <c r="C1022" s="679">
        <v>0</v>
      </c>
      <c r="D1022" s="678">
        <v>26418950.899999999</v>
      </c>
      <c r="E1022" s="679">
        <v>0</v>
      </c>
      <c r="F1022" s="678">
        <v>1909780.47</v>
      </c>
      <c r="G1022" s="679">
        <v>0</v>
      </c>
      <c r="H1022" s="678">
        <v>28328731.370000001</v>
      </c>
      <c r="I1022" s="677" t="s">
        <v>1814</v>
      </c>
    </row>
    <row r="1023" spans="1:9" ht="24">
      <c r="A1023" s="677">
        <v>60110414</v>
      </c>
      <c r="B1023" s="677" t="s">
        <v>1815</v>
      </c>
      <c r="C1023" s="679">
        <v>0</v>
      </c>
      <c r="D1023" s="678">
        <v>18577544.890000001</v>
      </c>
      <c r="E1023" s="679">
        <v>0</v>
      </c>
      <c r="F1023" s="678">
        <v>1137053.3799999999</v>
      </c>
      <c r="G1023" s="679">
        <v>0</v>
      </c>
      <c r="H1023" s="678">
        <v>19714598.27</v>
      </c>
      <c r="I1023" s="677" t="s">
        <v>1816</v>
      </c>
    </row>
    <row r="1024" spans="1:9">
      <c r="A1024" s="677">
        <v>601105</v>
      </c>
      <c r="B1024" s="677" t="s">
        <v>1817</v>
      </c>
      <c r="C1024" s="679">
        <v>0</v>
      </c>
      <c r="D1024" s="678">
        <v>86448537.180000007</v>
      </c>
      <c r="E1024" s="679">
        <v>0</v>
      </c>
      <c r="F1024" s="679">
        <v>625.20000000000005</v>
      </c>
      <c r="G1024" s="679">
        <v>0</v>
      </c>
      <c r="H1024" s="678">
        <v>86449162.379999995</v>
      </c>
      <c r="I1024" s="677" t="s">
        <v>1818</v>
      </c>
    </row>
    <row r="1025" spans="1:9" ht="24">
      <c r="A1025" s="677">
        <v>60110501</v>
      </c>
      <c r="B1025" s="677" t="s">
        <v>1817</v>
      </c>
      <c r="C1025" s="679">
        <v>0</v>
      </c>
      <c r="D1025" s="678">
        <v>86448537.180000007</v>
      </c>
      <c r="E1025" s="679">
        <v>0</v>
      </c>
      <c r="F1025" s="679">
        <v>625.20000000000005</v>
      </c>
      <c r="G1025" s="679">
        <v>0</v>
      </c>
      <c r="H1025" s="678">
        <v>86449162.379999995</v>
      </c>
      <c r="I1025" s="677" t="s">
        <v>1819</v>
      </c>
    </row>
    <row r="1026" spans="1:9" ht="28.5" customHeight="1">
      <c r="A1026" s="677">
        <v>601107</v>
      </c>
      <c r="B1026" s="677" t="s">
        <v>3467</v>
      </c>
      <c r="C1026" s="679">
        <v>0</v>
      </c>
      <c r="D1026" s="679">
        <v>0</v>
      </c>
      <c r="E1026" s="679">
        <v>0</v>
      </c>
      <c r="F1026" s="678">
        <v>84682.3</v>
      </c>
      <c r="G1026" s="679">
        <v>0</v>
      </c>
      <c r="H1026" s="678">
        <v>84682.3</v>
      </c>
      <c r="I1026" s="677" t="s">
        <v>3468</v>
      </c>
    </row>
    <row r="1027" spans="1:9" ht="17.100000000000001" customHeight="1">
      <c r="A1027" s="677">
        <v>60110705</v>
      </c>
      <c r="B1027" s="677" t="s">
        <v>3469</v>
      </c>
      <c r="C1027" s="679">
        <v>0</v>
      </c>
      <c r="D1027" s="679">
        <v>0</v>
      </c>
      <c r="E1027" s="679">
        <v>0</v>
      </c>
      <c r="F1027" s="678">
        <v>84682.3</v>
      </c>
      <c r="G1027" s="679">
        <v>0</v>
      </c>
      <c r="H1027" s="678">
        <v>84682.3</v>
      </c>
      <c r="I1027" s="677" t="s">
        <v>3470</v>
      </c>
    </row>
    <row r="1028" spans="1:9" ht="17.100000000000001" customHeight="1">
      <c r="A1028" s="677">
        <v>601108</v>
      </c>
      <c r="B1028" s="677" t="s">
        <v>1820</v>
      </c>
      <c r="C1028" s="679">
        <v>0</v>
      </c>
      <c r="D1028" s="678">
        <v>3038006.82</v>
      </c>
      <c r="E1028" s="679">
        <v>0</v>
      </c>
      <c r="F1028" s="678">
        <v>111021.89</v>
      </c>
      <c r="G1028" s="679">
        <v>0</v>
      </c>
      <c r="H1028" s="678">
        <v>3149028.71</v>
      </c>
      <c r="I1028" s="677" t="s">
        <v>1821</v>
      </c>
    </row>
    <row r="1029" spans="1:9" ht="17.100000000000001" customHeight="1">
      <c r="A1029" s="677">
        <v>60110802</v>
      </c>
      <c r="B1029" s="677" t="s">
        <v>1822</v>
      </c>
      <c r="C1029" s="679">
        <v>0</v>
      </c>
      <c r="D1029" s="678">
        <v>1646217.57</v>
      </c>
      <c r="E1029" s="679">
        <v>0</v>
      </c>
      <c r="F1029" s="678">
        <v>12217.27</v>
      </c>
      <c r="G1029" s="679">
        <v>0</v>
      </c>
      <c r="H1029" s="678">
        <v>1658434.84</v>
      </c>
      <c r="I1029" s="677" t="s">
        <v>1823</v>
      </c>
    </row>
    <row r="1030" spans="1:9" ht="17.100000000000001" customHeight="1">
      <c r="A1030" s="677">
        <v>60110805</v>
      </c>
      <c r="B1030" s="677" t="s">
        <v>1824</v>
      </c>
      <c r="C1030" s="679">
        <v>0</v>
      </c>
      <c r="D1030" s="678">
        <v>289295.32</v>
      </c>
      <c r="E1030" s="679">
        <v>0</v>
      </c>
      <c r="F1030" s="678">
        <v>52234.68</v>
      </c>
      <c r="G1030" s="679">
        <v>0</v>
      </c>
      <c r="H1030" s="678">
        <v>341530</v>
      </c>
      <c r="I1030" s="677" t="s">
        <v>1825</v>
      </c>
    </row>
    <row r="1031" spans="1:9" ht="17.100000000000001" customHeight="1">
      <c r="A1031" s="677">
        <v>60110807</v>
      </c>
      <c r="B1031" s="677" t="s">
        <v>1826</v>
      </c>
      <c r="C1031" s="679">
        <v>0</v>
      </c>
      <c r="D1031" s="678">
        <v>1102493.93</v>
      </c>
      <c r="E1031" s="679">
        <v>0</v>
      </c>
      <c r="F1031" s="678">
        <v>46569.94</v>
      </c>
      <c r="G1031" s="679">
        <v>0</v>
      </c>
      <c r="H1031" s="678">
        <v>1149063.8700000001</v>
      </c>
      <c r="I1031" s="677" t="s">
        <v>1827</v>
      </c>
    </row>
    <row r="1032" spans="1:9" ht="17.100000000000001" customHeight="1">
      <c r="A1032" s="677">
        <v>601109</v>
      </c>
      <c r="B1032" s="677" t="s">
        <v>1828</v>
      </c>
      <c r="C1032" s="679">
        <v>0</v>
      </c>
      <c r="D1032" s="678">
        <v>60034840.93</v>
      </c>
      <c r="E1032" s="679">
        <v>0</v>
      </c>
      <c r="F1032" s="678">
        <v>11401799.029999999</v>
      </c>
      <c r="G1032" s="679">
        <v>0</v>
      </c>
      <c r="H1032" s="678">
        <v>71436639.959999993</v>
      </c>
      <c r="I1032" s="677" t="s">
        <v>1829</v>
      </c>
    </row>
    <row r="1033" spans="1:9" ht="17.100000000000001" customHeight="1">
      <c r="A1033" s="677">
        <v>60110901</v>
      </c>
      <c r="B1033" s="677" t="s">
        <v>1828</v>
      </c>
      <c r="C1033" s="679">
        <v>0</v>
      </c>
      <c r="D1033" s="678">
        <v>60034840.93</v>
      </c>
      <c r="E1033" s="679">
        <v>0</v>
      </c>
      <c r="F1033" s="678">
        <v>11401799.029999999</v>
      </c>
      <c r="G1033" s="679">
        <v>0</v>
      </c>
      <c r="H1033" s="678">
        <v>71436639.959999993</v>
      </c>
      <c r="I1033" s="677" t="s">
        <v>1830</v>
      </c>
    </row>
    <row r="1034" spans="1:9" ht="17.100000000000001" customHeight="1">
      <c r="A1034" s="677">
        <v>601199</v>
      </c>
      <c r="B1034" s="677" t="s">
        <v>4152</v>
      </c>
      <c r="C1034" s="679">
        <v>0</v>
      </c>
      <c r="D1034" s="678">
        <v>530408.68999999994</v>
      </c>
      <c r="E1034" s="679">
        <v>0</v>
      </c>
      <c r="F1034" s="679">
        <v>0</v>
      </c>
      <c r="G1034" s="679">
        <v>0</v>
      </c>
      <c r="H1034" s="678">
        <v>530408.68999999994</v>
      </c>
      <c r="I1034" s="677" t="s">
        <v>4153</v>
      </c>
    </row>
    <row r="1035" spans="1:9" ht="17.100000000000001" customHeight="1">
      <c r="A1035" s="677">
        <v>60119999</v>
      </c>
      <c r="B1035" s="677" t="s">
        <v>4152</v>
      </c>
      <c r="C1035" s="679">
        <v>0</v>
      </c>
      <c r="D1035" s="678">
        <v>530408.68999999994</v>
      </c>
      <c r="E1035" s="679">
        <v>0</v>
      </c>
      <c r="F1035" s="679">
        <v>0</v>
      </c>
      <c r="G1035" s="679">
        <v>0</v>
      </c>
      <c r="H1035" s="678">
        <v>530408.68999999994</v>
      </c>
      <c r="I1035" s="677" t="s">
        <v>4154</v>
      </c>
    </row>
    <row r="1036" spans="1:9" ht="17.100000000000001" customHeight="1">
      <c r="A1036" s="677">
        <v>6012</v>
      </c>
      <c r="B1036" s="677" t="s">
        <v>1831</v>
      </c>
      <c r="C1036" s="679">
        <v>0</v>
      </c>
      <c r="D1036" s="678">
        <v>4173568556.4099998</v>
      </c>
      <c r="E1036" s="679">
        <v>0</v>
      </c>
      <c r="F1036" s="678">
        <v>161775454.15000001</v>
      </c>
      <c r="G1036" s="679">
        <v>0</v>
      </c>
      <c r="H1036" s="678">
        <v>4335344010.5600004</v>
      </c>
      <c r="I1036" s="677" t="s">
        <v>1832</v>
      </c>
    </row>
    <row r="1037" spans="1:9" ht="17.100000000000001" customHeight="1">
      <c r="A1037" s="677">
        <v>601201</v>
      </c>
      <c r="B1037" s="677" t="s">
        <v>1833</v>
      </c>
      <c r="C1037" s="679">
        <v>0</v>
      </c>
      <c r="D1037" s="678">
        <v>405609530.92000002</v>
      </c>
      <c r="E1037" s="679">
        <v>0</v>
      </c>
      <c r="F1037" s="678">
        <v>24213399.890000001</v>
      </c>
      <c r="G1037" s="679">
        <v>0</v>
      </c>
      <c r="H1037" s="678">
        <v>429822930.81</v>
      </c>
      <c r="I1037" s="677" t="s">
        <v>1834</v>
      </c>
    </row>
    <row r="1038" spans="1:9" ht="17.100000000000001" customHeight="1">
      <c r="A1038" s="677">
        <v>60120101</v>
      </c>
      <c r="B1038" s="677" t="s">
        <v>1835</v>
      </c>
      <c r="C1038" s="679">
        <v>0</v>
      </c>
      <c r="D1038" s="678">
        <v>404979542.42000002</v>
      </c>
      <c r="E1038" s="679">
        <v>0</v>
      </c>
      <c r="F1038" s="678">
        <v>24211755.609999999</v>
      </c>
      <c r="G1038" s="679">
        <v>0</v>
      </c>
      <c r="H1038" s="678">
        <v>429191298.02999997</v>
      </c>
      <c r="I1038" s="677" t="s">
        <v>1836</v>
      </c>
    </row>
    <row r="1039" spans="1:9" ht="17.100000000000001" customHeight="1">
      <c r="A1039" s="677">
        <v>60120199</v>
      </c>
      <c r="B1039" s="677" t="s">
        <v>1837</v>
      </c>
      <c r="C1039" s="679">
        <v>0</v>
      </c>
      <c r="D1039" s="678">
        <v>629988.5</v>
      </c>
      <c r="E1039" s="679">
        <v>0</v>
      </c>
      <c r="F1039" s="678">
        <v>1644.28</v>
      </c>
      <c r="G1039" s="679">
        <v>0</v>
      </c>
      <c r="H1039" s="678">
        <v>631632.78</v>
      </c>
      <c r="I1039" s="677" t="s">
        <v>1838</v>
      </c>
    </row>
    <row r="1040" spans="1:9" ht="17.100000000000001" customHeight="1">
      <c r="A1040" s="677">
        <v>601202</v>
      </c>
      <c r="B1040" s="677" t="s">
        <v>1839</v>
      </c>
      <c r="C1040" s="679">
        <v>0</v>
      </c>
      <c r="D1040" s="678">
        <v>250972834.25</v>
      </c>
      <c r="E1040" s="679">
        <v>0</v>
      </c>
      <c r="F1040" s="678">
        <v>1075880.33</v>
      </c>
      <c r="G1040" s="679">
        <v>0</v>
      </c>
      <c r="H1040" s="678">
        <v>252048714.58000001</v>
      </c>
      <c r="I1040" s="677" t="s">
        <v>1840</v>
      </c>
    </row>
    <row r="1041" spans="1:9" ht="17.100000000000001" customHeight="1">
      <c r="A1041" s="677">
        <v>60120202</v>
      </c>
      <c r="B1041" s="677" t="s">
        <v>2607</v>
      </c>
      <c r="C1041" s="679">
        <v>0</v>
      </c>
      <c r="D1041" s="678">
        <v>6300779.6299999999</v>
      </c>
      <c r="E1041" s="679">
        <v>0</v>
      </c>
      <c r="F1041" s="678">
        <v>13253.35</v>
      </c>
      <c r="G1041" s="679">
        <v>0</v>
      </c>
      <c r="H1041" s="678">
        <v>6314032.9800000004</v>
      </c>
      <c r="I1041" s="677" t="s">
        <v>1841</v>
      </c>
    </row>
    <row r="1042" spans="1:9" ht="17.100000000000001" customHeight="1">
      <c r="A1042" s="677">
        <v>60120203</v>
      </c>
      <c r="B1042" s="677" t="s">
        <v>2697</v>
      </c>
      <c r="C1042" s="679">
        <v>0</v>
      </c>
      <c r="D1042" s="678">
        <v>12813.35</v>
      </c>
      <c r="E1042" s="679">
        <v>0</v>
      </c>
      <c r="F1042" s="679">
        <v>0</v>
      </c>
      <c r="G1042" s="679">
        <v>0</v>
      </c>
      <c r="H1042" s="678">
        <v>12813.35</v>
      </c>
      <c r="I1042" s="677" t="s">
        <v>2698</v>
      </c>
    </row>
    <row r="1043" spans="1:9" ht="17.100000000000001" customHeight="1">
      <c r="A1043" s="677">
        <v>60120204</v>
      </c>
      <c r="B1043" s="677" t="s">
        <v>2608</v>
      </c>
      <c r="C1043" s="679">
        <v>0</v>
      </c>
      <c r="D1043" s="678">
        <v>240893317.02000001</v>
      </c>
      <c r="E1043" s="679">
        <v>0</v>
      </c>
      <c r="F1043" s="678">
        <v>847313.14</v>
      </c>
      <c r="G1043" s="679">
        <v>0</v>
      </c>
      <c r="H1043" s="678">
        <v>241740630.16</v>
      </c>
      <c r="I1043" s="677" t="s">
        <v>1842</v>
      </c>
    </row>
    <row r="1044" spans="1:9" ht="17.100000000000001" customHeight="1">
      <c r="A1044" s="677">
        <v>60120210</v>
      </c>
      <c r="B1044" s="677" t="s">
        <v>4116</v>
      </c>
      <c r="C1044" s="679">
        <v>0</v>
      </c>
      <c r="D1044" s="678">
        <v>56738.89</v>
      </c>
      <c r="E1044" s="679">
        <v>0</v>
      </c>
      <c r="F1044" s="679">
        <v>0</v>
      </c>
      <c r="G1044" s="679">
        <v>0</v>
      </c>
      <c r="H1044" s="678">
        <v>56738.89</v>
      </c>
      <c r="I1044" s="677" t="s">
        <v>4117</v>
      </c>
    </row>
    <row r="1045" spans="1:9" ht="17.100000000000001" customHeight="1">
      <c r="A1045" s="677">
        <v>60120252</v>
      </c>
      <c r="B1045" s="677" t="s">
        <v>4012</v>
      </c>
      <c r="C1045" s="679">
        <v>0</v>
      </c>
      <c r="D1045" s="678">
        <v>3306833.33</v>
      </c>
      <c r="E1045" s="679">
        <v>0</v>
      </c>
      <c r="F1045" s="679">
        <v>0</v>
      </c>
      <c r="G1045" s="679">
        <v>0</v>
      </c>
      <c r="H1045" s="678">
        <v>3306833.33</v>
      </c>
      <c r="I1045" s="677" t="s">
        <v>4013</v>
      </c>
    </row>
    <row r="1046" spans="1:9" ht="17.100000000000001" customHeight="1">
      <c r="A1046" s="677">
        <v>60120299</v>
      </c>
      <c r="B1046" s="677" t="s">
        <v>4014</v>
      </c>
      <c r="C1046" s="679">
        <v>0</v>
      </c>
      <c r="D1046" s="678">
        <v>402352.03</v>
      </c>
      <c r="E1046" s="679">
        <v>0</v>
      </c>
      <c r="F1046" s="678">
        <v>215313.84</v>
      </c>
      <c r="G1046" s="679">
        <v>0</v>
      </c>
      <c r="H1046" s="678">
        <v>617665.87</v>
      </c>
      <c r="I1046" s="677" t="s">
        <v>4015</v>
      </c>
    </row>
    <row r="1047" spans="1:9" ht="17.100000000000001" customHeight="1">
      <c r="A1047" s="677">
        <v>601203</v>
      </c>
      <c r="B1047" s="677" t="s">
        <v>1843</v>
      </c>
      <c r="C1047" s="679">
        <v>0</v>
      </c>
      <c r="D1047" s="678">
        <v>2792233193.4699998</v>
      </c>
      <c r="E1047" s="679">
        <v>0</v>
      </c>
      <c r="F1047" s="678">
        <v>4989.6000000000004</v>
      </c>
      <c r="G1047" s="679">
        <v>0</v>
      </c>
      <c r="H1047" s="678">
        <v>2792238183.0700002</v>
      </c>
      <c r="I1047" s="677" t="s">
        <v>1844</v>
      </c>
    </row>
    <row r="1048" spans="1:9" ht="17.100000000000001" customHeight="1">
      <c r="A1048" s="677">
        <v>60120301</v>
      </c>
      <c r="B1048" s="677" t="s">
        <v>1845</v>
      </c>
      <c r="C1048" s="679">
        <v>0</v>
      </c>
      <c r="D1048" s="678">
        <v>1780986.48</v>
      </c>
      <c r="E1048" s="679">
        <v>0</v>
      </c>
      <c r="F1048" s="678">
        <v>4989.6000000000004</v>
      </c>
      <c r="G1048" s="679">
        <v>0</v>
      </c>
      <c r="H1048" s="678">
        <v>1785976.08</v>
      </c>
      <c r="I1048" s="677" t="s">
        <v>1846</v>
      </c>
    </row>
    <row r="1049" spans="1:9" ht="17.100000000000001" customHeight="1">
      <c r="A1049" s="677">
        <v>60120302</v>
      </c>
      <c r="B1049" s="677" t="s">
        <v>4016</v>
      </c>
      <c r="C1049" s="679">
        <v>0</v>
      </c>
      <c r="D1049" s="678">
        <v>2790452206.9899998</v>
      </c>
      <c r="E1049" s="679">
        <v>0</v>
      </c>
      <c r="F1049" s="679">
        <v>0</v>
      </c>
      <c r="G1049" s="679">
        <v>0</v>
      </c>
      <c r="H1049" s="678">
        <v>2790452206.9899998</v>
      </c>
      <c r="I1049" s="677" t="s">
        <v>4017</v>
      </c>
    </row>
    <row r="1050" spans="1:9" ht="17.100000000000001" customHeight="1">
      <c r="A1050" s="677">
        <v>601204</v>
      </c>
      <c r="B1050" s="677" t="s">
        <v>1847</v>
      </c>
      <c r="C1050" s="679">
        <v>0</v>
      </c>
      <c r="D1050" s="678">
        <v>26058591.219999999</v>
      </c>
      <c r="E1050" s="679">
        <v>0</v>
      </c>
      <c r="F1050" s="678">
        <v>236304.34</v>
      </c>
      <c r="G1050" s="679">
        <v>0</v>
      </c>
      <c r="H1050" s="678">
        <v>26294895.559999999</v>
      </c>
      <c r="I1050" s="677" t="s">
        <v>1848</v>
      </c>
    </row>
    <row r="1051" spans="1:9" ht="17.100000000000001" customHeight="1">
      <c r="A1051" s="677">
        <v>60120402</v>
      </c>
      <c r="B1051" s="677" t="s">
        <v>1849</v>
      </c>
      <c r="C1051" s="679">
        <v>0</v>
      </c>
      <c r="D1051" s="678">
        <v>2481465.16</v>
      </c>
      <c r="E1051" s="679">
        <v>0</v>
      </c>
      <c r="F1051" s="679">
        <v>782.88</v>
      </c>
      <c r="G1051" s="679">
        <v>0</v>
      </c>
      <c r="H1051" s="678">
        <v>2482248.04</v>
      </c>
      <c r="I1051" s="677" t="s">
        <v>1850</v>
      </c>
    </row>
    <row r="1052" spans="1:9" ht="17.100000000000001" customHeight="1">
      <c r="A1052" s="677">
        <v>60120411</v>
      </c>
      <c r="B1052" s="677" t="s">
        <v>4155</v>
      </c>
      <c r="C1052" s="679">
        <v>0</v>
      </c>
      <c r="D1052" s="678">
        <v>15287485.060000001</v>
      </c>
      <c r="E1052" s="679">
        <v>0</v>
      </c>
      <c r="F1052" s="679">
        <v>0</v>
      </c>
      <c r="G1052" s="679">
        <v>0</v>
      </c>
      <c r="H1052" s="678">
        <v>15287485.060000001</v>
      </c>
      <c r="I1052" s="677" t="s">
        <v>4156</v>
      </c>
    </row>
    <row r="1053" spans="1:9" ht="17.100000000000001" customHeight="1">
      <c r="A1053" s="677">
        <v>60120419</v>
      </c>
      <c r="B1053" s="677" t="s">
        <v>4332</v>
      </c>
      <c r="C1053" s="679">
        <v>0</v>
      </c>
      <c r="D1053" s="678">
        <v>165880.5</v>
      </c>
      <c r="E1053" s="679">
        <v>0</v>
      </c>
      <c r="F1053" s="679">
        <v>0</v>
      </c>
      <c r="G1053" s="679">
        <v>0</v>
      </c>
      <c r="H1053" s="678">
        <v>165880.5</v>
      </c>
      <c r="I1053" s="677" t="s">
        <v>4333</v>
      </c>
    </row>
    <row r="1054" spans="1:9" ht="17.100000000000001" customHeight="1">
      <c r="A1054" s="677">
        <v>60120425</v>
      </c>
      <c r="B1054" s="677" t="s">
        <v>4334</v>
      </c>
      <c r="C1054" s="679">
        <v>0</v>
      </c>
      <c r="D1054" s="678">
        <v>338092.26</v>
      </c>
      <c r="E1054" s="679">
        <v>0</v>
      </c>
      <c r="F1054" s="678">
        <v>208333.31</v>
      </c>
      <c r="G1054" s="679">
        <v>0</v>
      </c>
      <c r="H1054" s="678">
        <v>546425.56999999995</v>
      </c>
      <c r="I1054" s="677" t="s">
        <v>4335</v>
      </c>
    </row>
    <row r="1055" spans="1:9" ht="17.100000000000001" customHeight="1">
      <c r="A1055" s="677">
        <v>60120431</v>
      </c>
      <c r="B1055" s="677" t="s">
        <v>3471</v>
      </c>
      <c r="C1055" s="679">
        <v>0</v>
      </c>
      <c r="D1055" s="678">
        <v>353446.01</v>
      </c>
      <c r="E1055" s="679">
        <v>0</v>
      </c>
      <c r="F1055" s="678">
        <v>27188.15</v>
      </c>
      <c r="G1055" s="679">
        <v>0</v>
      </c>
      <c r="H1055" s="678">
        <v>380634.16</v>
      </c>
      <c r="I1055" s="677" t="s">
        <v>3472</v>
      </c>
    </row>
    <row r="1056" spans="1:9" ht="17.100000000000001" customHeight="1">
      <c r="A1056" s="320"/>
      <c r="B1056" s="320"/>
      <c r="C1056" s="320"/>
      <c r="D1056" s="557" t="s">
        <v>4317</v>
      </c>
      <c r="E1056" s="320" t="s">
        <v>3769</v>
      </c>
      <c r="F1056" s="320"/>
      <c r="G1056" s="320"/>
      <c r="H1056" s="320"/>
      <c r="I1056" s="320"/>
    </row>
    <row r="1057" spans="1:9" ht="17.100000000000001" customHeight="1">
      <c r="A1057" s="671"/>
      <c r="B1057" s="671"/>
      <c r="C1057" s="671"/>
      <c r="D1057" s="671"/>
      <c r="E1057" s="671"/>
      <c r="F1057" s="671"/>
      <c r="G1057" s="671"/>
      <c r="H1057" s="671"/>
      <c r="I1057" s="671"/>
    </row>
    <row r="1058" spans="1:9" ht="17.100000000000001" customHeight="1">
      <c r="A1058" s="320"/>
      <c r="B1058" s="320"/>
      <c r="C1058" s="672" t="s">
        <v>4316</v>
      </c>
      <c r="D1058" s="320"/>
      <c r="E1058" s="320"/>
      <c r="F1058" s="671"/>
      <c r="G1058" s="671"/>
      <c r="H1058" s="671"/>
      <c r="I1058" s="671"/>
    </row>
    <row r="1059" spans="1:9" ht="17.100000000000001" customHeight="1">
      <c r="A1059" s="673" t="s">
        <v>3708</v>
      </c>
      <c r="B1059" s="673"/>
      <c r="C1059" s="683">
        <v>42551</v>
      </c>
      <c r="D1059" s="673"/>
      <c r="E1059" s="557" t="s">
        <v>3709</v>
      </c>
      <c r="F1059" s="671"/>
      <c r="G1059" s="671"/>
      <c r="H1059" s="671"/>
      <c r="I1059" s="671"/>
    </row>
    <row r="1060" spans="1:9" ht="17.100000000000001" customHeight="1">
      <c r="A1060" s="676" t="s">
        <v>596</v>
      </c>
      <c r="B1060" s="676" t="s">
        <v>597</v>
      </c>
      <c r="C1060" s="676" t="s">
        <v>3710</v>
      </c>
      <c r="D1060" s="676" t="s">
        <v>3711</v>
      </c>
      <c r="E1060" s="676" t="s">
        <v>3712</v>
      </c>
      <c r="F1060" s="676" t="s">
        <v>3713</v>
      </c>
      <c r="G1060" s="676" t="s">
        <v>3714</v>
      </c>
      <c r="H1060" s="676" t="s">
        <v>3715</v>
      </c>
      <c r="I1060" s="676" t="s">
        <v>596</v>
      </c>
    </row>
    <row r="1061" spans="1:9" ht="28.5" customHeight="1">
      <c r="A1061" s="677">
        <v>60120499</v>
      </c>
      <c r="B1061" s="677" t="s">
        <v>4018</v>
      </c>
      <c r="C1061" s="679">
        <v>0</v>
      </c>
      <c r="D1061" s="678">
        <v>7432222.2300000004</v>
      </c>
      <c r="E1061" s="679">
        <v>0</v>
      </c>
      <c r="F1061" s="679">
        <v>0</v>
      </c>
      <c r="G1061" s="679">
        <v>0</v>
      </c>
      <c r="H1061" s="678">
        <v>7432222.2300000004</v>
      </c>
      <c r="I1061" s="677" t="s">
        <v>4019</v>
      </c>
    </row>
    <row r="1062" spans="1:9">
      <c r="A1062" s="677">
        <v>601205</v>
      </c>
      <c r="B1062" s="677" t="s">
        <v>1851</v>
      </c>
      <c r="C1062" s="679">
        <v>0</v>
      </c>
      <c r="D1062" s="678">
        <v>21754.03</v>
      </c>
      <c r="E1062" s="679">
        <v>0</v>
      </c>
      <c r="F1062" s="679">
        <v>0</v>
      </c>
      <c r="G1062" s="679">
        <v>0</v>
      </c>
      <c r="H1062" s="678">
        <v>21754.03</v>
      </c>
      <c r="I1062" s="677" t="s">
        <v>1852</v>
      </c>
    </row>
    <row r="1063" spans="1:9" ht="24">
      <c r="A1063" s="677">
        <v>60120505</v>
      </c>
      <c r="B1063" s="677" t="s">
        <v>1853</v>
      </c>
      <c r="C1063" s="679">
        <v>0</v>
      </c>
      <c r="D1063" s="678">
        <v>21754.03</v>
      </c>
      <c r="E1063" s="679">
        <v>0</v>
      </c>
      <c r="F1063" s="679">
        <v>0</v>
      </c>
      <c r="G1063" s="679">
        <v>0</v>
      </c>
      <c r="H1063" s="678">
        <v>21754.03</v>
      </c>
      <c r="I1063" s="677" t="s">
        <v>1854</v>
      </c>
    </row>
    <row r="1064" spans="1:9">
      <c r="A1064" s="677">
        <v>601206</v>
      </c>
      <c r="B1064" s="677" t="s">
        <v>4139</v>
      </c>
      <c r="C1064" s="679">
        <v>0</v>
      </c>
      <c r="D1064" s="678">
        <v>6777</v>
      </c>
      <c r="E1064" s="679">
        <v>0</v>
      </c>
      <c r="F1064" s="679">
        <v>0</v>
      </c>
      <c r="G1064" s="679">
        <v>0</v>
      </c>
      <c r="H1064" s="678">
        <v>6777</v>
      </c>
      <c r="I1064" s="677" t="s">
        <v>4140</v>
      </c>
    </row>
    <row r="1065" spans="1:9" ht="28.5" customHeight="1">
      <c r="A1065" s="677">
        <v>60120601</v>
      </c>
      <c r="B1065" s="677" t="s">
        <v>4139</v>
      </c>
      <c r="C1065" s="679">
        <v>0</v>
      </c>
      <c r="D1065" s="678">
        <v>6777</v>
      </c>
      <c r="E1065" s="679">
        <v>0</v>
      </c>
      <c r="F1065" s="679">
        <v>0</v>
      </c>
      <c r="G1065" s="679">
        <v>0</v>
      </c>
      <c r="H1065" s="678">
        <v>6777</v>
      </c>
      <c r="I1065" s="677" t="s">
        <v>4141</v>
      </c>
    </row>
    <row r="1066" spans="1:9" ht="17.100000000000001" customHeight="1">
      <c r="A1066" s="677">
        <v>601207</v>
      </c>
      <c r="B1066" s="677" t="s">
        <v>1855</v>
      </c>
      <c r="C1066" s="679">
        <v>0</v>
      </c>
      <c r="D1066" s="678">
        <v>364558845.43000001</v>
      </c>
      <c r="E1066" s="679">
        <v>0</v>
      </c>
      <c r="F1066" s="678">
        <v>12185108.890000001</v>
      </c>
      <c r="G1066" s="679">
        <v>0</v>
      </c>
      <c r="H1066" s="678">
        <v>376743954.31999999</v>
      </c>
      <c r="I1066" s="677" t="s">
        <v>1856</v>
      </c>
    </row>
    <row r="1067" spans="1:9" ht="17.100000000000001" customHeight="1">
      <c r="A1067" s="677">
        <v>60120702</v>
      </c>
      <c r="B1067" s="677" t="s">
        <v>1857</v>
      </c>
      <c r="C1067" s="679">
        <v>0</v>
      </c>
      <c r="D1067" s="678">
        <v>99216093.379999995</v>
      </c>
      <c r="E1067" s="679">
        <v>0</v>
      </c>
      <c r="F1067" s="678">
        <v>129455.82</v>
      </c>
      <c r="G1067" s="679">
        <v>0</v>
      </c>
      <c r="H1067" s="678">
        <v>99345549.200000003</v>
      </c>
      <c r="I1067" s="677" t="s">
        <v>1858</v>
      </c>
    </row>
    <row r="1068" spans="1:9" ht="17.100000000000001" customHeight="1">
      <c r="A1068" s="677">
        <v>60120703</v>
      </c>
      <c r="B1068" s="677" t="s">
        <v>1859</v>
      </c>
      <c r="C1068" s="679">
        <v>0</v>
      </c>
      <c r="D1068" s="678">
        <v>145006553.31</v>
      </c>
      <c r="E1068" s="679">
        <v>0</v>
      </c>
      <c r="F1068" s="678">
        <v>12055653.07</v>
      </c>
      <c r="G1068" s="679">
        <v>0</v>
      </c>
      <c r="H1068" s="678">
        <v>157062206.38</v>
      </c>
      <c r="I1068" s="677" t="s">
        <v>1860</v>
      </c>
    </row>
    <row r="1069" spans="1:9" ht="17.100000000000001" customHeight="1">
      <c r="A1069" s="677">
        <v>60120704</v>
      </c>
      <c r="B1069" s="677" t="s">
        <v>1861</v>
      </c>
      <c r="C1069" s="679">
        <v>0</v>
      </c>
      <c r="D1069" s="678">
        <v>120336198.73999999</v>
      </c>
      <c r="E1069" s="679">
        <v>0</v>
      </c>
      <c r="F1069" s="679">
        <v>0</v>
      </c>
      <c r="G1069" s="679">
        <v>0</v>
      </c>
      <c r="H1069" s="678">
        <v>120336198.73999999</v>
      </c>
      <c r="I1069" s="677" t="s">
        <v>1862</v>
      </c>
    </row>
    <row r="1070" spans="1:9" ht="17.100000000000001" customHeight="1">
      <c r="A1070" s="677">
        <v>601208</v>
      </c>
      <c r="B1070" s="677" t="s">
        <v>1863</v>
      </c>
      <c r="C1070" s="679">
        <v>0</v>
      </c>
      <c r="D1070" s="678">
        <v>317795831.29000002</v>
      </c>
      <c r="E1070" s="679">
        <v>0</v>
      </c>
      <c r="F1070" s="678">
        <v>119400467.55</v>
      </c>
      <c r="G1070" s="679">
        <v>0</v>
      </c>
      <c r="H1070" s="678">
        <v>437196298.83999997</v>
      </c>
      <c r="I1070" s="677" t="s">
        <v>1864</v>
      </c>
    </row>
    <row r="1071" spans="1:9" ht="17.100000000000001" customHeight="1">
      <c r="A1071" s="677">
        <v>60120801</v>
      </c>
      <c r="B1071" s="677" t="s">
        <v>1865</v>
      </c>
      <c r="C1071" s="679">
        <v>0</v>
      </c>
      <c r="D1071" s="678">
        <v>274281931.01999998</v>
      </c>
      <c r="E1071" s="679">
        <v>0</v>
      </c>
      <c r="F1071" s="678">
        <v>113449614.01000001</v>
      </c>
      <c r="G1071" s="679">
        <v>0</v>
      </c>
      <c r="H1071" s="678">
        <v>387731545.02999997</v>
      </c>
      <c r="I1071" s="677" t="s">
        <v>1866</v>
      </c>
    </row>
    <row r="1072" spans="1:9" ht="17.100000000000001" customHeight="1">
      <c r="A1072" s="677">
        <v>60120802</v>
      </c>
      <c r="B1072" s="677" t="s">
        <v>1867</v>
      </c>
      <c r="C1072" s="679">
        <v>0</v>
      </c>
      <c r="D1072" s="678">
        <v>43513900.270000003</v>
      </c>
      <c r="E1072" s="679">
        <v>0</v>
      </c>
      <c r="F1072" s="678">
        <v>5950853.54</v>
      </c>
      <c r="G1072" s="679">
        <v>0</v>
      </c>
      <c r="H1072" s="678">
        <v>49464753.810000002</v>
      </c>
      <c r="I1072" s="677" t="s">
        <v>1868</v>
      </c>
    </row>
    <row r="1073" spans="1:9" ht="17.100000000000001" customHeight="1">
      <c r="A1073" s="677">
        <v>601209</v>
      </c>
      <c r="B1073" s="677" t="s">
        <v>1869</v>
      </c>
      <c r="C1073" s="679">
        <v>0</v>
      </c>
      <c r="D1073" s="678">
        <v>16311198.800000001</v>
      </c>
      <c r="E1073" s="679">
        <v>0</v>
      </c>
      <c r="F1073" s="678">
        <v>4659303.55</v>
      </c>
      <c r="G1073" s="679">
        <v>0</v>
      </c>
      <c r="H1073" s="678">
        <v>20970502.350000001</v>
      </c>
      <c r="I1073" s="677" t="s">
        <v>1870</v>
      </c>
    </row>
    <row r="1074" spans="1:9" ht="17.100000000000001" customHeight="1">
      <c r="A1074" s="677">
        <v>60120901</v>
      </c>
      <c r="B1074" s="677" t="s">
        <v>1871</v>
      </c>
      <c r="C1074" s="679">
        <v>0</v>
      </c>
      <c r="D1074" s="678">
        <v>2322775.02</v>
      </c>
      <c r="E1074" s="679">
        <v>0</v>
      </c>
      <c r="F1074" s="678">
        <v>562036.44999999995</v>
      </c>
      <c r="G1074" s="679">
        <v>0</v>
      </c>
      <c r="H1074" s="678">
        <v>2884811.47</v>
      </c>
      <c r="I1074" s="677" t="s">
        <v>1872</v>
      </c>
    </row>
    <row r="1075" spans="1:9" ht="17.100000000000001" customHeight="1">
      <c r="A1075" s="677">
        <v>60120902</v>
      </c>
      <c r="B1075" s="677" t="s">
        <v>1873</v>
      </c>
      <c r="C1075" s="679">
        <v>0</v>
      </c>
      <c r="D1075" s="678">
        <v>13988423.779999999</v>
      </c>
      <c r="E1075" s="679">
        <v>0</v>
      </c>
      <c r="F1075" s="678">
        <v>4097267.1</v>
      </c>
      <c r="G1075" s="679">
        <v>0</v>
      </c>
      <c r="H1075" s="678">
        <v>18085690.879999999</v>
      </c>
      <c r="I1075" s="677" t="s">
        <v>1874</v>
      </c>
    </row>
    <row r="1076" spans="1:9" ht="17.100000000000001" customHeight="1">
      <c r="A1076" s="677">
        <v>6021</v>
      </c>
      <c r="B1076" s="677" t="s">
        <v>1875</v>
      </c>
      <c r="C1076" s="679">
        <v>0</v>
      </c>
      <c r="D1076" s="678">
        <v>1151831714.49</v>
      </c>
      <c r="E1076" s="678">
        <v>6773.58</v>
      </c>
      <c r="F1076" s="678">
        <v>167905182.52000001</v>
      </c>
      <c r="G1076" s="679">
        <v>0</v>
      </c>
      <c r="H1076" s="678">
        <v>1319730123.4300001</v>
      </c>
      <c r="I1076" s="677" t="s">
        <v>1876</v>
      </c>
    </row>
    <row r="1077" spans="1:9" ht="17.100000000000001" customHeight="1">
      <c r="A1077" s="677">
        <v>602101</v>
      </c>
      <c r="B1077" s="677" t="s">
        <v>1877</v>
      </c>
      <c r="C1077" s="679">
        <v>0</v>
      </c>
      <c r="D1077" s="678">
        <v>221901370.96000001</v>
      </c>
      <c r="E1077" s="678">
        <v>6773.58</v>
      </c>
      <c r="F1077" s="678">
        <v>602921</v>
      </c>
      <c r="G1077" s="679">
        <v>0</v>
      </c>
      <c r="H1077" s="678">
        <v>222497518.38</v>
      </c>
      <c r="I1077" s="677" t="s">
        <v>1878</v>
      </c>
    </row>
    <row r="1078" spans="1:9" ht="17.100000000000001" customHeight="1">
      <c r="A1078" s="677">
        <v>60210101</v>
      </c>
      <c r="B1078" s="677" t="s">
        <v>1879</v>
      </c>
      <c r="C1078" s="679">
        <v>0</v>
      </c>
      <c r="D1078" s="678">
        <v>3398710.05</v>
      </c>
      <c r="E1078" s="679">
        <v>0</v>
      </c>
      <c r="F1078" s="678">
        <v>25786.34</v>
      </c>
      <c r="G1078" s="679">
        <v>0</v>
      </c>
      <c r="H1078" s="678">
        <v>3424496.39</v>
      </c>
      <c r="I1078" s="677" t="s">
        <v>1880</v>
      </c>
    </row>
    <row r="1079" spans="1:9" ht="17.100000000000001" customHeight="1">
      <c r="A1079" s="677">
        <v>60210102</v>
      </c>
      <c r="B1079" s="677" t="s">
        <v>1881</v>
      </c>
      <c r="C1079" s="679">
        <v>0</v>
      </c>
      <c r="D1079" s="678">
        <v>234112.77</v>
      </c>
      <c r="E1079" s="679">
        <v>0</v>
      </c>
      <c r="F1079" s="678">
        <v>1226.3900000000001</v>
      </c>
      <c r="G1079" s="679">
        <v>0</v>
      </c>
      <c r="H1079" s="678">
        <v>235339.16</v>
      </c>
      <c r="I1079" s="677" t="s">
        <v>1882</v>
      </c>
    </row>
    <row r="1080" spans="1:9" ht="17.100000000000001" customHeight="1">
      <c r="A1080" s="677">
        <v>60210103</v>
      </c>
      <c r="B1080" s="677" t="s">
        <v>1883</v>
      </c>
      <c r="C1080" s="679">
        <v>0</v>
      </c>
      <c r="D1080" s="678">
        <v>32029881.600000001</v>
      </c>
      <c r="E1080" s="678">
        <v>6773.58</v>
      </c>
      <c r="F1080" s="678">
        <v>-37180.29</v>
      </c>
      <c r="G1080" s="679">
        <v>0</v>
      </c>
      <c r="H1080" s="678">
        <v>31985927.73</v>
      </c>
      <c r="I1080" s="677" t="s">
        <v>1884</v>
      </c>
    </row>
    <row r="1081" spans="1:9" ht="17.100000000000001" customHeight="1">
      <c r="A1081" s="677">
        <v>60210104</v>
      </c>
      <c r="B1081" s="677" t="s">
        <v>1885</v>
      </c>
      <c r="C1081" s="679">
        <v>0</v>
      </c>
      <c r="D1081" s="678">
        <v>2391225.2999999998</v>
      </c>
      <c r="E1081" s="679">
        <v>0</v>
      </c>
      <c r="F1081" s="678">
        <v>10151.59</v>
      </c>
      <c r="G1081" s="679">
        <v>0</v>
      </c>
      <c r="H1081" s="678">
        <v>2401376.89</v>
      </c>
      <c r="I1081" s="677" t="s">
        <v>1886</v>
      </c>
    </row>
    <row r="1082" spans="1:9" ht="17.100000000000001" customHeight="1">
      <c r="A1082" s="677">
        <v>60210105</v>
      </c>
      <c r="B1082" s="677" t="s">
        <v>1887</v>
      </c>
      <c r="C1082" s="679">
        <v>0</v>
      </c>
      <c r="D1082" s="678">
        <v>51799624.090000004</v>
      </c>
      <c r="E1082" s="679">
        <v>0</v>
      </c>
      <c r="F1082" s="678">
        <v>282440.93</v>
      </c>
      <c r="G1082" s="679">
        <v>0</v>
      </c>
      <c r="H1082" s="678">
        <v>52082065.020000003</v>
      </c>
      <c r="I1082" s="677" t="s">
        <v>1888</v>
      </c>
    </row>
    <row r="1083" spans="1:9" ht="17.100000000000001" customHeight="1">
      <c r="A1083" s="677">
        <v>60210106</v>
      </c>
      <c r="B1083" s="677" t="s">
        <v>1889</v>
      </c>
      <c r="C1083" s="679">
        <v>0</v>
      </c>
      <c r="D1083" s="678">
        <v>45786946.039999999</v>
      </c>
      <c r="E1083" s="679">
        <v>0</v>
      </c>
      <c r="F1083" s="678">
        <v>283870</v>
      </c>
      <c r="G1083" s="679">
        <v>0</v>
      </c>
      <c r="H1083" s="678">
        <v>46070816.039999999</v>
      </c>
      <c r="I1083" s="677" t="s">
        <v>1890</v>
      </c>
    </row>
    <row r="1084" spans="1:9" ht="17.100000000000001" customHeight="1">
      <c r="A1084" s="677">
        <v>60210107</v>
      </c>
      <c r="B1084" s="677" t="s">
        <v>1891</v>
      </c>
      <c r="C1084" s="679">
        <v>0</v>
      </c>
      <c r="D1084" s="678">
        <v>5413457.9000000004</v>
      </c>
      <c r="E1084" s="679">
        <v>0</v>
      </c>
      <c r="F1084" s="678">
        <v>28140.49</v>
      </c>
      <c r="G1084" s="679">
        <v>0</v>
      </c>
      <c r="H1084" s="678">
        <v>5441598.3899999997</v>
      </c>
      <c r="I1084" s="677" t="s">
        <v>1892</v>
      </c>
    </row>
    <row r="1085" spans="1:9" ht="17.100000000000001" customHeight="1">
      <c r="A1085" s="677">
        <v>60210108</v>
      </c>
      <c r="B1085" s="677" t="s">
        <v>1893</v>
      </c>
      <c r="C1085" s="679">
        <v>0</v>
      </c>
      <c r="D1085" s="678">
        <v>79004568.489999995</v>
      </c>
      <c r="E1085" s="679">
        <v>0</v>
      </c>
      <c r="F1085" s="678">
        <v>3110.15</v>
      </c>
      <c r="G1085" s="679">
        <v>0</v>
      </c>
      <c r="H1085" s="678">
        <v>79007678.640000001</v>
      </c>
      <c r="I1085" s="677" t="s">
        <v>1894</v>
      </c>
    </row>
    <row r="1086" spans="1:9" ht="17.100000000000001" customHeight="1">
      <c r="A1086" s="677">
        <v>60210109</v>
      </c>
      <c r="B1086" s="677" t="s">
        <v>4157</v>
      </c>
      <c r="C1086" s="679">
        <v>0</v>
      </c>
      <c r="D1086" s="678">
        <v>262732.74</v>
      </c>
      <c r="E1086" s="679">
        <v>0</v>
      </c>
      <c r="F1086" s="679">
        <v>0</v>
      </c>
      <c r="G1086" s="679">
        <v>0</v>
      </c>
      <c r="H1086" s="678">
        <v>262732.74</v>
      </c>
      <c r="I1086" s="677" t="s">
        <v>4158</v>
      </c>
    </row>
    <row r="1087" spans="1:9" ht="17.100000000000001" customHeight="1">
      <c r="A1087" s="677">
        <v>60210110</v>
      </c>
      <c r="B1087" s="677" t="s">
        <v>1895</v>
      </c>
      <c r="C1087" s="679">
        <v>0</v>
      </c>
      <c r="D1087" s="679">
        <v>131.44999999999999</v>
      </c>
      <c r="E1087" s="679">
        <v>0</v>
      </c>
      <c r="F1087" s="679">
        <v>0</v>
      </c>
      <c r="G1087" s="679">
        <v>0</v>
      </c>
      <c r="H1087" s="679">
        <v>131.44999999999999</v>
      </c>
      <c r="I1087" s="677" t="s">
        <v>1896</v>
      </c>
    </row>
    <row r="1088" spans="1:9" ht="17.100000000000001" customHeight="1">
      <c r="A1088" s="677">
        <v>60210112</v>
      </c>
      <c r="B1088" s="677" t="s">
        <v>2847</v>
      </c>
      <c r="C1088" s="679">
        <v>0</v>
      </c>
      <c r="D1088" s="678">
        <v>80851.97</v>
      </c>
      <c r="E1088" s="679">
        <v>0</v>
      </c>
      <c r="F1088" s="678">
        <v>2657.79</v>
      </c>
      <c r="G1088" s="679">
        <v>0</v>
      </c>
      <c r="H1088" s="678">
        <v>83509.759999999995</v>
      </c>
      <c r="I1088" s="677" t="s">
        <v>2848</v>
      </c>
    </row>
    <row r="1089" spans="1:9" ht="17.100000000000001" customHeight="1">
      <c r="A1089" s="677">
        <v>60210113</v>
      </c>
      <c r="B1089" s="677" t="s">
        <v>2849</v>
      </c>
      <c r="C1089" s="679">
        <v>0</v>
      </c>
      <c r="D1089" s="678">
        <v>2776.75</v>
      </c>
      <c r="E1089" s="679">
        <v>0</v>
      </c>
      <c r="F1089" s="679">
        <v>0</v>
      </c>
      <c r="G1089" s="679">
        <v>0</v>
      </c>
      <c r="H1089" s="678">
        <v>2776.75</v>
      </c>
      <c r="I1089" s="677" t="s">
        <v>2850</v>
      </c>
    </row>
    <row r="1090" spans="1:9" ht="17.100000000000001" customHeight="1">
      <c r="A1090" s="677">
        <v>60210114</v>
      </c>
      <c r="B1090" s="677" t="s">
        <v>2851</v>
      </c>
      <c r="C1090" s="679">
        <v>0</v>
      </c>
      <c r="D1090" s="678">
        <v>6166.92</v>
      </c>
      <c r="E1090" s="679">
        <v>0</v>
      </c>
      <c r="F1090" s="679">
        <v>0</v>
      </c>
      <c r="G1090" s="679">
        <v>0</v>
      </c>
      <c r="H1090" s="678">
        <v>6166.92</v>
      </c>
      <c r="I1090" s="677" t="s">
        <v>2852</v>
      </c>
    </row>
    <row r="1091" spans="1:9" ht="17.100000000000001" customHeight="1">
      <c r="A1091" s="677">
        <v>60210199</v>
      </c>
      <c r="B1091" s="677" t="s">
        <v>1897</v>
      </c>
      <c r="C1091" s="679">
        <v>0</v>
      </c>
      <c r="D1091" s="678">
        <v>1490184.89</v>
      </c>
      <c r="E1091" s="679">
        <v>0</v>
      </c>
      <c r="F1091" s="678">
        <v>2717.61</v>
      </c>
      <c r="G1091" s="679">
        <v>0</v>
      </c>
      <c r="H1091" s="678">
        <v>1492902.5</v>
      </c>
      <c r="I1091" s="677" t="s">
        <v>1898</v>
      </c>
    </row>
    <row r="1092" spans="1:9" ht="17.100000000000001" customHeight="1">
      <c r="A1092" s="677">
        <v>602102</v>
      </c>
      <c r="B1092" s="677" t="s">
        <v>1899</v>
      </c>
      <c r="C1092" s="679">
        <v>0</v>
      </c>
      <c r="D1092" s="678">
        <v>16472473.880000001</v>
      </c>
      <c r="E1092" s="679">
        <v>0</v>
      </c>
      <c r="F1092" s="678">
        <v>120655.76</v>
      </c>
      <c r="G1092" s="679">
        <v>0</v>
      </c>
      <c r="H1092" s="678">
        <v>16593129.640000001</v>
      </c>
      <c r="I1092" s="677" t="s">
        <v>1900</v>
      </c>
    </row>
    <row r="1093" spans="1:9" ht="17.100000000000001" customHeight="1">
      <c r="A1093" s="677">
        <v>60210201</v>
      </c>
      <c r="B1093" s="677" t="s">
        <v>1901</v>
      </c>
      <c r="C1093" s="679">
        <v>0</v>
      </c>
      <c r="D1093" s="678">
        <v>16472473.880000001</v>
      </c>
      <c r="E1093" s="679">
        <v>0</v>
      </c>
      <c r="F1093" s="678">
        <v>120655.76</v>
      </c>
      <c r="G1093" s="679">
        <v>0</v>
      </c>
      <c r="H1093" s="678">
        <v>16593129.640000001</v>
      </c>
      <c r="I1093" s="677" t="s">
        <v>1902</v>
      </c>
    </row>
    <row r="1094" spans="1:9" ht="17.100000000000001" customHeight="1">
      <c r="A1094" s="677">
        <v>602103</v>
      </c>
      <c r="B1094" s="677" t="s">
        <v>1903</v>
      </c>
      <c r="C1094" s="679">
        <v>0</v>
      </c>
      <c r="D1094" s="678">
        <v>23674851.140000001</v>
      </c>
      <c r="E1094" s="679">
        <v>0</v>
      </c>
      <c r="F1094" s="678">
        <v>31009.22</v>
      </c>
      <c r="G1094" s="679">
        <v>0</v>
      </c>
      <c r="H1094" s="678">
        <v>23705860.359999999</v>
      </c>
      <c r="I1094" s="677" t="s">
        <v>1904</v>
      </c>
    </row>
    <row r="1095" spans="1:9" ht="17.100000000000001" customHeight="1">
      <c r="A1095" s="320"/>
      <c r="B1095" s="320"/>
      <c r="C1095" s="320"/>
      <c r="D1095" s="557" t="s">
        <v>4317</v>
      </c>
      <c r="E1095" s="320" t="s">
        <v>3770</v>
      </c>
      <c r="F1095" s="320"/>
      <c r="G1095" s="320"/>
      <c r="H1095" s="320"/>
      <c r="I1095" s="320"/>
    </row>
    <row r="1096" spans="1:9" ht="17.100000000000001" customHeight="1">
      <c r="A1096" s="671"/>
      <c r="B1096" s="671"/>
      <c r="C1096" s="671"/>
      <c r="D1096" s="671"/>
      <c r="E1096" s="671"/>
      <c r="F1096" s="671"/>
      <c r="G1096" s="671"/>
      <c r="H1096" s="671"/>
      <c r="I1096" s="671"/>
    </row>
    <row r="1097" spans="1:9" ht="17.100000000000001" customHeight="1">
      <c r="A1097" s="320"/>
      <c r="B1097" s="320"/>
      <c r="C1097" s="672" t="s">
        <v>4316</v>
      </c>
      <c r="D1097" s="320"/>
      <c r="E1097" s="320"/>
      <c r="F1097" s="671"/>
      <c r="G1097" s="671"/>
      <c r="H1097" s="671"/>
      <c r="I1097" s="671"/>
    </row>
    <row r="1098" spans="1:9" ht="17.100000000000001" customHeight="1">
      <c r="A1098" s="673" t="s">
        <v>3708</v>
      </c>
      <c r="B1098" s="673"/>
      <c r="C1098" s="683">
        <v>42551</v>
      </c>
      <c r="D1098" s="673"/>
      <c r="E1098" s="557" t="s">
        <v>3709</v>
      </c>
      <c r="F1098" s="671"/>
      <c r="G1098" s="671"/>
      <c r="H1098" s="671"/>
      <c r="I1098" s="671"/>
    </row>
    <row r="1099" spans="1:9" ht="17.100000000000001" customHeight="1">
      <c r="A1099" s="676" t="s">
        <v>596</v>
      </c>
      <c r="B1099" s="676" t="s">
        <v>597</v>
      </c>
      <c r="C1099" s="676" t="s">
        <v>3710</v>
      </c>
      <c r="D1099" s="676" t="s">
        <v>3711</v>
      </c>
      <c r="E1099" s="676" t="s">
        <v>3712</v>
      </c>
      <c r="F1099" s="676" t="s">
        <v>3713</v>
      </c>
      <c r="G1099" s="676" t="s">
        <v>3714</v>
      </c>
      <c r="H1099" s="676" t="s">
        <v>3715</v>
      </c>
      <c r="I1099" s="676" t="s">
        <v>596</v>
      </c>
    </row>
    <row r="1100" spans="1:9" ht="28.5" customHeight="1">
      <c r="A1100" s="677">
        <v>60210301</v>
      </c>
      <c r="B1100" s="677" t="s">
        <v>1903</v>
      </c>
      <c r="C1100" s="679">
        <v>0</v>
      </c>
      <c r="D1100" s="678">
        <v>23674851.140000001</v>
      </c>
      <c r="E1100" s="679">
        <v>0</v>
      </c>
      <c r="F1100" s="678">
        <v>31009.22</v>
      </c>
      <c r="G1100" s="679">
        <v>0</v>
      </c>
      <c r="H1100" s="678">
        <v>23705860.359999999</v>
      </c>
      <c r="I1100" s="677" t="s">
        <v>1905</v>
      </c>
    </row>
    <row r="1101" spans="1:9">
      <c r="A1101" s="677">
        <v>602104</v>
      </c>
      <c r="B1101" s="677" t="s">
        <v>1906</v>
      </c>
      <c r="C1101" s="679">
        <v>0</v>
      </c>
      <c r="D1101" s="678">
        <v>165037712.69999999</v>
      </c>
      <c r="E1101" s="679">
        <v>0</v>
      </c>
      <c r="F1101" s="678">
        <v>18084717.57</v>
      </c>
      <c r="G1101" s="679">
        <v>0</v>
      </c>
      <c r="H1101" s="678">
        <v>183122430.27000001</v>
      </c>
      <c r="I1101" s="677" t="s">
        <v>1907</v>
      </c>
    </row>
    <row r="1102" spans="1:9" ht="24">
      <c r="A1102" s="677">
        <v>60210401</v>
      </c>
      <c r="B1102" s="677" t="s">
        <v>1908</v>
      </c>
      <c r="C1102" s="679">
        <v>0</v>
      </c>
      <c r="D1102" s="678">
        <v>122771537.79000001</v>
      </c>
      <c r="E1102" s="679">
        <v>0</v>
      </c>
      <c r="F1102" s="678">
        <v>15699481.300000001</v>
      </c>
      <c r="G1102" s="679">
        <v>0</v>
      </c>
      <c r="H1102" s="678">
        <v>138471019.09</v>
      </c>
      <c r="I1102" s="677" t="s">
        <v>1909</v>
      </c>
    </row>
    <row r="1103" spans="1:9" ht="24">
      <c r="A1103" s="677">
        <v>60210402</v>
      </c>
      <c r="B1103" s="677" t="s">
        <v>1910</v>
      </c>
      <c r="C1103" s="679">
        <v>0</v>
      </c>
      <c r="D1103" s="678">
        <v>12415.63</v>
      </c>
      <c r="E1103" s="679">
        <v>0</v>
      </c>
      <c r="F1103" s="679">
        <v>0</v>
      </c>
      <c r="G1103" s="679">
        <v>0</v>
      </c>
      <c r="H1103" s="678">
        <v>12415.63</v>
      </c>
      <c r="I1103" s="677" t="s">
        <v>1911</v>
      </c>
    </row>
    <row r="1104" spans="1:9" ht="28.5" customHeight="1">
      <c r="A1104" s="677">
        <v>60210403</v>
      </c>
      <c r="B1104" s="677" t="s">
        <v>1912</v>
      </c>
      <c r="C1104" s="679">
        <v>0</v>
      </c>
      <c r="D1104" s="678">
        <v>1417071.13</v>
      </c>
      <c r="E1104" s="679">
        <v>0</v>
      </c>
      <c r="F1104" s="678">
        <v>11247.67</v>
      </c>
      <c r="G1104" s="679">
        <v>0</v>
      </c>
      <c r="H1104" s="678">
        <v>1428318.8</v>
      </c>
      <c r="I1104" s="677" t="s">
        <v>1913</v>
      </c>
    </row>
    <row r="1105" spans="1:9" ht="17.100000000000001" customHeight="1">
      <c r="A1105" s="677">
        <v>60210404</v>
      </c>
      <c r="B1105" s="677" t="s">
        <v>1914</v>
      </c>
      <c r="C1105" s="679">
        <v>0</v>
      </c>
      <c r="D1105" s="678">
        <v>10942.85</v>
      </c>
      <c r="E1105" s="679">
        <v>0</v>
      </c>
      <c r="F1105" s="679">
        <v>0</v>
      </c>
      <c r="G1105" s="679">
        <v>0</v>
      </c>
      <c r="H1105" s="678">
        <v>10942.85</v>
      </c>
      <c r="I1105" s="677" t="s">
        <v>1915</v>
      </c>
    </row>
    <row r="1106" spans="1:9" ht="17.100000000000001" customHeight="1">
      <c r="A1106" s="677">
        <v>60210405</v>
      </c>
      <c r="B1106" s="677" t="s">
        <v>4094</v>
      </c>
      <c r="C1106" s="679">
        <v>0</v>
      </c>
      <c r="D1106" s="678">
        <v>61425.75</v>
      </c>
      <c r="E1106" s="679">
        <v>0</v>
      </c>
      <c r="F1106" s="678">
        <v>71792.45</v>
      </c>
      <c r="G1106" s="679">
        <v>0</v>
      </c>
      <c r="H1106" s="678">
        <v>133218.20000000001</v>
      </c>
      <c r="I1106" s="677" t="s">
        <v>4095</v>
      </c>
    </row>
    <row r="1107" spans="1:9" ht="17.100000000000001" customHeight="1">
      <c r="A1107" s="677">
        <v>60210406</v>
      </c>
      <c r="B1107" s="677" t="s">
        <v>1916</v>
      </c>
      <c r="C1107" s="679">
        <v>0</v>
      </c>
      <c r="D1107" s="678">
        <v>1605137.73</v>
      </c>
      <c r="E1107" s="679">
        <v>0</v>
      </c>
      <c r="F1107" s="678">
        <v>6767.93</v>
      </c>
      <c r="G1107" s="679">
        <v>0</v>
      </c>
      <c r="H1107" s="678">
        <v>1611905.66</v>
      </c>
      <c r="I1107" s="677" t="s">
        <v>1917</v>
      </c>
    </row>
    <row r="1108" spans="1:9" ht="17.100000000000001" customHeight="1">
      <c r="A1108" s="677">
        <v>60210407</v>
      </c>
      <c r="B1108" s="677" t="s">
        <v>4096</v>
      </c>
      <c r="C1108" s="679">
        <v>0</v>
      </c>
      <c r="D1108" s="678">
        <v>3044774.36</v>
      </c>
      <c r="E1108" s="679">
        <v>0</v>
      </c>
      <c r="F1108" s="678">
        <v>1318140.7</v>
      </c>
      <c r="G1108" s="679">
        <v>0</v>
      </c>
      <c r="H1108" s="678">
        <v>4362915.0599999996</v>
      </c>
      <c r="I1108" s="677" t="s">
        <v>4097</v>
      </c>
    </row>
    <row r="1109" spans="1:9" ht="17.100000000000001" customHeight="1">
      <c r="A1109" s="677">
        <v>60210408</v>
      </c>
      <c r="B1109" s="677" t="s">
        <v>1918</v>
      </c>
      <c r="C1109" s="679">
        <v>0</v>
      </c>
      <c r="D1109" s="678">
        <v>7155167.7800000003</v>
      </c>
      <c r="E1109" s="679">
        <v>0</v>
      </c>
      <c r="F1109" s="678">
        <v>911674.32</v>
      </c>
      <c r="G1109" s="679">
        <v>0</v>
      </c>
      <c r="H1109" s="678">
        <v>8066842.0999999996</v>
      </c>
      <c r="I1109" s="677" t="s">
        <v>1919</v>
      </c>
    </row>
    <row r="1110" spans="1:9" ht="17.100000000000001" customHeight="1">
      <c r="A1110" s="677">
        <v>60210409</v>
      </c>
      <c r="B1110" s="677" t="s">
        <v>4020</v>
      </c>
      <c r="C1110" s="679">
        <v>0</v>
      </c>
      <c r="D1110" s="678">
        <v>6083676.0499999998</v>
      </c>
      <c r="E1110" s="679">
        <v>0</v>
      </c>
      <c r="F1110" s="679">
        <v>0</v>
      </c>
      <c r="G1110" s="679">
        <v>0</v>
      </c>
      <c r="H1110" s="678">
        <v>6083676.0499999998</v>
      </c>
      <c r="I1110" s="677" t="s">
        <v>4021</v>
      </c>
    </row>
    <row r="1111" spans="1:9" ht="17.100000000000001" customHeight="1">
      <c r="A1111" s="677">
        <v>60210411</v>
      </c>
      <c r="B1111" s="677" t="s">
        <v>4159</v>
      </c>
      <c r="C1111" s="679">
        <v>0</v>
      </c>
      <c r="D1111" s="678">
        <v>3771494.86</v>
      </c>
      <c r="E1111" s="679">
        <v>0</v>
      </c>
      <c r="F1111" s="679">
        <v>0</v>
      </c>
      <c r="G1111" s="679">
        <v>0</v>
      </c>
      <c r="H1111" s="678">
        <v>3771494.86</v>
      </c>
      <c r="I1111" s="677" t="s">
        <v>4160</v>
      </c>
    </row>
    <row r="1112" spans="1:9" ht="17.100000000000001" customHeight="1">
      <c r="A1112" s="677">
        <v>60210499</v>
      </c>
      <c r="B1112" s="677" t="s">
        <v>1920</v>
      </c>
      <c r="C1112" s="679">
        <v>0</v>
      </c>
      <c r="D1112" s="678">
        <v>19104068.77</v>
      </c>
      <c r="E1112" s="679">
        <v>0</v>
      </c>
      <c r="F1112" s="678">
        <v>65613.2</v>
      </c>
      <c r="G1112" s="679">
        <v>0</v>
      </c>
      <c r="H1112" s="678">
        <v>19169681.969999999</v>
      </c>
      <c r="I1112" s="677" t="s">
        <v>1921</v>
      </c>
    </row>
    <row r="1113" spans="1:9" ht="17.100000000000001" customHeight="1">
      <c r="A1113" s="677">
        <v>602105</v>
      </c>
      <c r="B1113" s="677" t="s">
        <v>1922</v>
      </c>
      <c r="C1113" s="679">
        <v>0</v>
      </c>
      <c r="D1113" s="678">
        <v>934472.51</v>
      </c>
      <c r="E1113" s="679">
        <v>0</v>
      </c>
      <c r="F1113" s="678">
        <v>2485.42</v>
      </c>
      <c r="G1113" s="679">
        <v>0</v>
      </c>
      <c r="H1113" s="678">
        <v>936957.93</v>
      </c>
      <c r="I1113" s="677" t="s">
        <v>1923</v>
      </c>
    </row>
    <row r="1114" spans="1:9" ht="17.100000000000001" customHeight="1">
      <c r="A1114" s="677">
        <v>60210501</v>
      </c>
      <c r="B1114" s="677" t="s">
        <v>1924</v>
      </c>
      <c r="C1114" s="679">
        <v>0</v>
      </c>
      <c r="D1114" s="678">
        <v>934472.51</v>
      </c>
      <c r="E1114" s="679">
        <v>0</v>
      </c>
      <c r="F1114" s="678">
        <v>2485.42</v>
      </c>
      <c r="G1114" s="679">
        <v>0</v>
      </c>
      <c r="H1114" s="678">
        <v>936957.93</v>
      </c>
      <c r="I1114" s="677" t="s">
        <v>1925</v>
      </c>
    </row>
    <row r="1115" spans="1:9" ht="17.100000000000001" customHeight="1">
      <c r="A1115" s="677">
        <v>602106</v>
      </c>
      <c r="B1115" s="677" t="s">
        <v>492</v>
      </c>
      <c r="C1115" s="679">
        <v>0</v>
      </c>
      <c r="D1115" s="678">
        <v>4689721.72</v>
      </c>
      <c r="E1115" s="679">
        <v>0</v>
      </c>
      <c r="F1115" s="678">
        <v>1000351.46</v>
      </c>
      <c r="G1115" s="679">
        <v>0</v>
      </c>
      <c r="H1115" s="678">
        <v>5690073.1799999997</v>
      </c>
      <c r="I1115" s="677" t="s">
        <v>1926</v>
      </c>
    </row>
    <row r="1116" spans="1:9" ht="17.100000000000001" customHeight="1">
      <c r="A1116" s="677">
        <v>60210601</v>
      </c>
      <c r="B1116" s="677" t="s">
        <v>1927</v>
      </c>
      <c r="C1116" s="679">
        <v>0</v>
      </c>
      <c r="D1116" s="678">
        <v>3209469.64</v>
      </c>
      <c r="E1116" s="679">
        <v>0</v>
      </c>
      <c r="F1116" s="678">
        <v>992881.51</v>
      </c>
      <c r="G1116" s="679">
        <v>0</v>
      </c>
      <c r="H1116" s="678">
        <v>4202351.1500000004</v>
      </c>
      <c r="I1116" s="677" t="s">
        <v>1928</v>
      </c>
    </row>
    <row r="1117" spans="1:9" ht="17.100000000000001" customHeight="1">
      <c r="A1117" s="677">
        <v>60210602</v>
      </c>
      <c r="B1117" s="677" t="s">
        <v>1929</v>
      </c>
      <c r="C1117" s="679">
        <v>0</v>
      </c>
      <c r="D1117" s="678">
        <v>396471.57</v>
      </c>
      <c r="E1117" s="679">
        <v>0</v>
      </c>
      <c r="F1117" s="678">
        <v>3273.6</v>
      </c>
      <c r="G1117" s="679">
        <v>0</v>
      </c>
      <c r="H1117" s="678">
        <v>399745.17</v>
      </c>
      <c r="I1117" s="677" t="s">
        <v>1930</v>
      </c>
    </row>
    <row r="1118" spans="1:9" ht="17.100000000000001" customHeight="1">
      <c r="A1118" s="677">
        <v>60210603</v>
      </c>
      <c r="B1118" s="677" t="s">
        <v>1931</v>
      </c>
      <c r="C1118" s="679">
        <v>0</v>
      </c>
      <c r="D1118" s="678">
        <v>605858.93000000005</v>
      </c>
      <c r="E1118" s="679">
        <v>0</v>
      </c>
      <c r="F1118" s="678">
        <v>4196.3500000000004</v>
      </c>
      <c r="G1118" s="679">
        <v>0</v>
      </c>
      <c r="H1118" s="678">
        <v>610055.28</v>
      </c>
      <c r="I1118" s="677" t="s">
        <v>1932</v>
      </c>
    </row>
    <row r="1119" spans="1:9" ht="17.100000000000001" customHeight="1">
      <c r="A1119" s="677">
        <v>60210605</v>
      </c>
      <c r="B1119" s="677" t="s">
        <v>1933</v>
      </c>
      <c r="C1119" s="679">
        <v>0</v>
      </c>
      <c r="D1119" s="678">
        <v>477921.58</v>
      </c>
      <c r="E1119" s="679">
        <v>0</v>
      </c>
      <c r="F1119" s="679">
        <v>0</v>
      </c>
      <c r="G1119" s="679">
        <v>0</v>
      </c>
      <c r="H1119" s="678">
        <v>477921.58</v>
      </c>
      <c r="I1119" s="677" t="s">
        <v>1934</v>
      </c>
    </row>
    <row r="1120" spans="1:9" ht="17.100000000000001" customHeight="1">
      <c r="A1120" s="677">
        <v>602107</v>
      </c>
      <c r="B1120" s="677" t="s">
        <v>3473</v>
      </c>
      <c r="C1120" s="679">
        <v>0</v>
      </c>
      <c r="D1120" s="678">
        <v>222742488.38999999</v>
      </c>
      <c r="E1120" s="679">
        <v>0</v>
      </c>
      <c r="F1120" s="678">
        <v>-29203057.649999999</v>
      </c>
      <c r="G1120" s="679">
        <v>0</v>
      </c>
      <c r="H1120" s="678">
        <v>193539430.74000001</v>
      </c>
      <c r="I1120" s="677" t="s">
        <v>3474</v>
      </c>
    </row>
    <row r="1121" spans="1:9" ht="17.100000000000001" customHeight="1">
      <c r="A1121" s="677">
        <v>60210701</v>
      </c>
      <c r="B1121" s="677" t="s">
        <v>4336</v>
      </c>
      <c r="C1121" s="679">
        <v>0</v>
      </c>
      <c r="D1121" s="678">
        <v>-360674980.69</v>
      </c>
      <c r="E1121" s="679">
        <v>0</v>
      </c>
      <c r="F1121" s="678">
        <v>-12847384.23</v>
      </c>
      <c r="G1121" s="679">
        <v>0</v>
      </c>
      <c r="H1121" s="678">
        <v>-373522364.92000002</v>
      </c>
      <c r="I1121" s="677" t="s">
        <v>4337</v>
      </c>
    </row>
    <row r="1122" spans="1:9" ht="17.100000000000001" customHeight="1">
      <c r="A1122" s="677">
        <v>60210702</v>
      </c>
      <c r="B1122" s="677" t="s">
        <v>3475</v>
      </c>
      <c r="C1122" s="679">
        <v>0</v>
      </c>
      <c r="D1122" s="678">
        <v>275928839.75999999</v>
      </c>
      <c r="E1122" s="679">
        <v>0</v>
      </c>
      <c r="F1122" s="678">
        <v>-110535.29</v>
      </c>
      <c r="G1122" s="679">
        <v>0</v>
      </c>
      <c r="H1122" s="678">
        <v>275818304.47000003</v>
      </c>
      <c r="I1122" s="677" t="s">
        <v>3476</v>
      </c>
    </row>
    <row r="1123" spans="1:9" ht="17.100000000000001" customHeight="1">
      <c r="A1123" s="677">
        <v>60210703</v>
      </c>
      <c r="B1123" s="677" t="s">
        <v>3477</v>
      </c>
      <c r="C1123" s="679">
        <v>0</v>
      </c>
      <c r="D1123" s="678">
        <v>-41593286.469999999</v>
      </c>
      <c r="E1123" s="679">
        <v>0</v>
      </c>
      <c r="F1123" s="678">
        <v>107578.16</v>
      </c>
      <c r="G1123" s="679">
        <v>0</v>
      </c>
      <c r="H1123" s="678">
        <v>-41485708.310000002</v>
      </c>
      <c r="I1123" s="677" t="s">
        <v>3478</v>
      </c>
    </row>
    <row r="1124" spans="1:9" ht="17.100000000000001" customHeight="1">
      <c r="A1124" s="677">
        <v>60210704</v>
      </c>
      <c r="B1124" s="677" t="s">
        <v>3479</v>
      </c>
      <c r="C1124" s="679">
        <v>0</v>
      </c>
      <c r="D1124" s="678">
        <v>290217345.88</v>
      </c>
      <c r="E1124" s="679">
        <v>0</v>
      </c>
      <c r="F1124" s="678">
        <v>2359256.87</v>
      </c>
      <c r="G1124" s="679">
        <v>0</v>
      </c>
      <c r="H1124" s="678">
        <v>292576602.75</v>
      </c>
      <c r="I1124" s="677" t="s">
        <v>3480</v>
      </c>
    </row>
    <row r="1125" spans="1:9" ht="17.100000000000001" customHeight="1">
      <c r="A1125" s="677">
        <v>60210705</v>
      </c>
      <c r="B1125" s="677" t="s">
        <v>3481</v>
      </c>
      <c r="C1125" s="679">
        <v>0</v>
      </c>
      <c r="D1125" s="678">
        <v>58864569.909999996</v>
      </c>
      <c r="E1125" s="679">
        <v>0</v>
      </c>
      <c r="F1125" s="678">
        <v>-18711973.16</v>
      </c>
      <c r="G1125" s="679">
        <v>0</v>
      </c>
      <c r="H1125" s="678">
        <v>40152596.75</v>
      </c>
      <c r="I1125" s="677" t="s">
        <v>3482</v>
      </c>
    </row>
    <row r="1126" spans="1:9" ht="17.100000000000001" customHeight="1">
      <c r="A1126" s="677">
        <v>602108</v>
      </c>
      <c r="B1126" s="677" t="s">
        <v>1935</v>
      </c>
      <c r="C1126" s="679">
        <v>0</v>
      </c>
      <c r="D1126" s="678">
        <v>392597025.27999997</v>
      </c>
      <c r="E1126" s="679">
        <v>0</v>
      </c>
      <c r="F1126" s="678">
        <v>156551638.25999999</v>
      </c>
      <c r="G1126" s="679">
        <v>0</v>
      </c>
      <c r="H1126" s="678">
        <v>549148663.53999996</v>
      </c>
      <c r="I1126" s="677" t="s">
        <v>1936</v>
      </c>
    </row>
    <row r="1127" spans="1:9" ht="17.100000000000001" customHeight="1">
      <c r="A1127" s="677">
        <v>60210801</v>
      </c>
      <c r="B1127" s="677" t="s">
        <v>1937</v>
      </c>
      <c r="C1127" s="679">
        <v>0</v>
      </c>
      <c r="D1127" s="678">
        <v>111729113.22</v>
      </c>
      <c r="E1127" s="679">
        <v>0</v>
      </c>
      <c r="F1127" s="678">
        <v>33644654.119999997</v>
      </c>
      <c r="G1127" s="679">
        <v>0</v>
      </c>
      <c r="H1127" s="678">
        <v>145373767.34</v>
      </c>
      <c r="I1127" s="677" t="s">
        <v>1938</v>
      </c>
    </row>
    <row r="1128" spans="1:9" ht="17.100000000000001" customHeight="1">
      <c r="A1128" s="677">
        <v>60210802</v>
      </c>
      <c r="B1128" s="677" t="s">
        <v>4261</v>
      </c>
      <c r="C1128" s="679">
        <v>0</v>
      </c>
      <c r="D1128" s="679">
        <v>0</v>
      </c>
      <c r="E1128" s="679">
        <v>0</v>
      </c>
      <c r="F1128" s="678">
        <v>1415094.34</v>
      </c>
      <c r="G1128" s="679">
        <v>0</v>
      </c>
      <c r="H1128" s="678">
        <v>1415094.34</v>
      </c>
      <c r="I1128" s="677" t="s">
        <v>4262</v>
      </c>
    </row>
    <row r="1129" spans="1:9" ht="17.100000000000001" customHeight="1">
      <c r="A1129" s="677">
        <v>60210805</v>
      </c>
      <c r="B1129" s="677" t="s">
        <v>1939</v>
      </c>
      <c r="C1129" s="679">
        <v>0</v>
      </c>
      <c r="D1129" s="678">
        <v>280867912.06</v>
      </c>
      <c r="E1129" s="679">
        <v>0</v>
      </c>
      <c r="F1129" s="678">
        <v>121491889.8</v>
      </c>
      <c r="G1129" s="679">
        <v>0</v>
      </c>
      <c r="H1129" s="678">
        <v>402359801.86000001</v>
      </c>
      <c r="I1129" s="677" t="s">
        <v>1940</v>
      </c>
    </row>
    <row r="1130" spans="1:9" ht="17.100000000000001" customHeight="1">
      <c r="A1130" s="677">
        <v>602109</v>
      </c>
      <c r="B1130" s="677" t="s">
        <v>1941</v>
      </c>
      <c r="C1130" s="679">
        <v>0</v>
      </c>
      <c r="D1130" s="678">
        <v>43781500.979999997</v>
      </c>
      <c r="E1130" s="679">
        <v>0</v>
      </c>
      <c r="F1130" s="678">
        <v>76582.45</v>
      </c>
      <c r="G1130" s="679">
        <v>0</v>
      </c>
      <c r="H1130" s="678">
        <v>43858083.43</v>
      </c>
      <c r="I1130" s="677" t="s">
        <v>1942</v>
      </c>
    </row>
    <row r="1131" spans="1:9" ht="17.100000000000001" customHeight="1">
      <c r="A1131" s="677">
        <v>60210901</v>
      </c>
      <c r="B1131" s="677" t="s">
        <v>1943</v>
      </c>
      <c r="C1131" s="679">
        <v>0</v>
      </c>
      <c r="D1131" s="678">
        <v>5240175.2699999996</v>
      </c>
      <c r="E1131" s="679">
        <v>0</v>
      </c>
      <c r="F1131" s="678">
        <v>38665.550000000003</v>
      </c>
      <c r="G1131" s="679">
        <v>0</v>
      </c>
      <c r="H1131" s="678">
        <v>5278840.82</v>
      </c>
      <c r="I1131" s="677" t="s">
        <v>1944</v>
      </c>
    </row>
    <row r="1132" spans="1:9" ht="17.100000000000001" customHeight="1">
      <c r="A1132" s="677">
        <v>60210903</v>
      </c>
      <c r="B1132" s="677" t="s">
        <v>1945</v>
      </c>
      <c r="C1132" s="679">
        <v>0</v>
      </c>
      <c r="D1132" s="678">
        <v>38536188.030000001</v>
      </c>
      <c r="E1132" s="679">
        <v>0</v>
      </c>
      <c r="F1132" s="678">
        <v>37916.9</v>
      </c>
      <c r="G1132" s="679">
        <v>0</v>
      </c>
      <c r="H1132" s="678">
        <v>38574104.93</v>
      </c>
      <c r="I1132" s="677" t="s">
        <v>1946</v>
      </c>
    </row>
    <row r="1133" spans="1:9" ht="17.100000000000001" customHeight="1">
      <c r="A1133" s="677">
        <v>60210905</v>
      </c>
      <c r="B1133" s="677" t="s">
        <v>1947</v>
      </c>
      <c r="C1133" s="679">
        <v>0</v>
      </c>
      <c r="D1133" s="678">
        <v>5137.68</v>
      </c>
      <c r="E1133" s="679">
        <v>0</v>
      </c>
      <c r="F1133" s="679">
        <v>0</v>
      </c>
      <c r="G1133" s="679">
        <v>0</v>
      </c>
      <c r="H1133" s="678">
        <v>5137.68</v>
      </c>
      <c r="I1133" s="677" t="s">
        <v>1948</v>
      </c>
    </row>
    <row r="1134" spans="1:9" ht="17.100000000000001" customHeight="1">
      <c r="A1134" s="320"/>
      <c r="B1134" s="320"/>
      <c r="C1134" s="320"/>
      <c r="D1134" s="557" t="s">
        <v>4317</v>
      </c>
      <c r="E1134" s="320" t="s">
        <v>3771</v>
      </c>
      <c r="F1134" s="320"/>
      <c r="G1134" s="320"/>
      <c r="H1134" s="320"/>
      <c r="I1134" s="320"/>
    </row>
    <row r="1135" spans="1:9" ht="17.100000000000001" customHeight="1">
      <c r="A1135" s="671"/>
      <c r="B1135" s="671"/>
      <c r="C1135" s="671"/>
      <c r="D1135" s="671"/>
      <c r="E1135" s="671"/>
      <c r="F1135" s="671"/>
      <c r="G1135" s="671"/>
      <c r="H1135" s="671"/>
      <c r="I1135" s="671"/>
    </row>
    <row r="1136" spans="1:9" ht="17.100000000000001" customHeight="1">
      <c r="A1136" s="320"/>
      <c r="B1136" s="320"/>
      <c r="C1136" s="672" t="s">
        <v>4316</v>
      </c>
      <c r="D1136" s="320"/>
      <c r="E1136" s="320"/>
      <c r="F1136" s="671"/>
      <c r="G1136" s="671"/>
      <c r="H1136" s="671"/>
      <c r="I1136" s="671"/>
    </row>
    <row r="1137" spans="1:9" ht="17.100000000000001" customHeight="1">
      <c r="A1137" s="673" t="s">
        <v>3708</v>
      </c>
      <c r="B1137" s="673"/>
      <c r="C1137" s="683">
        <v>42551</v>
      </c>
      <c r="D1137" s="673"/>
      <c r="E1137" s="557" t="s">
        <v>3709</v>
      </c>
      <c r="F1137" s="671"/>
      <c r="G1137" s="671"/>
      <c r="H1137" s="671"/>
      <c r="I1137" s="671"/>
    </row>
    <row r="1138" spans="1:9" ht="17.100000000000001" customHeight="1">
      <c r="A1138" s="676" t="s">
        <v>596</v>
      </c>
      <c r="B1138" s="676" t="s">
        <v>597</v>
      </c>
      <c r="C1138" s="676" t="s">
        <v>3710</v>
      </c>
      <c r="D1138" s="676" t="s">
        <v>3711</v>
      </c>
      <c r="E1138" s="676" t="s">
        <v>3712</v>
      </c>
      <c r="F1138" s="676" t="s">
        <v>3713</v>
      </c>
      <c r="G1138" s="676" t="s">
        <v>3714</v>
      </c>
      <c r="H1138" s="676" t="s">
        <v>3715</v>
      </c>
      <c r="I1138" s="676" t="s">
        <v>596</v>
      </c>
    </row>
    <row r="1139" spans="1:9" ht="28.5" customHeight="1">
      <c r="A1139" s="677">
        <v>602199</v>
      </c>
      <c r="B1139" s="677" t="s">
        <v>1949</v>
      </c>
      <c r="C1139" s="679">
        <v>0</v>
      </c>
      <c r="D1139" s="678">
        <v>60000096.93</v>
      </c>
      <c r="E1139" s="679">
        <v>0</v>
      </c>
      <c r="F1139" s="678">
        <v>20637879.030000001</v>
      </c>
      <c r="G1139" s="679">
        <v>0</v>
      </c>
      <c r="H1139" s="678">
        <v>80637975.959999993</v>
      </c>
      <c r="I1139" s="677" t="s">
        <v>1950</v>
      </c>
    </row>
    <row r="1140" spans="1:9" ht="24">
      <c r="A1140" s="677">
        <v>60219901</v>
      </c>
      <c r="B1140" s="677" t="s">
        <v>1951</v>
      </c>
      <c r="C1140" s="679">
        <v>0</v>
      </c>
      <c r="D1140" s="678">
        <v>3768389.72</v>
      </c>
      <c r="E1140" s="679">
        <v>0</v>
      </c>
      <c r="F1140" s="678">
        <v>14037.76</v>
      </c>
      <c r="G1140" s="679">
        <v>0</v>
      </c>
      <c r="H1140" s="678">
        <v>3782427.48</v>
      </c>
      <c r="I1140" s="677" t="s">
        <v>1952</v>
      </c>
    </row>
    <row r="1141" spans="1:9" ht="24">
      <c r="A1141" s="677">
        <v>60219903</v>
      </c>
      <c r="B1141" s="677" t="s">
        <v>2542</v>
      </c>
      <c r="C1141" s="679">
        <v>0</v>
      </c>
      <c r="D1141" s="678">
        <v>12947427.23</v>
      </c>
      <c r="E1141" s="679">
        <v>0</v>
      </c>
      <c r="F1141" s="678">
        <v>11054212.890000001</v>
      </c>
      <c r="G1141" s="679">
        <v>0</v>
      </c>
      <c r="H1141" s="678">
        <v>24001640.120000001</v>
      </c>
      <c r="I1141" s="677" t="s">
        <v>2547</v>
      </c>
    </row>
    <row r="1142" spans="1:9" ht="24">
      <c r="A1142" s="677">
        <v>60219904</v>
      </c>
      <c r="B1142" s="677" t="s">
        <v>1953</v>
      </c>
      <c r="C1142" s="679">
        <v>0</v>
      </c>
      <c r="D1142" s="678">
        <v>1339109.5900000001</v>
      </c>
      <c r="E1142" s="679">
        <v>0</v>
      </c>
      <c r="F1142" s="678">
        <v>6202.83</v>
      </c>
      <c r="G1142" s="679">
        <v>0</v>
      </c>
      <c r="H1142" s="678">
        <v>1345312.42</v>
      </c>
      <c r="I1142" s="677" t="s">
        <v>1954</v>
      </c>
    </row>
    <row r="1143" spans="1:9" ht="28.5" customHeight="1">
      <c r="A1143" s="677">
        <v>60219905</v>
      </c>
      <c r="B1143" s="677" t="s">
        <v>1955</v>
      </c>
      <c r="C1143" s="679">
        <v>0</v>
      </c>
      <c r="D1143" s="678">
        <v>549705.59</v>
      </c>
      <c r="E1143" s="679">
        <v>0</v>
      </c>
      <c r="F1143" s="678">
        <v>1410.34</v>
      </c>
      <c r="G1143" s="679">
        <v>0</v>
      </c>
      <c r="H1143" s="678">
        <v>551115.93000000005</v>
      </c>
      <c r="I1143" s="677" t="s">
        <v>1956</v>
      </c>
    </row>
    <row r="1144" spans="1:9" ht="17.100000000000001" customHeight="1">
      <c r="A1144" s="677">
        <v>60219907</v>
      </c>
      <c r="B1144" s="677" t="s">
        <v>4022</v>
      </c>
      <c r="C1144" s="679">
        <v>0</v>
      </c>
      <c r="D1144" s="678">
        <v>99288.69</v>
      </c>
      <c r="E1144" s="679">
        <v>0</v>
      </c>
      <c r="F1144" s="679">
        <v>0</v>
      </c>
      <c r="G1144" s="679">
        <v>0</v>
      </c>
      <c r="H1144" s="678">
        <v>99288.69</v>
      </c>
      <c r="I1144" s="677" t="s">
        <v>4023</v>
      </c>
    </row>
    <row r="1145" spans="1:9" ht="17.100000000000001" customHeight="1">
      <c r="A1145" s="677">
        <v>60219908</v>
      </c>
      <c r="B1145" s="677" t="s">
        <v>4265</v>
      </c>
      <c r="C1145" s="679">
        <v>0</v>
      </c>
      <c r="D1145" s="679">
        <v>0</v>
      </c>
      <c r="E1145" s="679">
        <v>0</v>
      </c>
      <c r="F1145" s="678">
        <v>167734.07999999999</v>
      </c>
      <c r="G1145" s="679">
        <v>0</v>
      </c>
      <c r="H1145" s="678">
        <v>167734.07999999999</v>
      </c>
      <c r="I1145" s="677" t="s">
        <v>4266</v>
      </c>
    </row>
    <row r="1146" spans="1:9" ht="17.100000000000001" customHeight="1">
      <c r="A1146" s="677">
        <v>60219909</v>
      </c>
      <c r="B1146" s="677" t="s">
        <v>4024</v>
      </c>
      <c r="C1146" s="679">
        <v>0</v>
      </c>
      <c r="D1146" s="678">
        <v>2148163.88</v>
      </c>
      <c r="E1146" s="679">
        <v>0</v>
      </c>
      <c r="F1146" s="679">
        <v>0</v>
      </c>
      <c r="G1146" s="679">
        <v>0</v>
      </c>
      <c r="H1146" s="678">
        <v>2148163.88</v>
      </c>
      <c r="I1146" s="677" t="s">
        <v>4025</v>
      </c>
    </row>
    <row r="1147" spans="1:9" ht="17.100000000000001" customHeight="1">
      <c r="A1147" s="677">
        <v>60219911</v>
      </c>
      <c r="B1147" s="677" t="s">
        <v>4338</v>
      </c>
      <c r="C1147" s="679">
        <v>0</v>
      </c>
      <c r="D1147" s="679">
        <v>16.04</v>
      </c>
      <c r="E1147" s="679">
        <v>0</v>
      </c>
      <c r="F1147" s="679">
        <v>433.96</v>
      </c>
      <c r="G1147" s="679">
        <v>0</v>
      </c>
      <c r="H1147" s="679">
        <v>450</v>
      </c>
      <c r="I1147" s="677" t="s">
        <v>4339</v>
      </c>
    </row>
    <row r="1148" spans="1:9" ht="17.100000000000001" customHeight="1">
      <c r="A1148" s="677">
        <v>60219912</v>
      </c>
      <c r="B1148" s="677" t="s">
        <v>2609</v>
      </c>
      <c r="C1148" s="679">
        <v>0</v>
      </c>
      <c r="D1148" s="678">
        <v>19708539.91</v>
      </c>
      <c r="E1148" s="679">
        <v>0</v>
      </c>
      <c r="F1148" s="678">
        <v>1261320.75</v>
      </c>
      <c r="G1148" s="679">
        <v>0</v>
      </c>
      <c r="H1148" s="678">
        <v>20969860.66</v>
      </c>
      <c r="I1148" s="677" t="s">
        <v>2610</v>
      </c>
    </row>
    <row r="1149" spans="1:9" ht="17.100000000000001" customHeight="1">
      <c r="A1149" s="677">
        <v>60219914</v>
      </c>
      <c r="B1149" s="677" t="s">
        <v>1957</v>
      </c>
      <c r="C1149" s="679">
        <v>0</v>
      </c>
      <c r="D1149" s="678">
        <v>1181707.51</v>
      </c>
      <c r="E1149" s="679">
        <v>0</v>
      </c>
      <c r="F1149" s="679">
        <v>0</v>
      </c>
      <c r="G1149" s="679">
        <v>0</v>
      </c>
      <c r="H1149" s="678">
        <v>1181707.51</v>
      </c>
      <c r="I1149" s="677" t="s">
        <v>1958</v>
      </c>
    </row>
    <row r="1150" spans="1:9" ht="17.100000000000001" customHeight="1">
      <c r="A1150" s="677">
        <v>60219915</v>
      </c>
      <c r="B1150" s="677" t="s">
        <v>1959</v>
      </c>
      <c r="C1150" s="679">
        <v>0</v>
      </c>
      <c r="D1150" s="678">
        <v>75892.58</v>
      </c>
      <c r="E1150" s="679">
        <v>0</v>
      </c>
      <c r="F1150" s="679">
        <v>92.45</v>
      </c>
      <c r="G1150" s="679">
        <v>0</v>
      </c>
      <c r="H1150" s="678">
        <v>75985.03</v>
      </c>
      <c r="I1150" s="677" t="s">
        <v>1960</v>
      </c>
    </row>
    <row r="1151" spans="1:9" ht="17.100000000000001" customHeight="1">
      <c r="A1151" s="677">
        <v>60219916</v>
      </c>
      <c r="B1151" s="677" t="s">
        <v>4161</v>
      </c>
      <c r="C1151" s="679">
        <v>0</v>
      </c>
      <c r="D1151" s="678">
        <v>1222592.3600000001</v>
      </c>
      <c r="E1151" s="679">
        <v>0</v>
      </c>
      <c r="F1151" s="679">
        <v>0</v>
      </c>
      <c r="G1151" s="679">
        <v>0</v>
      </c>
      <c r="H1151" s="678">
        <v>1222592.3600000001</v>
      </c>
      <c r="I1151" s="677" t="s">
        <v>4162</v>
      </c>
    </row>
    <row r="1152" spans="1:9" ht="17.100000000000001" customHeight="1">
      <c r="A1152" s="677">
        <v>60219917</v>
      </c>
      <c r="B1152" s="677" t="s">
        <v>3374</v>
      </c>
      <c r="C1152" s="679">
        <v>0</v>
      </c>
      <c r="D1152" s="678">
        <v>1510406.44</v>
      </c>
      <c r="E1152" s="679">
        <v>0</v>
      </c>
      <c r="F1152" s="679">
        <v>0</v>
      </c>
      <c r="G1152" s="679">
        <v>0</v>
      </c>
      <c r="H1152" s="678">
        <v>1510406.44</v>
      </c>
      <c r="I1152" s="677" t="s">
        <v>3375</v>
      </c>
    </row>
    <row r="1153" spans="1:9" ht="17.100000000000001" customHeight="1">
      <c r="A1153" s="677">
        <v>60219999</v>
      </c>
      <c r="B1153" s="677" t="s">
        <v>1949</v>
      </c>
      <c r="C1153" s="679">
        <v>0</v>
      </c>
      <c r="D1153" s="678">
        <v>15448857.390000001</v>
      </c>
      <c r="E1153" s="679">
        <v>0</v>
      </c>
      <c r="F1153" s="678">
        <v>8132433.9699999997</v>
      </c>
      <c r="G1153" s="679">
        <v>0</v>
      </c>
      <c r="H1153" s="678">
        <v>23581291.359999999</v>
      </c>
      <c r="I1153" s="677" t="s">
        <v>1961</v>
      </c>
    </row>
    <row r="1154" spans="1:9" ht="17.100000000000001" customHeight="1">
      <c r="A1154" s="677">
        <v>6051</v>
      </c>
      <c r="B1154" s="677" t="s">
        <v>228</v>
      </c>
      <c r="C1154" s="679">
        <v>0</v>
      </c>
      <c r="D1154" s="678">
        <v>15784664.960000001</v>
      </c>
      <c r="E1154" s="679">
        <v>0</v>
      </c>
      <c r="F1154" s="678">
        <v>3130972.68</v>
      </c>
      <c r="G1154" s="679">
        <v>0</v>
      </c>
      <c r="H1154" s="678">
        <v>18915637.640000001</v>
      </c>
      <c r="I1154" s="677" t="s">
        <v>1962</v>
      </c>
    </row>
    <row r="1155" spans="1:9" ht="17.100000000000001" customHeight="1">
      <c r="A1155" s="677">
        <v>605101</v>
      </c>
      <c r="B1155" s="677" t="s">
        <v>1963</v>
      </c>
      <c r="C1155" s="679">
        <v>0</v>
      </c>
      <c r="D1155" s="678">
        <v>5314224.5</v>
      </c>
      <c r="E1155" s="679">
        <v>0</v>
      </c>
      <c r="F1155" s="678">
        <v>1032002.5600000001</v>
      </c>
      <c r="G1155" s="679">
        <v>0</v>
      </c>
      <c r="H1155" s="678">
        <v>6346227.0599999996</v>
      </c>
      <c r="I1155" s="677" t="s">
        <v>1964</v>
      </c>
    </row>
    <row r="1156" spans="1:9" ht="17.100000000000001" customHeight="1">
      <c r="A1156" s="677">
        <v>60510101</v>
      </c>
      <c r="B1156" s="677" t="s">
        <v>3483</v>
      </c>
      <c r="C1156" s="679">
        <v>0</v>
      </c>
      <c r="D1156" s="678">
        <v>5314224.5</v>
      </c>
      <c r="E1156" s="679">
        <v>0</v>
      </c>
      <c r="F1156" s="678">
        <v>1032002.5600000001</v>
      </c>
      <c r="G1156" s="679">
        <v>0</v>
      </c>
      <c r="H1156" s="678">
        <v>6346227.0599999996</v>
      </c>
      <c r="I1156" s="677" t="s">
        <v>1965</v>
      </c>
    </row>
    <row r="1157" spans="1:9" ht="17.100000000000001" customHeight="1">
      <c r="A1157" s="677">
        <v>605102</v>
      </c>
      <c r="B1157" s="677" t="s">
        <v>1966</v>
      </c>
      <c r="C1157" s="679">
        <v>0</v>
      </c>
      <c r="D1157" s="678">
        <v>5624886.0199999996</v>
      </c>
      <c r="E1157" s="679">
        <v>0</v>
      </c>
      <c r="F1157" s="678">
        <v>1155492.79</v>
      </c>
      <c r="G1157" s="679">
        <v>0</v>
      </c>
      <c r="H1157" s="678">
        <v>6780378.8099999996</v>
      </c>
      <c r="I1157" s="677" t="s">
        <v>1967</v>
      </c>
    </row>
    <row r="1158" spans="1:9" ht="17.100000000000001" customHeight="1">
      <c r="A1158" s="677">
        <v>60510201</v>
      </c>
      <c r="B1158" s="677" t="s">
        <v>3484</v>
      </c>
      <c r="C1158" s="679">
        <v>0</v>
      </c>
      <c r="D1158" s="678">
        <v>5624886.0199999996</v>
      </c>
      <c r="E1158" s="679">
        <v>0</v>
      </c>
      <c r="F1158" s="678">
        <v>1155492.79</v>
      </c>
      <c r="G1158" s="679">
        <v>0</v>
      </c>
      <c r="H1158" s="678">
        <v>6780378.8099999996</v>
      </c>
      <c r="I1158" s="677" t="s">
        <v>1968</v>
      </c>
    </row>
    <row r="1159" spans="1:9" ht="17.100000000000001" customHeight="1">
      <c r="A1159" s="677">
        <v>605199</v>
      </c>
      <c r="B1159" s="677" t="s">
        <v>1969</v>
      </c>
      <c r="C1159" s="679">
        <v>0</v>
      </c>
      <c r="D1159" s="678">
        <v>4845554.4400000004</v>
      </c>
      <c r="E1159" s="679">
        <v>0</v>
      </c>
      <c r="F1159" s="678">
        <v>943477.33</v>
      </c>
      <c r="G1159" s="679">
        <v>0</v>
      </c>
      <c r="H1159" s="678">
        <v>5789031.7699999996</v>
      </c>
      <c r="I1159" s="677" t="s">
        <v>1970</v>
      </c>
    </row>
    <row r="1160" spans="1:9" ht="17.100000000000001" customHeight="1">
      <c r="A1160" s="677">
        <v>60519999</v>
      </c>
      <c r="B1160" s="677" t="s">
        <v>1969</v>
      </c>
      <c r="C1160" s="679">
        <v>0</v>
      </c>
      <c r="D1160" s="678">
        <v>4845554.4400000004</v>
      </c>
      <c r="E1160" s="679">
        <v>0</v>
      </c>
      <c r="F1160" s="678">
        <v>943477.33</v>
      </c>
      <c r="G1160" s="679">
        <v>0</v>
      </c>
      <c r="H1160" s="678">
        <v>5789031.7699999996</v>
      </c>
      <c r="I1160" s="677" t="s">
        <v>1971</v>
      </c>
    </row>
    <row r="1161" spans="1:9" ht="17.100000000000001" customHeight="1">
      <c r="A1161" s="677">
        <v>6061</v>
      </c>
      <c r="B1161" s="677" t="s">
        <v>1972</v>
      </c>
      <c r="C1161" s="679">
        <v>0</v>
      </c>
      <c r="D1161" s="678">
        <v>9611858.0099999998</v>
      </c>
      <c r="E1161" s="678">
        <v>979671.09</v>
      </c>
      <c r="F1161" s="678">
        <v>4673231.54</v>
      </c>
      <c r="G1161" s="679">
        <v>0</v>
      </c>
      <c r="H1161" s="678">
        <v>13305418.460000001</v>
      </c>
      <c r="I1161" s="677" t="s">
        <v>1973</v>
      </c>
    </row>
    <row r="1162" spans="1:9" ht="17.100000000000001" customHeight="1">
      <c r="A1162" s="677">
        <v>606101</v>
      </c>
      <c r="B1162" s="677" t="s">
        <v>1974</v>
      </c>
      <c r="C1162" s="679">
        <v>0</v>
      </c>
      <c r="D1162" s="678">
        <v>268895.89</v>
      </c>
      <c r="E1162" s="678">
        <v>448393.24</v>
      </c>
      <c r="F1162" s="678">
        <v>395261.58</v>
      </c>
      <c r="G1162" s="679">
        <v>0</v>
      </c>
      <c r="H1162" s="678">
        <v>215764.23</v>
      </c>
      <c r="I1162" s="677" t="s">
        <v>1975</v>
      </c>
    </row>
    <row r="1163" spans="1:9" ht="17.100000000000001" customHeight="1">
      <c r="A1163" s="677">
        <v>60610101</v>
      </c>
      <c r="B1163" s="677" t="s">
        <v>1974</v>
      </c>
      <c r="C1163" s="679">
        <v>0</v>
      </c>
      <c r="D1163" s="678">
        <v>268895.89</v>
      </c>
      <c r="E1163" s="678">
        <v>448393.24</v>
      </c>
      <c r="F1163" s="678">
        <v>395261.58</v>
      </c>
      <c r="G1163" s="679">
        <v>0</v>
      </c>
      <c r="H1163" s="678">
        <v>215764.23</v>
      </c>
      <c r="I1163" s="677" t="s">
        <v>1976</v>
      </c>
    </row>
    <row r="1164" spans="1:9" ht="17.100000000000001" customHeight="1">
      <c r="A1164" s="677">
        <v>606102</v>
      </c>
      <c r="B1164" s="677" t="s">
        <v>2699</v>
      </c>
      <c r="C1164" s="679">
        <v>0</v>
      </c>
      <c r="D1164" s="679">
        <v>585.05999999999995</v>
      </c>
      <c r="E1164" s="679">
        <v>0</v>
      </c>
      <c r="F1164" s="678">
        <v>2220.7399999999998</v>
      </c>
      <c r="G1164" s="679">
        <v>0</v>
      </c>
      <c r="H1164" s="678">
        <v>2805.8</v>
      </c>
      <c r="I1164" s="677" t="s">
        <v>2700</v>
      </c>
    </row>
    <row r="1165" spans="1:9" ht="17.100000000000001" customHeight="1">
      <c r="A1165" s="677">
        <v>60610201</v>
      </c>
      <c r="B1165" s="677" t="s">
        <v>2699</v>
      </c>
      <c r="C1165" s="679">
        <v>0</v>
      </c>
      <c r="D1165" s="679">
        <v>585.05999999999995</v>
      </c>
      <c r="E1165" s="679">
        <v>0</v>
      </c>
      <c r="F1165" s="678">
        <v>2220.7399999999998</v>
      </c>
      <c r="G1165" s="679">
        <v>0</v>
      </c>
      <c r="H1165" s="678">
        <v>2805.8</v>
      </c>
      <c r="I1165" s="677" t="s">
        <v>2701</v>
      </c>
    </row>
    <row r="1166" spans="1:9" ht="17.100000000000001" customHeight="1">
      <c r="A1166" s="677">
        <v>606199</v>
      </c>
      <c r="B1166" s="677" t="s">
        <v>1977</v>
      </c>
      <c r="C1166" s="679">
        <v>0</v>
      </c>
      <c r="D1166" s="678">
        <v>9342377.0600000005</v>
      </c>
      <c r="E1166" s="678">
        <v>531277.85</v>
      </c>
      <c r="F1166" s="678">
        <v>4275749.22</v>
      </c>
      <c r="G1166" s="679">
        <v>0</v>
      </c>
      <c r="H1166" s="678">
        <v>13086848.43</v>
      </c>
      <c r="I1166" s="677" t="s">
        <v>1978</v>
      </c>
    </row>
    <row r="1167" spans="1:9" ht="17.100000000000001" customHeight="1">
      <c r="A1167" s="677">
        <v>60619901</v>
      </c>
      <c r="B1167" s="677" t="s">
        <v>1979</v>
      </c>
      <c r="C1167" s="679">
        <v>0</v>
      </c>
      <c r="D1167" s="678">
        <v>6408411.1900000004</v>
      </c>
      <c r="E1167" s="678">
        <v>531081.34</v>
      </c>
      <c r="F1167" s="678">
        <v>4235980.41</v>
      </c>
      <c r="G1167" s="679">
        <v>0</v>
      </c>
      <c r="H1167" s="678">
        <v>10113310.26</v>
      </c>
      <c r="I1167" s="677" t="s">
        <v>1980</v>
      </c>
    </row>
    <row r="1168" spans="1:9" ht="17.100000000000001" customHeight="1">
      <c r="A1168" s="677">
        <v>60619999</v>
      </c>
      <c r="B1168" s="677" t="s">
        <v>4026</v>
      </c>
      <c r="C1168" s="679">
        <v>0</v>
      </c>
      <c r="D1168" s="678">
        <v>2933965.87</v>
      </c>
      <c r="E1168" s="679">
        <v>196.51</v>
      </c>
      <c r="F1168" s="678">
        <v>39768.81</v>
      </c>
      <c r="G1168" s="679">
        <v>0</v>
      </c>
      <c r="H1168" s="678">
        <v>2973538.17</v>
      </c>
      <c r="I1168" s="677" t="s">
        <v>4027</v>
      </c>
    </row>
    <row r="1169" spans="1:9" ht="17.100000000000001" customHeight="1">
      <c r="A1169" s="677">
        <v>6101</v>
      </c>
      <c r="B1169" s="677" t="s">
        <v>1981</v>
      </c>
      <c r="C1169" s="678">
        <v>331428825.11000001</v>
      </c>
      <c r="D1169" s="679">
        <v>0</v>
      </c>
      <c r="E1169" s="678">
        <v>1092570</v>
      </c>
      <c r="F1169" s="678">
        <v>677250</v>
      </c>
      <c r="G1169" s="678">
        <v>331844145.11000001</v>
      </c>
      <c r="H1169" s="679">
        <v>0</v>
      </c>
      <c r="I1169" s="677" t="s">
        <v>1982</v>
      </c>
    </row>
    <row r="1170" spans="1:9" ht="17.100000000000001" customHeight="1">
      <c r="A1170" s="677">
        <v>610101</v>
      </c>
      <c r="B1170" s="677" t="s">
        <v>1983</v>
      </c>
      <c r="C1170" s="678">
        <v>331428825.11000001</v>
      </c>
      <c r="D1170" s="679">
        <v>0</v>
      </c>
      <c r="E1170" s="678">
        <v>1092570</v>
      </c>
      <c r="F1170" s="678">
        <v>677250</v>
      </c>
      <c r="G1170" s="678">
        <v>331844145.11000001</v>
      </c>
      <c r="H1170" s="679">
        <v>0</v>
      </c>
      <c r="I1170" s="677" t="s">
        <v>1984</v>
      </c>
    </row>
    <row r="1171" spans="1:9" ht="17.100000000000001" customHeight="1">
      <c r="A1171" s="677">
        <v>61010101</v>
      </c>
      <c r="B1171" s="677" t="s">
        <v>1985</v>
      </c>
      <c r="C1171" s="678">
        <v>331428825.11000001</v>
      </c>
      <c r="D1171" s="679">
        <v>0</v>
      </c>
      <c r="E1171" s="678">
        <v>1092570</v>
      </c>
      <c r="F1171" s="678">
        <v>677250</v>
      </c>
      <c r="G1171" s="678">
        <v>331844145.11000001</v>
      </c>
      <c r="H1171" s="679">
        <v>0</v>
      </c>
      <c r="I1171" s="677" t="s">
        <v>1986</v>
      </c>
    </row>
    <row r="1172" spans="1:9" ht="17.100000000000001" customHeight="1">
      <c r="A1172" s="677">
        <v>6111</v>
      </c>
      <c r="B1172" s="677" t="s">
        <v>227</v>
      </c>
      <c r="C1172" s="679">
        <v>0</v>
      </c>
      <c r="D1172" s="678">
        <v>4394232460.8100004</v>
      </c>
      <c r="E1172" s="679">
        <v>0</v>
      </c>
      <c r="F1172" s="678">
        <v>14891779.810000001</v>
      </c>
      <c r="G1172" s="679">
        <v>0</v>
      </c>
      <c r="H1172" s="678">
        <v>4409124240.6199999</v>
      </c>
      <c r="I1172" s="677" t="s">
        <v>1987</v>
      </c>
    </row>
    <row r="1173" spans="1:9" ht="17.100000000000001" customHeight="1">
      <c r="A1173" s="320"/>
      <c r="B1173" s="320"/>
      <c r="C1173" s="320"/>
      <c r="D1173" s="557" t="s">
        <v>4317</v>
      </c>
      <c r="E1173" s="320" t="s">
        <v>3772</v>
      </c>
      <c r="F1173" s="320"/>
      <c r="G1173" s="320"/>
      <c r="H1173" s="320"/>
      <c r="I1173" s="320"/>
    </row>
    <row r="1174" spans="1:9" ht="17.100000000000001" customHeight="1">
      <c r="A1174" s="671"/>
      <c r="B1174" s="671"/>
      <c r="C1174" s="671"/>
      <c r="D1174" s="671"/>
      <c r="E1174" s="671"/>
      <c r="F1174" s="671"/>
      <c r="G1174" s="671"/>
      <c r="H1174" s="671"/>
      <c r="I1174" s="671"/>
    </row>
    <row r="1175" spans="1:9" ht="17.100000000000001" customHeight="1">
      <c r="A1175" s="320"/>
      <c r="B1175" s="320"/>
      <c r="C1175" s="672" t="s">
        <v>4316</v>
      </c>
      <c r="D1175" s="320"/>
      <c r="E1175" s="320"/>
      <c r="F1175" s="671"/>
      <c r="G1175" s="671"/>
      <c r="H1175" s="671"/>
      <c r="I1175" s="671"/>
    </row>
    <row r="1176" spans="1:9" ht="17.100000000000001" customHeight="1">
      <c r="A1176" s="673" t="s">
        <v>3708</v>
      </c>
      <c r="B1176" s="673"/>
      <c r="C1176" s="683">
        <v>42551</v>
      </c>
      <c r="D1176" s="673"/>
      <c r="E1176" s="557" t="s">
        <v>3709</v>
      </c>
      <c r="F1176" s="671"/>
      <c r="G1176" s="671"/>
      <c r="H1176" s="671"/>
      <c r="I1176" s="671"/>
    </row>
    <row r="1177" spans="1:9" ht="17.100000000000001" customHeight="1">
      <c r="A1177" s="676" t="s">
        <v>596</v>
      </c>
      <c r="B1177" s="676" t="s">
        <v>597</v>
      </c>
      <c r="C1177" s="676" t="s">
        <v>3710</v>
      </c>
      <c r="D1177" s="676" t="s">
        <v>3711</v>
      </c>
      <c r="E1177" s="676" t="s">
        <v>3712</v>
      </c>
      <c r="F1177" s="676" t="s">
        <v>3713</v>
      </c>
      <c r="G1177" s="676" t="s">
        <v>3714</v>
      </c>
      <c r="H1177" s="676" t="s">
        <v>3715</v>
      </c>
      <c r="I1177" s="676" t="s">
        <v>596</v>
      </c>
    </row>
    <row r="1178" spans="1:9" ht="28.5" customHeight="1">
      <c r="A1178" s="677">
        <v>611101</v>
      </c>
      <c r="B1178" s="677" t="s">
        <v>1988</v>
      </c>
      <c r="C1178" s="679">
        <v>0</v>
      </c>
      <c r="D1178" s="678">
        <v>30941177.190000001</v>
      </c>
      <c r="E1178" s="679">
        <v>0</v>
      </c>
      <c r="F1178" s="678">
        <v>-3122.91</v>
      </c>
      <c r="G1178" s="679">
        <v>0</v>
      </c>
      <c r="H1178" s="678">
        <v>30938054.280000001</v>
      </c>
      <c r="I1178" s="677" t="s">
        <v>1989</v>
      </c>
    </row>
    <row r="1179" spans="1:9" ht="24">
      <c r="A1179" s="677">
        <v>61110101</v>
      </c>
      <c r="B1179" s="677" t="s">
        <v>1990</v>
      </c>
      <c r="C1179" s="679">
        <v>0</v>
      </c>
      <c r="D1179" s="678">
        <v>-39625500</v>
      </c>
      <c r="E1179" s="679">
        <v>0</v>
      </c>
      <c r="F1179" s="679">
        <v>0</v>
      </c>
      <c r="G1179" s="679">
        <v>0</v>
      </c>
      <c r="H1179" s="678">
        <v>-39625500</v>
      </c>
      <c r="I1179" s="677" t="s">
        <v>1991</v>
      </c>
    </row>
    <row r="1180" spans="1:9" ht="24">
      <c r="A1180" s="677">
        <v>61110103</v>
      </c>
      <c r="B1180" s="677" t="s">
        <v>4144</v>
      </c>
      <c r="C1180" s="679">
        <v>0</v>
      </c>
      <c r="D1180" s="678">
        <v>70315002.200000003</v>
      </c>
      <c r="E1180" s="679">
        <v>0</v>
      </c>
      <c r="F1180" s="679">
        <v>0</v>
      </c>
      <c r="G1180" s="679">
        <v>0</v>
      </c>
      <c r="H1180" s="678">
        <v>70315002.200000003</v>
      </c>
      <c r="I1180" s="677" t="s">
        <v>4145</v>
      </c>
    </row>
    <row r="1181" spans="1:9" ht="24">
      <c r="A1181" s="677">
        <v>61110104</v>
      </c>
      <c r="B1181" s="677" t="s">
        <v>1992</v>
      </c>
      <c r="C1181" s="679">
        <v>0</v>
      </c>
      <c r="D1181" s="678">
        <v>251674.99</v>
      </c>
      <c r="E1181" s="679">
        <v>0</v>
      </c>
      <c r="F1181" s="678">
        <v>-3122.91</v>
      </c>
      <c r="G1181" s="679">
        <v>0</v>
      </c>
      <c r="H1181" s="678">
        <v>248552.08</v>
      </c>
      <c r="I1181" s="677" t="s">
        <v>1993</v>
      </c>
    </row>
    <row r="1182" spans="1:9" ht="28.5" customHeight="1">
      <c r="A1182" s="677">
        <v>611104</v>
      </c>
      <c r="B1182" s="677" t="s">
        <v>2702</v>
      </c>
      <c r="C1182" s="679">
        <v>0</v>
      </c>
      <c r="D1182" s="678">
        <v>4210598267.52</v>
      </c>
      <c r="E1182" s="679">
        <v>0</v>
      </c>
      <c r="F1182" s="678">
        <v>14894902.720000001</v>
      </c>
      <c r="G1182" s="679">
        <v>0</v>
      </c>
      <c r="H1182" s="678">
        <v>4225493170.2399998</v>
      </c>
      <c r="I1182" s="677" t="s">
        <v>1994</v>
      </c>
    </row>
    <row r="1183" spans="1:9" ht="17.100000000000001" customHeight="1">
      <c r="A1183" s="677">
        <v>61110401</v>
      </c>
      <c r="B1183" s="677" t="s">
        <v>1995</v>
      </c>
      <c r="C1183" s="679">
        <v>0</v>
      </c>
      <c r="D1183" s="678">
        <v>521771785.16000003</v>
      </c>
      <c r="E1183" s="679">
        <v>0</v>
      </c>
      <c r="F1183" s="679">
        <v>0</v>
      </c>
      <c r="G1183" s="679">
        <v>0</v>
      </c>
      <c r="H1183" s="678">
        <v>521771785.16000003</v>
      </c>
      <c r="I1183" s="677" t="s">
        <v>1996</v>
      </c>
    </row>
    <row r="1184" spans="1:9" ht="17.100000000000001" customHeight="1">
      <c r="A1184" s="677">
        <v>61110402</v>
      </c>
      <c r="B1184" s="677" t="s">
        <v>1997</v>
      </c>
      <c r="C1184" s="679">
        <v>0</v>
      </c>
      <c r="D1184" s="678">
        <v>296706448</v>
      </c>
      <c r="E1184" s="679">
        <v>0</v>
      </c>
      <c r="F1184" s="679">
        <v>0</v>
      </c>
      <c r="G1184" s="679">
        <v>0</v>
      </c>
      <c r="H1184" s="678">
        <v>296706448</v>
      </c>
      <c r="I1184" s="677" t="s">
        <v>1998</v>
      </c>
    </row>
    <row r="1185" spans="1:9" ht="17.100000000000001" customHeight="1">
      <c r="A1185" s="677">
        <v>61110403</v>
      </c>
      <c r="B1185" s="677" t="s">
        <v>1999</v>
      </c>
      <c r="C1185" s="679">
        <v>0</v>
      </c>
      <c r="D1185" s="678">
        <v>833681557.63999999</v>
      </c>
      <c r="E1185" s="679">
        <v>0</v>
      </c>
      <c r="F1185" s="678">
        <v>145322.43</v>
      </c>
      <c r="G1185" s="679">
        <v>0</v>
      </c>
      <c r="H1185" s="678">
        <v>833826880.07000005</v>
      </c>
      <c r="I1185" s="677" t="s">
        <v>2000</v>
      </c>
    </row>
    <row r="1186" spans="1:9" ht="17.100000000000001" customHeight="1">
      <c r="A1186" s="677">
        <v>61110404</v>
      </c>
      <c r="B1186" s="677" t="s">
        <v>2001</v>
      </c>
      <c r="C1186" s="679">
        <v>0</v>
      </c>
      <c r="D1186" s="678">
        <v>2558438476.7199998</v>
      </c>
      <c r="E1186" s="679">
        <v>0</v>
      </c>
      <c r="F1186" s="678">
        <v>14749580.289999999</v>
      </c>
      <c r="G1186" s="679">
        <v>0</v>
      </c>
      <c r="H1186" s="678">
        <v>2573188057.0100002</v>
      </c>
      <c r="I1186" s="677" t="s">
        <v>2002</v>
      </c>
    </row>
    <row r="1187" spans="1:9" ht="17.100000000000001" customHeight="1">
      <c r="A1187" s="677">
        <v>611105</v>
      </c>
      <c r="B1187" s="677" t="s">
        <v>4028</v>
      </c>
      <c r="C1187" s="679">
        <v>0</v>
      </c>
      <c r="D1187" s="678">
        <v>203165290.08000001</v>
      </c>
      <c r="E1187" s="679">
        <v>0</v>
      </c>
      <c r="F1187" s="679">
        <v>0</v>
      </c>
      <c r="G1187" s="679">
        <v>0</v>
      </c>
      <c r="H1187" s="678">
        <v>203165290.08000001</v>
      </c>
      <c r="I1187" s="677" t="s">
        <v>4029</v>
      </c>
    </row>
    <row r="1188" spans="1:9" ht="17.100000000000001" customHeight="1">
      <c r="A1188" s="677">
        <v>61110501</v>
      </c>
      <c r="B1188" s="677" t="s">
        <v>4028</v>
      </c>
      <c r="C1188" s="679">
        <v>0</v>
      </c>
      <c r="D1188" s="678">
        <v>203165290.08000001</v>
      </c>
      <c r="E1188" s="679">
        <v>0</v>
      </c>
      <c r="F1188" s="679">
        <v>0</v>
      </c>
      <c r="G1188" s="679">
        <v>0</v>
      </c>
      <c r="H1188" s="678">
        <v>203165290.08000001</v>
      </c>
      <c r="I1188" s="677" t="s">
        <v>4030</v>
      </c>
    </row>
    <row r="1189" spans="1:9" ht="17.100000000000001" customHeight="1">
      <c r="A1189" s="677">
        <v>611199</v>
      </c>
      <c r="B1189" s="677" t="s">
        <v>4031</v>
      </c>
      <c r="C1189" s="678">
        <v>50472273.979999997</v>
      </c>
      <c r="D1189" s="679">
        <v>0</v>
      </c>
      <c r="E1189" s="679">
        <v>0</v>
      </c>
      <c r="F1189" s="679">
        <v>0</v>
      </c>
      <c r="G1189" s="678">
        <v>50472273.979999997</v>
      </c>
      <c r="H1189" s="679">
        <v>0</v>
      </c>
      <c r="I1189" s="677" t="s">
        <v>4032</v>
      </c>
    </row>
    <row r="1190" spans="1:9" ht="17.100000000000001" customHeight="1">
      <c r="A1190" s="677">
        <v>61119901</v>
      </c>
      <c r="B1190" s="677" t="s">
        <v>4033</v>
      </c>
      <c r="C1190" s="679">
        <v>0</v>
      </c>
      <c r="D1190" s="678">
        <v>-50472273.979999997</v>
      </c>
      <c r="E1190" s="679">
        <v>0</v>
      </c>
      <c r="F1190" s="679">
        <v>0</v>
      </c>
      <c r="G1190" s="679">
        <v>0</v>
      </c>
      <c r="H1190" s="678">
        <v>-50472273.979999997</v>
      </c>
      <c r="I1190" s="677" t="s">
        <v>4034</v>
      </c>
    </row>
    <row r="1191" spans="1:9" ht="17.100000000000001" customHeight="1">
      <c r="A1191" s="677">
        <v>6301</v>
      </c>
      <c r="B1191" s="677" t="s">
        <v>2003</v>
      </c>
      <c r="C1191" s="679">
        <v>0</v>
      </c>
      <c r="D1191" s="678">
        <v>42957280.670000002</v>
      </c>
      <c r="E1191" s="678">
        <v>1274.0999999999999</v>
      </c>
      <c r="F1191" s="678">
        <v>170380.4</v>
      </c>
      <c r="G1191" s="679">
        <v>0</v>
      </c>
      <c r="H1191" s="678">
        <v>43126386.969999999</v>
      </c>
      <c r="I1191" s="677" t="s">
        <v>2004</v>
      </c>
    </row>
    <row r="1192" spans="1:9" ht="17.100000000000001" customHeight="1">
      <c r="A1192" s="677">
        <v>630101</v>
      </c>
      <c r="B1192" s="677" t="s">
        <v>4035</v>
      </c>
      <c r="C1192" s="679">
        <v>0</v>
      </c>
      <c r="D1192" s="678">
        <v>603234.25</v>
      </c>
      <c r="E1192" s="679">
        <v>0</v>
      </c>
      <c r="F1192" s="679">
        <v>0</v>
      </c>
      <c r="G1192" s="679">
        <v>0</v>
      </c>
      <c r="H1192" s="678">
        <v>603234.25</v>
      </c>
      <c r="I1192" s="677" t="s">
        <v>4036</v>
      </c>
    </row>
    <row r="1193" spans="1:9" ht="17.100000000000001" customHeight="1">
      <c r="A1193" s="677">
        <v>63010101</v>
      </c>
      <c r="B1193" s="677" t="s">
        <v>4035</v>
      </c>
      <c r="C1193" s="679">
        <v>0</v>
      </c>
      <c r="D1193" s="678">
        <v>603234.25</v>
      </c>
      <c r="E1193" s="679">
        <v>0</v>
      </c>
      <c r="F1193" s="679">
        <v>0</v>
      </c>
      <c r="G1193" s="679">
        <v>0</v>
      </c>
      <c r="H1193" s="678">
        <v>603234.25</v>
      </c>
      <c r="I1193" s="677" t="s">
        <v>4037</v>
      </c>
    </row>
    <row r="1194" spans="1:9" ht="17.100000000000001" customHeight="1">
      <c r="A1194" s="677">
        <v>630103</v>
      </c>
      <c r="B1194" s="677" t="s">
        <v>4038</v>
      </c>
      <c r="C1194" s="679">
        <v>0</v>
      </c>
      <c r="D1194" s="678">
        <v>3961</v>
      </c>
      <c r="E1194" s="679">
        <v>0</v>
      </c>
      <c r="F1194" s="678">
        <v>1127</v>
      </c>
      <c r="G1194" s="679">
        <v>0</v>
      </c>
      <c r="H1194" s="678">
        <v>5088</v>
      </c>
      <c r="I1194" s="677" t="s">
        <v>4039</v>
      </c>
    </row>
    <row r="1195" spans="1:9" ht="17.100000000000001" customHeight="1">
      <c r="A1195" s="677">
        <v>63010301</v>
      </c>
      <c r="B1195" s="677" t="s">
        <v>1595</v>
      </c>
      <c r="C1195" s="679">
        <v>0</v>
      </c>
      <c r="D1195" s="678">
        <v>3961</v>
      </c>
      <c r="E1195" s="679">
        <v>0</v>
      </c>
      <c r="F1195" s="678">
        <v>1127</v>
      </c>
      <c r="G1195" s="679">
        <v>0</v>
      </c>
      <c r="H1195" s="678">
        <v>5088</v>
      </c>
      <c r="I1195" s="677" t="s">
        <v>4040</v>
      </c>
    </row>
    <row r="1196" spans="1:9" ht="17.100000000000001" customHeight="1">
      <c r="A1196" s="677">
        <v>630104</v>
      </c>
      <c r="B1196" s="677" t="s">
        <v>2005</v>
      </c>
      <c r="C1196" s="679">
        <v>0</v>
      </c>
      <c r="D1196" s="678">
        <v>2158504.61</v>
      </c>
      <c r="E1196" s="679">
        <v>0</v>
      </c>
      <c r="F1196" s="678">
        <v>7755.3</v>
      </c>
      <c r="G1196" s="679">
        <v>0</v>
      </c>
      <c r="H1196" s="678">
        <v>2166259.91</v>
      </c>
      <c r="I1196" s="677" t="s">
        <v>2006</v>
      </c>
    </row>
    <row r="1197" spans="1:9" ht="17.100000000000001" customHeight="1">
      <c r="A1197" s="677">
        <v>63010401</v>
      </c>
      <c r="B1197" s="677" t="s">
        <v>2005</v>
      </c>
      <c r="C1197" s="679">
        <v>0</v>
      </c>
      <c r="D1197" s="678">
        <v>2158504.61</v>
      </c>
      <c r="E1197" s="679">
        <v>0</v>
      </c>
      <c r="F1197" s="678">
        <v>7755.3</v>
      </c>
      <c r="G1197" s="679">
        <v>0</v>
      </c>
      <c r="H1197" s="678">
        <v>2166259.91</v>
      </c>
      <c r="I1197" s="677" t="s">
        <v>2007</v>
      </c>
    </row>
    <row r="1198" spans="1:9" ht="17.100000000000001" customHeight="1">
      <c r="A1198" s="677">
        <v>630199</v>
      </c>
      <c r="B1198" s="677" t="s">
        <v>2008</v>
      </c>
      <c r="C1198" s="679">
        <v>0</v>
      </c>
      <c r="D1198" s="678">
        <v>40191580.810000002</v>
      </c>
      <c r="E1198" s="678">
        <v>1274.0999999999999</v>
      </c>
      <c r="F1198" s="678">
        <v>161498.1</v>
      </c>
      <c r="G1198" s="679">
        <v>0</v>
      </c>
      <c r="H1198" s="678">
        <v>40351804.810000002</v>
      </c>
      <c r="I1198" s="677" t="s">
        <v>2009</v>
      </c>
    </row>
    <row r="1199" spans="1:9" ht="17.100000000000001" customHeight="1">
      <c r="A1199" s="677">
        <v>63019999</v>
      </c>
      <c r="B1199" s="677" t="s">
        <v>2008</v>
      </c>
      <c r="C1199" s="679">
        <v>0</v>
      </c>
      <c r="D1199" s="678">
        <v>40191580.810000002</v>
      </c>
      <c r="E1199" s="678">
        <v>1274.0999999999999</v>
      </c>
      <c r="F1199" s="678">
        <v>161498.1</v>
      </c>
      <c r="G1199" s="679">
        <v>0</v>
      </c>
      <c r="H1199" s="678">
        <v>40351804.810000002</v>
      </c>
      <c r="I1199" s="677" t="s">
        <v>2010</v>
      </c>
    </row>
    <row r="1200" spans="1:9" ht="17.100000000000001" customHeight="1">
      <c r="A1200" s="677">
        <v>6403</v>
      </c>
      <c r="B1200" s="677" t="s">
        <v>4340</v>
      </c>
      <c r="C1200" s="678">
        <v>332685638.25</v>
      </c>
      <c r="D1200" s="679">
        <v>0</v>
      </c>
      <c r="E1200" s="678">
        <v>340466.72</v>
      </c>
      <c r="F1200" s="679">
        <v>0</v>
      </c>
      <c r="G1200" s="678">
        <v>333026104.97000003</v>
      </c>
      <c r="H1200" s="679">
        <v>0</v>
      </c>
      <c r="I1200" s="677" t="s">
        <v>2011</v>
      </c>
    </row>
    <row r="1201" spans="1:9" ht="17.100000000000001" customHeight="1">
      <c r="A1201" s="677">
        <v>640301</v>
      </c>
      <c r="B1201" s="677" t="s">
        <v>4041</v>
      </c>
      <c r="C1201" s="678">
        <v>297081565.86000001</v>
      </c>
      <c r="D1201" s="679">
        <v>0</v>
      </c>
      <c r="E1201" s="678">
        <v>304690.40999999997</v>
      </c>
      <c r="F1201" s="679">
        <v>0</v>
      </c>
      <c r="G1201" s="678">
        <v>297386256.26999998</v>
      </c>
      <c r="H1201" s="679">
        <v>0</v>
      </c>
      <c r="I1201" s="677" t="s">
        <v>4042</v>
      </c>
    </row>
    <row r="1202" spans="1:9" ht="17.100000000000001" customHeight="1">
      <c r="A1202" s="677">
        <v>64030101</v>
      </c>
      <c r="B1202" s="677" t="s">
        <v>4041</v>
      </c>
      <c r="C1202" s="678">
        <v>297081565.86000001</v>
      </c>
      <c r="D1202" s="679">
        <v>0</v>
      </c>
      <c r="E1202" s="678">
        <v>304690.40999999997</v>
      </c>
      <c r="F1202" s="679">
        <v>0</v>
      </c>
      <c r="G1202" s="678">
        <v>297386256.26999998</v>
      </c>
      <c r="H1202" s="679">
        <v>0</v>
      </c>
      <c r="I1202" s="677" t="s">
        <v>4043</v>
      </c>
    </row>
    <row r="1203" spans="1:9" ht="17.100000000000001" customHeight="1">
      <c r="A1203" s="677">
        <v>640302</v>
      </c>
      <c r="B1203" s="677" t="s">
        <v>2012</v>
      </c>
      <c r="C1203" s="678">
        <v>35604072.390000001</v>
      </c>
      <c r="D1203" s="679">
        <v>0</v>
      </c>
      <c r="E1203" s="678">
        <v>35776.31</v>
      </c>
      <c r="F1203" s="679">
        <v>0</v>
      </c>
      <c r="G1203" s="678">
        <v>35639848.700000003</v>
      </c>
      <c r="H1203" s="679">
        <v>0</v>
      </c>
      <c r="I1203" s="677" t="s">
        <v>2013</v>
      </c>
    </row>
    <row r="1204" spans="1:9" ht="17.100000000000001" customHeight="1">
      <c r="A1204" s="677">
        <v>64030201</v>
      </c>
      <c r="B1204" s="677" t="s">
        <v>2014</v>
      </c>
      <c r="C1204" s="678">
        <v>20750508.960000001</v>
      </c>
      <c r="D1204" s="679">
        <v>0</v>
      </c>
      <c r="E1204" s="678">
        <v>21328.33</v>
      </c>
      <c r="F1204" s="679">
        <v>0</v>
      </c>
      <c r="G1204" s="678">
        <v>20771837.289999999</v>
      </c>
      <c r="H1204" s="679">
        <v>0</v>
      </c>
      <c r="I1204" s="677" t="s">
        <v>2015</v>
      </c>
    </row>
    <row r="1205" spans="1:9" ht="17.100000000000001" customHeight="1">
      <c r="A1205" s="677">
        <v>64030202</v>
      </c>
      <c r="B1205" s="677" t="s">
        <v>2016</v>
      </c>
      <c r="C1205" s="678">
        <v>14853563.43</v>
      </c>
      <c r="D1205" s="679">
        <v>0</v>
      </c>
      <c r="E1205" s="678">
        <v>14447.98</v>
      </c>
      <c r="F1205" s="679">
        <v>0</v>
      </c>
      <c r="G1205" s="678">
        <v>14868011.41</v>
      </c>
      <c r="H1205" s="679">
        <v>0</v>
      </c>
      <c r="I1205" s="677" t="s">
        <v>2017</v>
      </c>
    </row>
    <row r="1206" spans="1:9" ht="17.100000000000001" customHeight="1">
      <c r="A1206" s="677">
        <v>6411</v>
      </c>
      <c r="B1206" s="677" t="s">
        <v>2018</v>
      </c>
      <c r="C1206" s="678">
        <v>3513898324.5999999</v>
      </c>
      <c r="D1206" s="679">
        <v>0</v>
      </c>
      <c r="E1206" s="678">
        <v>502578913.14999998</v>
      </c>
      <c r="F1206" s="679">
        <v>0</v>
      </c>
      <c r="G1206" s="678">
        <v>4016477237.75</v>
      </c>
      <c r="H1206" s="679">
        <v>0</v>
      </c>
      <c r="I1206" s="677" t="s">
        <v>2019</v>
      </c>
    </row>
    <row r="1207" spans="1:9" ht="17.100000000000001" customHeight="1">
      <c r="A1207" s="677">
        <v>641101</v>
      </c>
      <c r="B1207" s="677" t="s">
        <v>2020</v>
      </c>
      <c r="C1207" s="678">
        <v>132546115.92</v>
      </c>
      <c r="D1207" s="679">
        <v>0</v>
      </c>
      <c r="E1207" s="678">
        <v>8973242.1500000004</v>
      </c>
      <c r="F1207" s="679">
        <v>0</v>
      </c>
      <c r="G1207" s="678">
        <v>141519358.06999999</v>
      </c>
      <c r="H1207" s="679">
        <v>0</v>
      </c>
      <c r="I1207" s="677" t="s">
        <v>2021</v>
      </c>
    </row>
    <row r="1208" spans="1:9" ht="17.100000000000001" customHeight="1">
      <c r="A1208" s="677">
        <v>64110101</v>
      </c>
      <c r="B1208" s="677" t="s">
        <v>2020</v>
      </c>
      <c r="C1208" s="678">
        <v>132546115.92</v>
      </c>
      <c r="D1208" s="679">
        <v>0</v>
      </c>
      <c r="E1208" s="678">
        <v>8973242.1500000004</v>
      </c>
      <c r="F1208" s="679">
        <v>0</v>
      </c>
      <c r="G1208" s="678">
        <v>141519358.06999999</v>
      </c>
      <c r="H1208" s="679">
        <v>0</v>
      </c>
      <c r="I1208" s="677" t="s">
        <v>2022</v>
      </c>
    </row>
    <row r="1209" spans="1:9" ht="17.100000000000001" customHeight="1">
      <c r="A1209" s="677">
        <v>641102</v>
      </c>
      <c r="B1209" s="677" t="s">
        <v>2023</v>
      </c>
      <c r="C1209" s="678">
        <v>1141934334.8399999</v>
      </c>
      <c r="D1209" s="679">
        <v>0</v>
      </c>
      <c r="E1209" s="678">
        <v>203688305.63</v>
      </c>
      <c r="F1209" s="679">
        <v>0</v>
      </c>
      <c r="G1209" s="678">
        <v>1345622640.47</v>
      </c>
      <c r="H1209" s="679">
        <v>0</v>
      </c>
      <c r="I1209" s="677" t="s">
        <v>2024</v>
      </c>
    </row>
    <row r="1210" spans="1:9" ht="17.100000000000001" customHeight="1">
      <c r="A1210" s="677">
        <v>64110202</v>
      </c>
      <c r="B1210" s="677" t="s">
        <v>2025</v>
      </c>
      <c r="C1210" s="678">
        <v>15070378.890000001</v>
      </c>
      <c r="D1210" s="679">
        <v>0</v>
      </c>
      <c r="E1210" s="678">
        <v>1744891.83</v>
      </c>
      <c r="F1210" s="679">
        <v>0</v>
      </c>
      <c r="G1210" s="678">
        <v>16815270.719999999</v>
      </c>
      <c r="H1210" s="679">
        <v>0</v>
      </c>
      <c r="I1210" s="677" t="s">
        <v>2026</v>
      </c>
    </row>
    <row r="1211" spans="1:9" ht="17.100000000000001" customHeight="1">
      <c r="A1211" s="677">
        <v>64110203</v>
      </c>
      <c r="B1211" s="677" t="s">
        <v>2027</v>
      </c>
      <c r="C1211" s="678">
        <v>15100460.49</v>
      </c>
      <c r="D1211" s="679">
        <v>0</v>
      </c>
      <c r="E1211" s="678">
        <v>3985660.05</v>
      </c>
      <c r="F1211" s="679">
        <v>0</v>
      </c>
      <c r="G1211" s="678">
        <v>19086120.539999999</v>
      </c>
      <c r="H1211" s="679">
        <v>0</v>
      </c>
      <c r="I1211" s="677" t="s">
        <v>2028</v>
      </c>
    </row>
    <row r="1212" spans="1:9" ht="17.100000000000001" customHeight="1">
      <c r="A1212" s="320"/>
      <c r="B1212" s="320"/>
      <c r="C1212" s="320"/>
      <c r="D1212" s="557" t="s">
        <v>4317</v>
      </c>
      <c r="E1212" s="320" t="s">
        <v>3773</v>
      </c>
      <c r="F1212" s="320"/>
      <c r="G1212" s="320"/>
      <c r="H1212" s="320"/>
      <c r="I1212" s="320"/>
    </row>
    <row r="1213" spans="1:9" ht="17.100000000000001" customHeight="1">
      <c r="A1213" s="671"/>
      <c r="B1213" s="671"/>
      <c r="C1213" s="671"/>
      <c r="D1213" s="671"/>
      <c r="E1213" s="671"/>
      <c r="F1213" s="671"/>
      <c r="G1213" s="671"/>
      <c r="H1213" s="671"/>
      <c r="I1213" s="671"/>
    </row>
    <row r="1214" spans="1:9" ht="17.100000000000001" customHeight="1">
      <c r="A1214" s="320"/>
      <c r="B1214" s="320"/>
      <c r="C1214" s="672" t="s">
        <v>4316</v>
      </c>
      <c r="D1214" s="320"/>
      <c r="E1214" s="320"/>
      <c r="F1214" s="671"/>
      <c r="G1214" s="671"/>
      <c r="H1214" s="671"/>
      <c r="I1214" s="671"/>
    </row>
    <row r="1215" spans="1:9" ht="17.100000000000001" customHeight="1">
      <c r="A1215" s="673" t="s">
        <v>3708</v>
      </c>
      <c r="B1215" s="673"/>
      <c r="C1215" s="683">
        <v>42551</v>
      </c>
      <c r="D1215" s="673"/>
      <c r="E1215" s="557" t="s">
        <v>3709</v>
      </c>
      <c r="F1215" s="671"/>
      <c r="G1215" s="671"/>
      <c r="H1215" s="671"/>
      <c r="I1215" s="671"/>
    </row>
    <row r="1216" spans="1:9" ht="17.100000000000001" customHeight="1">
      <c r="A1216" s="676" t="s">
        <v>596</v>
      </c>
      <c r="B1216" s="676" t="s">
        <v>597</v>
      </c>
      <c r="C1216" s="676" t="s">
        <v>3710</v>
      </c>
      <c r="D1216" s="676" t="s">
        <v>3711</v>
      </c>
      <c r="E1216" s="676" t="s">
        <v>3712</v>
      </c>
      <c r="F1216" s="676" t="s">
        <v>3713</v>
      </c>
      <c r="G1216" s="676" t="s">
        <v>3714</v>
      </c>
      <c r="H1216" s="676" t="s">
        <v>3715</v>
      </c>
      <c r="I1216" s="676" t="s">
        <v>596</v>
      </c>
    </row>
    <row r="1217" spans="1:9" ht="28.5" customHeight="1">
      <c r="A1217" s="677">
        <v>64110205</v>
      </c>
      <c r="B1217" s="677" t="s">
        <v>2029</v>
      </c>
      <c r="C1217" s="678">
        <v>207877062.09999999</v>
      </c>
      <c r="D1217" s="679">
        <v>0</v>
      </c>
      <c r="E1217" s="678">
        <v>37932088.710000001</v>
      </c>
      <c r="F1217" s="679">
        <v>0</v>
      </c>
      <c r="G1217" s="678">
        <v>245809150.81</v>
      </c>
      <c r="H1217" s="679">
        <v>0</v>
      </c>
      <c r="I1217" s="677" t="s">
        <v>2030</v>
      </c>
    </row>
    <row r="1218" spans="1:9" ht="24">
      <c r="A1218" s="677">
        <v>64110206</v>
      </c>
      <c r="B1218" s="677" t="s">
        <v>2031</v>
      </c>
      <c r="C1218" s="678">
        <v>51793249.68</v>
      </c>
      <c r="D1218" s="679">
        <v>0</v>
      </c>
      <c r="E1218" s="678">
        <v>9867667.0800000001</v>
      </c>
      <c r="F1218" s="679">
        <v>0</v>
      </c>
      <c r="G1218" s="678">
        <v>61660916.759999998</v>
      </c>
      <c r="H1218" s="679">
        <v>0</v>
      </c>
      <c r="I1218" s="677" t="s">
        <v>2032</v>
      </c>
    </row>
    <row r="1219" spans="1:9" ht="24">
      <c r="A1219" s="677">
        <v>64110207</v>
      </c>
      <c r="B1219" s="677" t="s">
        <v>2033</v>
      </c>
      <c r="C1219" s="678">
        <v>223995706.34999999</v>
      </c>
      <c r="D1219" s="679">
        <v>0</v>
      </c>
      <c r="E1219" s="678">
        <v>42167812.509999998</v>
      </c>
      <c r="F1219" s="679">
        <v>0</v>
      </c>
      <c r="G1219" s="678">
        <v>266163518.86000001</v>
      </c>
      <c r="H1219" s="679">
        <v>0</v>
      </c>
      <c r="I1219" s="677" t="s">
        <v>2034</v>
      </c>
    </row>
    <row r="1220" spans="1:9" ht="24">
      <c r="A1220" s="677">
        <v>64110208</v>
      </c>
      <c r="B1220" s="677" t="s">
        <v>2035</v>
      </c>
      <c r="C1220" s="678">
        <v>347767195.95999998</v>
      </c>
      <c r="D1220" s="679">
        <v>0</v>
      </c>
      <c r="E1220" s="678">
        <v>66669061.299999997</v>
      </c>
      <c r="F1220" s="679">
        <v>0</v>
      </c>
      <c r="G1220" s="678">
        <v>414436257.25999999</v>
      </c>
      <c r="H1220" s="679">
        <v>0</v>
      </c>
      <c r="I1220" s="677" t="s">
        <v>2036</v>
      </c>
    </row>
    <row r="1221" spans="1:9" ht="28.5" customHeight="1">
      <c r="A1221" s="677">
        <v>64110209</v>
      </c>
      <c r="B1221" s="677" t="s">
        <v>2037</v>
      </c>
      <c r="C1221" s="678">
        <v>241423643.56</v>
      </c>
      <c r="D1221" s="679">
        <v>0</v>
      </c>
      <c r="E1221" s="678">
        <v>39074995.43</v>
      </c>
      <c r="F1221" s="679">
        <v>0</v>
      </c>
      <c r="G1221" s="678">
        <v>280498638.99000001</v>
      </c>
      <c r="H1221" s="679">
        <v>0</v>
      </c>
      <c r="I1221" s="677" t="s">
        <v>2038</v>
      </c>
    </row>
    <row r="1222" spans="1:9" ht="17.100000000000001" customHeight="1">
      <c r="A1222" s="677">
        <v>64110210</v>
      </c>
      <c r="B1222" s="677" t="s">
        <v>2039</v>
      </c>
      <c r="C1222" s="678">
        <v>34114107.68</v>
      </c>
      <c r="D1222" s="679">
        <v>0</v>
      </c>
      <c r="E1222" s="678">
        <v>823255.11</v>
      </c>
      <c r="F1222" s="679">
        <v>0</v>
      </c>
      <c r="G1222" s="678">
        <v>34937362.789999999</v>
      </c>
      <c r="H1222" s="679">
        <v>0</v>
      </c>
      <c r="I1222" s="677" t="s">
        <v>2040</v>
      </c>
    </row>
    <row r="1223" spans="1:9" ht="17.100000000000001" customHeight="1">
      <c r="A1223" s="677">
        <v>64110211</v>
      </c>
      <c r="B1223" s="677" t="s">
        <v>2703</v>
      </c>
      <c r="C1223" s="678">
        <v>4792530.13</v>
      </c>
      <c r="D1223" s="679">
        <v>0</v>
      </c>
      <c r="E1223" s="678">
        <v>1422873.61</v>
      </c>
      <c r="F1223" s="679">
        <v>0</v>
      </c>
      <c r="G1223" s="678">
        <v>6215403.7400000002</v>
      </c>
      <c r="H1223" s="679">
        <v>0</v>
      </c>
      <c r="I1223" s="677" t="s">
        <v>2704</v>
      </c>
    </row>
    <row r="1224" spans="1:9" ht="17.100000000000001" customHeight="1">
      <c r="A1224" s="677">
        <v>641103</v>
      </c>
      <c r="B1224" s="677" t="s">
        <v>2041</v>
      </c>
      <c r="C1224" s="678">
        <v>103904382.11</v>
      </c>
      <c r="D1224" s="679">
        <v>0</v>
      </c>
      <c r="E1224" s="678">
        <v>6203578.8499999996</v>
      </c>
      <c r="F1224" s="679">
        <v>0</v>
      </c>
      <c r="G1224" s="678">
        <v>110107960.95999999</v>
      </c>
      <c r="H1224" s="679">
        <v>0</v>
      </c>
      <c r="I1224" s="677" t="s">
        <v>2042</v>
      </c>
    </row>
    <row r="1225" spans="1:9" ht="17.100000000000001" customHeight="1">
      <c r="A1225" s="677">
        <v>64110301</v>
      </c>
      <c r="B1225" s="677" t="s">
        <v>2043</v>
      </c>
      <c r="C1225" s="678">
        <v>1161461.25</v>
      </c>
      <c r="D1225" s="679">
        <v>0</v>
      </c>
      <c r="E1225" s="678">
        <v>66985.17</v>
      </c>
      <c r="F1225" s="679">
        <v>0</v>
      </c>
      <c r="G1225" s="678">
        <v>1228446.42</v>
      </c>
      <c r="H1225" s="679">
        <v>0</v>
      </c>
      <c r="I1225" s="677" t="s">
        <v>2044</v>
      </c>
    </row>
    <row r="1226" spans="1:9" ht="17.100000000000001" customHeight="1">
      <c r="A1226" s="677">
        <v>64110302</v>
      </c>
      <c r="B1226" s="677" t="s">
        <v>2045</v>
      </c>
      <c r="C1226" s="678">
        <v>102742920.86</v>
      </c>
      <c r="D1226" s="679">
        <v>0</v>
      </c>
      <c r="E1226" s="678">
        <v>6136593.6799999997</v>
      </c>
      <c r="F1226" s="679">
        <v>0</v>
      </c>
      <c r="G1226" s="678">
        <v>108879514.54000001</v>
      </c>
      <c r="H1226" s="679">
        <v>0</v>
      </c>
      <c r="I1226" s="677" t="s">
        <v>2046</v>
      </c>
    </row>
    <row r="1227" spans="1:9" ht="17.100000000000001" customHeight="1">
      <c r="A1227" s="677">
        <v>641104</v>
      </c>
      <c r="B1227" s="677" t="s">
        <v>2047</v>
      </c>
      <c r="C1227" s="678">
        <v>1221077799.74</v>
      </c>
      <c r="D1227" s="679">
        <v>0</v>
      </c>
      <c r="E1227" s="678">
        <v>220818206.94</v>
      </c>
      <c r="F1227" s="679">
        <v>0</v>
      </c>
      <c r="G1227" s="678">
        <v>1441896006.6800001</v>
      </c>
      <c r="H1227" s="679">
        <v>0</v>
      </c>
      <c r="I1227" s="677" t="s">
        <v>2048</v>
      </c>
    </row>
    <row r="1228" spans="1:9" ht="17.100000000000001" customHeight="1">
      <c r="A1228" s="677">
        <v>64110401</v>
      </c>
      <c r="B1228" s="677" t="s">
        <v>2049</v>
      </c>
      <c r="C1228" s="679">
        <v>77.78</v>
      </c>
      <c r="D1228" s="679">
        <v>0</v>
      </c>
      <c r="E1228" s="679">
        <v>23.76</v>
      </c>
      <c r="F1228" s="679">
        <v>0</v>
      </c>
      <c r="G1228" s="679">
        <v>101.54</v>
      </c>
      <c r="H1228" s="679">
        <v>0</v>
      </c>
      <c r="I1228" s="677" t="s">
        <v>2050</v>
      </c>
    </row>
    <row r="1229" spans="1:9" ht="17.100000000000001" customHeight="1">
      <c r="A1229" s="677">
        <v>64110402</v>
      </c>
      <c r="B1229" s="677" t="s">
        <v>2051</v>
      </c>
      <c r="C1229" s="678">
        <v>21853518.030000001</v>
      </c>
      <c r="D1229" s="679">
        <v>0</v>
      </c>
      <c r="E1229" s="678">
        <v>4270622.45</v>
      </c>
      <c r="F1229" s="679">
        <v>0</v>
      </c>
      <c r="G1229" s="678">
        <v>26124140.48</v>
      </c>
      <c r="H1229" s="679">
        <v>0</v>
      </c>
      <c r="I1229" s="677" t="s">
        <v>2052</v>
      </c>
    </row>
    <row r="1230" spans="1:9" ht="17.100000000000001" customHeight="1">
      <c r="A1230" s="677">
        <v>64110403</v>
      </c>
      <c r="B1230" s="677" t="s">
        <v>2053</v>
      </c>
      <c r="C1230" s="678">
        <v>39264647.030000001</v>
      </c>
      <c r="D1230" s="679">
        <v>0</v>
      </c>
      <c r="E1230" s="678">
        <v>7618504.9000000004</v>
      </c>
      <c r="F1230" s="679">
        <v>0</v>
      </c>
      <c r="G1230" s="678">
        <v>46883151.93</v>
      </c>
      <c r="H1230" s="679">
        <v>0</v>
      </c>
      <c r="I1230" s="677" t="s">
        <v>2054</v>
      </c>
    </row>
    <row r="1231" spans="1:9" ht="17.100000000000001" customHeight="1">
      <c r="A1231" s="677">
        <v>64110404</v>
      </c>
      <c r="B1231" s="677" t="s">
        <v>2055</v>
      </c>
      <c r="C1231" s="679">
        <v>6.53</v>
      </c>
      <c r="D1231" s="679">
        <v>0</v>
      </c>
      <c r="E1231" s="679">
        <v>1.3</v>
      </c>
      <c r="F1231" s="679">
        <v>0</v>
      </c>
      <c r="G1231" s="679">
        <v>7.83</v>
      </c>
      <c r="H1231" s="679">
        <v>0</v>
      </c>
      <c r="I1231" s="677" t="s">
        <v>2056</v>
      </c>
    </row>
    <row r="1232" spans="1:9" ht="17.100000000000001" customHeight="1">
      <c r="A1232" s="677">
        <v>64110405</v>
      </c>
      <c r="B1232" s="677" t="s">
        <v>2057</v>
      </c>
      <c r="C1232" s="678">
        <v>486217657.06999999</v>
      </c>
      <c r="D1232" s="679">
        <v>0</v>
      </c>
      <c r="E1232" s="678">
        <v>84331811.950000003</v>
      </c>
      <c r="F1232" s="679">
        <v>0</v>
      </c>
      <c r="G1232" s="678">
        <v>570549469.01999998</v>
      </c>
      <c r="H1232" s="679">
        <v>0</v>
      </c>
      <c r="I1232" s="677" t="s">
        <v>2058</v>
      </c>
    </row>
    <row r="1233" spans="1:9" ht="17.100000000000001" customHeight="1">
      <c r="A1233" s="677">
        <v>64110406</v>
      </c>
      <c r="B1233" s="677" t="s">
        <v>2059</v>
      </c>
      <c r="C1233" s="678">
        <v>243563708.00999999</v>
      </c>
      <c r="D1233" s="679">
        <v>0</v>
      </c>
      <c r="E1233" s="678">
        <v>43832877.780000001</v>
      </c>
      <c r="F1233" s="679">
        <v>0</v>
      </c>
      <c r="G1233" s="678">
        <v>287396585.79000002</v>
      </c>
      <c r="H1233" s="679">
        <v>0</v>
      </c>
      <c r="I1233" s="677" t="s">
        <v>2060</v>
      </c>
    </row>
    <row r="1234" spans="1:9" ht="17.100000000000001" customHeight="1">
      <c r="A1234" s="677">
        <v>64110407</v>
      </c>
      <c r="B1234" s="677" t="s">
        <v>2061</v>
      </c>
      <c r="C1234" s="678">
        <v>287507333.63</v>
      </c>
      <c r="D1234" s="679">
        <v>0</v>
      </c>
      <c r="E1234" s="678">
        <v>54844250.119999997</v>
      </c>
      <c r="F1234" s="679">
        <v>0</v>
      </c>
      <c r="G1234" s="678">
        <v>342351583.75</v>
      </c>
      <c r="H1234" s="679">
        <v>0</v>
      </c>
      <c r="I1234" s="677" t="s">
        <v>2062</v>
      </c>
    </row>
    <row r="1235" spans="1:9" ht="17.100000000000001" customHeight="1">
      <c r="A1235" s="677">
        <v>64110408</v>
      </c>
      <c r="B1235" s="677" t="s">
        <v>2063</v>
      </c>
      <c r="C1235" s="678">
        <v>129392687.90000001</v>
      </c>
      <c r="D1235" s="679">
        <v>0</v>
      </c>
      <c r="E1235" s="678">
        <v>24957202.48</v>
      </c>
      <c r="F1235" s="679">
        <v>0</v>
      </c>
      <c r="G1235" s="678">
        <v>154349890.38</v>
      </c>
      <c r="H1235" s="679">
        <v>0</v>
      </c>
      <c r="I1235" s="677" t="s">
        <v>2064</v>
      </c>
    </row>
    <row r="1236" spans="1:9" ht="17.100000000000001" customHeight="1">
      <c r="A1236" s="677">
        <v>64110409</v>
      </c>
      <c r="B1236" s="677" t="s">
        <v>2065</v>
      </c>
      <c r="C1236" s="679">
        <v>177.26</v>
      </c>
      <c r="D1236" s="679">
        <v>0</v>
      </c>
      <c r="E1236" s="679">
        <v>33.770000000000003</v>
      </c>
      <c r="F1236" s="679">
        <v>0</v>
      </c>
      <c r="G1236" s="679">
        <v>211.03</v>
      </c>
      <c r="H1236" s="679">
        <v>0</v>
      </c>
      <c r="I1236" s="677" t="s">
        <v>2066</v>
      </c>
    </row>
    <row r="1237" spans="1:9" ht="17.100000000000001" customHeight="1">
      <c r="A1237" s="677">
        <v>64110410</v>
      </c>
      <c r="B1237" s="677" t="s">
        <v>2067</v>
      </c>
      <c r="C1237" s="678">
        <v>3861.45</v>
      </c>
      <c r="D1237" s="679">
        <v>0</v>
      </c>
      <c r="E1237" s="679">
        <v>720.58</v>
      </c>
      <c r="F1237" s="679">
        <v>0</v>
      </c>
      <c r="G1237" s="678">
        <v>4582.03</v>
      </c>
      <c r="H1237" s="679">
        <v>0</v>
      </c>
      <c r="I1237" s="677" t="s">
        <v>2068</v>
      </c>
    </row>
    <row r="1238" spans="1:9" ht="17.100000000000001" customHeight="1">
      <c r="A1238" s="677">
        <v>64110411</v>
      </c>
      <c r="B1238" s="677" t="s">
        <v>2069</v>
      </c>
      <c r="C1238" s="678">
        <v>2996.24</v>
      </c>
      <c r="D1238" s="679">
        <v>0</v>
      </c>
      <c r="E1238" s="679">
        <v>734.24</v>
      </c>
      <c r="F1238" s="679">
        <v>0</v>
      </c>
      <c r="G1238" s="678">
        <v>3730.48</v>
      </c>
      <c r="H1238" s="679">
        <v>0</v>
      </c>
      <c r="I1238" s="677" t="s">
        <v>2070</v>
      </c>
    </row>
    <row r="1239" spans="1:9" ht="17.100000000000001" customHeight="1">
      <c r="A1239" s="677">
        <v>64110412</v>
      </c>
      <c r="B1239" s="677" t="s">
        <v>2071</v>
      </c>
      <c r="C1239" s="678">
        <v>2699.33</v>
      </c>
      <c r="D1239" s="679">
        <v>0</v>
      </c>
      <c r="E1239" s="679">
        <v>400.64</v>
      </c>
      <c r="F1239" s="679">
        <v>0</v>
      </c>
      <c r="G1239" s="678">
        <v>3099.97</v>
      </c>
      <c r="H1239" s="679">
        <v>0</v>
      </c>
      <c r="I1239" s="677" t="s">
        <v>2072</v>
      </c>
    </row>
    <row r="1240" spans="1:9" ht="17.100000000000001" customHeight="1">
      <c r="A1240" s="677">
        <v>64110414</v>
      </c>
      <c r="B1240" s="677" t="s">
        <v>2073</v>
      </c>
      <c r="C1240" s="678">
        <v>2519.6999999999998</v>
      </c>
      <c r="D1240" s="679">
        <v>0</v>
      </c>
      <c r="E1240" s="679">
        <v>247.57</v>
      </c>
      <c r="F1240" s="679">
        <v>0</v>
      </c>
      <c r="G1240" s="678">
        <v>2767.27</v>
      </c>
      <c r="H1240" s="679">
        <v>0</v>
      </c>
      <c r="I1240" s="677" t="s">
        <v>2074</v>
      </c>
    </row>
    <row r="1241" spans="1:9" ht="17.100000000000001" customHeight="1">
      <c r="A1241" s="677">
        <v>64110422</v>
      </c>
      <c r="B1241" s="677" t="s">
        <v>2039</v>
      </c>
      <c r="C1241" s="678">
        <v>11831067.880000001</v>
      </c>
      <c r="D1241" s="679">
        <v>0</v>
      </c>
      <c r="E1241" s="678">
        <v>357878.91</v>
      </c>
      <c r="F1241" s="679">
        <v>0</v>
      </c>
      <c r="G1241" s="678">
        <v>12188946.789999999</v>
      </c>
      <c r="H1241" s="679">
        <v>0</v>
      </c>
      <c r="I1241" s="677" t="s">
        <v>2075</v>
      </c>
    </row>
    <row r="1242" spans="1:9" ht="17.100000000000001" customHeight="1">
      <c r="A1242" s="677">
        <v>64110423</v>
      </c>
      <c r="B1242" s="677" t="s">
        <v>2076</v>
      </c>
      <c r="C1242" s="679">
        <v>204.25</v>
      </c>
      <c r="D1242" s="679">
        <v>0</v>
      </c>
      <c r="E1242" s="679">
        <v>36.65</v>
      </c>
      <c r="F1242" s="679">
        <v>0</v>
      </c>
      <c r="G1242" s="679">
        <v>240.9</v>
      </c>
      <c r="H1242" s="679">
        <v>0</v>
      </c>
      <c r="I1242" s="677" t="s">
        <v>2077</v>
      </c>
    </row>
    <row r="1243" spans="1:9" ht="17.100000000000001" customHeight="1">
      <c r="A1243" s="677">
        <v>64110424</v>
      </c>
      <c r="B1243" s="677" t="s">
        <v>2705</v>
      </c>
      <c r="C1243" s="678">
        <v>1432378.18</v>
      </c>
      <c r="D1243" s="679">
        <v>0</v>
      </c>
      <c r="E1243" s="678">
        <v>602859.84</v>
      </c>
      <c r="F1243" s="679">
        <v>0</v>
      </c>
      <c r="G1243" s="678">
        <v>2035238.02</v>
      </c>
      <c r="H1243" s="679">
        <v>0</v>
      </c>
      <c r="I1243" s="677" t="s">
        <v>2706</v>
      </c>
    </row>
    <row r="1244" spans="1:9" ht="17.100000000000001" customHeight="1">
      <c r="A1244" s="677">
        <v>64110499</v>
      </c>
      <c r="B1244" s="677" t="s">
        <v>4281</v>
      </c>
      <c r="C1244" s="678">
        <v>2259.4699999999998</v>
      </c>
      <c r="D1244" s="679">
        <v>0</v>
      </c>
      <c r="E1244" s="679">
        <v>0</v>
      </c>
      <c r="F1244" s="679">
        <v>0</v>
      </c>
      <c r="G1244" s="678">
        <v>2259.4699999999998</v>
      </c>
      <c r="H1244" s="679">
        <v>0</v>
      </c>
      <c r="I1244" s="677" t="s">
        <v>4282</v>
      </c>
    </row>
    <row r="1245" spans="1:9" ht="17.100000000000001" customHeight="1">
      <c r="A1245" s="677">
        <v>641106</v>
      </c>
      <c r="B1245" s="677" t="s">
        <v>2078</v>
      </c>
      <c r="C1245" s="678">
        <v>504696.44</v>
      </c>
      <c r="D1245" s="679">
        <v>0</v>
      </c>
      <c r="E1245" s="678">
        <v>86134.67</v>
      </c>
      <c r="F1245" s="679">
        <v>0</v>
      </c>
      <c r="G1245" s="678">
        <v>590831.11</v>
      </c>
      <c r="H1245" s="679">
        <v>0</v>
      </c>
      <c r="I1245" s="677" t="s">
        <v>2079</v>
      </c>
    </row>
    <row r="1246" spans="1:9" ht="17.100000000000001" customHeight="1">
      <c r="A1246" s="677">
        <v>64110601</v>
      </c>
      <c r="B1246" s="677" t="s">
        <v>2078</v>
      </c>
      <c r="C1246" s="678">
        <v>504696.44</v>
      </c>
      <c r="D1246" s="679">
        <v>0</v>
      </c>
      <c r="E1246" s="678">
        <v>86134.67</v>
      </c>
      <c r="F1246" s="679">
        <v>0</v>
      </c>
      <c r="G1246" s="678">
        <v>590831.11</v>
      </c>
      <c r="H1246" s="679">
        <v>0</v>
      </c>
      <c r="I1246" s="677" t="s">
        <v>2080</v>
      </c>
    </row>
    <row r="1247" spans="1:9" ht="17.100000000000001" customHeight="1">
      <c r="A1247" s="677">
        <v>641107</v>
      </c>
      <c r="B1247" s="677" t="s">
        <v>531</v>
      </c>
      <c r="C1247" s="678">
        <v>108364077.76000001</v>
      </c>
      <c r="D1247" s="679">
        <v>0</v>
      </c>
      <c r="E1247" s="678">
        <v>11646801.119999999</v>
      </c>
      <c r="F1247" s="679">
        <v>0</v>
      </c>
      <c r="G1247" s="678">
        <v>120010878.88</v>
      </c>
      <c r="H1247" s="679">
        <v>0</v>
      </c>
      <c r="I1247" s="677" t="s">
        <v>2081</v>
      </c>
    </row>
    <row r="1248" spans="1:9" ht="17.100000000000001" customHeight="1">
      <c r="A1248" s="677">
        <v>64110701</v>
      </c>
      <c r="B1248" s="677" t="s">
        <v>532</v>
      </c>
      <c r="C1248" s="678">
        <v>618566.35</v>
      </c>
      <c r="D1248" s="679">
        <v>0</v>
      </c>
      <c r="E1248" s="678">
        <v>26537.68</v>
      </c>
      <c r="F1248" s="679">
        <v>0</v>
      </c>
      <c r="G1248" s="678">
        <v>645104.03</v>
      </c>
      <c r="H1248" s="679">
        <v>0</v>
      </c>
      <c r="I1248" s="677" t="s">
        <v>2082</v>
      </c>
    </row>
    <row r="1249" spans="1:9" ht="17.100000000000001" customHeight="1">
      <c r="A1249" s="677">
        <v>64110702</v>
      </c>
      <c r="B1249" s="677" t="s">
        <v>533</v>
      </c>
      <c r="C1249" s="678">
        <v>1203172.05</v>
      </c>
      <c r="D1249" s="679">
        <v>0</v>
      </c>
      <c r="E1249" s="678">
        <v>193458.89</v>
      </c>
      <c r="F1249" s="679">
        <v>0</v>
      </c>
      <c r="G1249" s="678">
        <v>1396630.94</v>
      </c>
      <c r="H1249" s="679">
        <v>0</v>
      </c>
      <c r="I1249" s="677" t="s">
        <v>2083</v>
      </c>
    </row>
    <row r="1250" spans="1:9" ht="17.100000000000001" customHeight="1">
      <c r="A1250" s="677">
        <v>64110703</v>
      </c>
      <c r="B1250" s="677" t="s">
        <v>534</v>
      </c>
      <c r="C1250" s="678">
        <v>10756983.720000001</v>
      </c>
      <c r="D1250" s="679">
        <v>0</v>
      </c>
      <c r="E1250" s="678">
        <v>1658779.15</v>
      </c>
      <c r="F1250" s="679">
        <v>0</v>
      </c>
      <c r="G1250" s="678">
        <v>12415762.869999999</v>
      </c>
      <c r="H1250" s="679">
        <v>0</v>
      </c>
      <c r="I1250" s="677" t="s">
        <v>2084</v>
      </c>
    </row>
    <row r="1251" spans="1:9" ht="17.100000000000001" customHeight="1">
      <c r="A1251" s="320"/>
      <c r="B1251" s="320"/>
      <c r="C1251" s="320"/>
      <c r="D1251" s="557" t="s">
        <v>4317</v>
      </c>
      <c r="E1251" s="320" t="s">
        <v>3774</v>
      </c>
      <c r="F1251" s="320"/>
      <c r="G1251" s="320"/>
      <c r="H1251" s="320"/>
      <c r="I1251" s="320"/>
    </row>
    <row r="1252" spans="1:9" ht="17.100000000000001" customHeight="1">
      <c r="A1252" s="671"/>
      <c r="B1252" s="671"/>
      <c r="C1252" s="671"/>
      <c r="D1252" s="671"/>
      <c r="E1252" s="671"/>
      <c r="F1252" s="671"/>
      <c r="G1252" s="671"/>
      <c r="H1252" s="671"/>
      <c r="I1252" s="671"/>
    </row>
    <row r="1253" spans="1:9" ht="17.100000000000001" customHeight="1">
      <c r="A1253" s="320"/>
      <c r="B1253" s="320"/>
      <c r="C1253" s="672" t="s">
        <v>4316</v>
      </c>
      <c r="D1253" s="320"/>
      <c r="E1253" s="320"/>
      <c r="F1253" s="671"/>
      <c r="G1253" s="671"/>
      <c r="H1253" s="671"/>
      <c r="I1253" s="671"/>
    </row>
    <row r="1254" spans="1:9" ht="17.100000000000001" customHeight="1">
      <c r="A1254" s="673" t="s">
        <v>3708</v>
      </c>
      <c r="B1254" s="673"/>
      <c r="C1254" s="683">
        <v>42551</v>
      </c>
      <c r="D1254" s="673"/>
      <c r="E1254" s="557" t="s">
        <v>3709</v>
      </c>
      <c r="F1254" s="671"/>
      <c r="G1254" s="671"/>
      <c r="H1254" s="671"/>
      <c r="I1254" s="671"/>
    </row>
    <row r="1255" spans="1:9" ht="17.100000000000001" customHeight="1">
      <c r="A1255" s="676" t="s">
        <v>596</v>
      </c>
      <c r="B1255" s="676" t="s">
        <v>597</v>
      </c>
      <c r="C1255" s="676" t="s">
        <v>3710</v>
      </c>
      <c r="D1255" s="676" t="s">
        <v>3711</v>
      </c>
      <c r="E1255" s="676" t="s">
        <v>3712</v>
      </c>
      <c r="F1255" s="676" t="s">
        <v>3713</v>
      </c>
      <c r="G1255" s="676" t="s">
        <v>3714</v>
      </c>
      <c r="H1255" s="676" t="s">
        <v>3715</v>
      </c>
      <c r="I1255" s="676" t="s">
        <v>596</v>
      </c>
    </row>
    <row r="1256" spans="1:9" ht="28.5" customHeight="1">
      <c r="A1256" s="677">
        <v>64110704</v>
      </c>
      <c r="B1256" s="677" t="s">
        <v>535</v>
      </c>
      <c r="C1256" s="678">
        <v>6948287.7800000003</v>
      </c>
      <c r="D1256" s="679">
        <v>0</v>
      </c>
      <c r="E1256" s="678">
        <v>1235550.77</v>
      </c>
      <c r="F1256" s="679">
        <v>0</v>
      </c>
      <c r="G1256" s="678">
        <v>8183838.5499999998</v>
      </c>
      <c r="H1256" s="679">
        <v>0</v>
      </c>
      <c r="I1256" s="677" t="s">
        <v>2085</v>
      </c>
    </row>
    <row r="1257" spans="1:9" ht="24">
      <c r="A1257" s="677">
        <v>64110709</v>
      </c>
      <c r="B1257" s="677" t="s">
        <v>540</v>
      </c>
      <c r="C1257" s="678">
        <v>8726275.7400000002</v>
      </c>
      <c r="D1257" s="679">
        <v>0</v>
      </c>
      <c r="E1257" s="678">
        <v>42842.23</v>
      </c>
      <c r="F1257" s="679">
        <v>0</v>
      </c>
      <c r="G1257" s="678">
        <v>8769117.9700000007</v>
      </c>
      <c r="H1257" s="679">
        <v>0</v>
      </c>
      <c r="I1257" s="677" t="s">
        <v>2086</v>
      </c>
    </row>
    <row r="1258" spans="1:9" ht="24">
      <c r="A1258" s="677">
        <v>64110710</v>
      </c>
      <c r="B1258" s="677" t="s">
        <v>541</v>
      </c>
      <c r="C1258" s="678">
        <v>109809.95</v>
      </c>
      <c r="D1258" s="679">
        <v>0</v>
      </c>
      <c r="E1258" s="678">
        <v>66976.77</v>
      </c>
      <c r="F1258" s="679">
        <v>0</v>
      </c>
      <c r="G1258" s="678">
        <v>176786.72</v>
      </c>
      <c r="H1258" s="679">
        <v>0</v>
      </c>
      <c r="I1258" s="677" t="s">
        <v>2087</v>
      </c>
    </row>
    <row r="1259" spans="1:9" ht="24">
      <c r="A1259" s="677">
        <v>64110711</v>
      </c>
      <c r="B1259" s="677" t="s">
        <v>542</v>
      </c>
      <c r="C1259" s="678">
        <v>3882854.36</v>
      </c>
      <c r="D1259" s="679">
        <v>0</v>
      </c>
      <c r="E1259" s="678">
        <v>578836.92000000004</v>
      </c>
      <c r="F1259" s="679">
        <v>0</v>
      </c>
      <c r="G1259" s="678">
        <v>4461691.28</v>
      </c>
      <c r="H1259" s="679">
        <v>0</v>
      </c>
      <c r="I1259" s="677" t="s">
        <v>2088</v>
      </c>
    </row>
    <row r="1260" spans="1:9" ht="28.5" customHeight="1">
      <c r="A1260" s="677">
        <v>64110712</v>
      </c>
      <c r="B1260" s="677" t="s">
        <v>543</v>
      </c>
      <c r="C1260" s="678">
        <v>59662029.859999999</v>
      </c>
      <c r="D1260" s="679">
        <v>0</v>
      </c>
      <c r="E1260" s="678">
        <v>5951152.9400000004</v>
      </c>
      <c r="F1260" s="679">
        <v>0</v>
      </c>
      <c r="G1260" s="678">
        <v>65613182.799999997</v>
      </c>
      <c r="H1260" s="679">
        <v>0</v>
      </c>
      <c r="I1260" s="677" t="s">
        <v>2089</v>
      </c>
    </row>
    <row r="1261" spans="1:9" ht="17.100000000000001" customHeight="1">
      <c r="A1261" s="677">
        <v>64110713</v>
      </c>
      <c r="B1261" s="677" t="s">
        <v>544</v>
      </c>
      <c r="C1261" s="678">
        <v>42945.01</v>
      </c>
      <c r="D1261" s="679">
        <v>0</v>
      </c>
      <c r="E1261" s="678">
        <v>3624.36</v>
      </c>
      <c r="F1261" s="679">
        <v>0</v>
      </c>
      <c r="G1261" s="678">
        <v>46569.37</v>
      </c>
      <c r="H1261" s="679">
        <v>0</v>
      </c>
      <c r="I1261" s="677" t="s">
        <v>2090</v>
      </c>
    </row>
    <row r="1262" spans="1:9" ht="17.100000000000001" customHeight="1">
      <c r="A1262" s="677">
        <v>64110714</v>
      </c>
      <c r="B1262" s="677" t="s">
        <v>545</v>
      </c>
      <c r="C1262" s="678">
        <v>69975.070000000007</v>
      </c>
      <c r="D1262" s="679">
        <v>0</v>
      </c>
      <c r="E1262" s="679">
        <v>10.52</v>
      </c>
      <c r="F1262" s="679">
        <v>0</v>
      </c>
      <c r="G1262" s="678">
        <v>69985.59</v>
      </c>
      <c r="H1262" s="679">
        <v>0</v>
      </c>
      <c r="I1262" s="677" t="s">
        <v>2091</v>
      </c>
    </row>
    <row r="1263" spans="1:9" ht="17.100000000000001" customHeight="1">
      <c r="A1263" s="677">
        <v>64110715</v>
      </c>
      <c r="B1263" s="677" t="s">
        <v>546</v>
      </c>
      <c r="C1263" s="678">
        <v>610145.30000000005</v>
      </c>
      <c r="D1263" s="679">
        <v>0</v>
      </c>
      <c r="E1263" s="678">
        <v>-98434.23</v>
      </c>
      <c r="F1263" s="679">
        <v>0</v>
      </c>
      <c r="G1263" s="678">
        <v>511711.07</v>
      </c>
      <c r="H1263" s="679">
        <v>0</v>
      </c>
      <c r="I1263" s="677" t="s">
        <v>2092</v>
      </c>
    </row>
    <row r="1264" spans="1:9" ht="17.100000000000001" customHeight="1">
      <c r="A1264" s="677">
        <v>64110716</v>
      </c>
      <c r="B1264" s="677" t="s">
        <v>547</v>
      </c>
      <c r="C1264" s="678">
        <v>1406668.89</v>
      </c>
      <c r="D1264" s="679">
        <v>0</v>
      </c>
      <c r="E1264" s="678">
        <v>246333.52</v>
      </c>
      <c r="F1264" s="679">
        <v>0</v>
      </c>
      <c r="G1264" s="678">
        <v>1653002.41</v>
      </c>
      <c r="H1264" s="679">
        <v>0</v>
      </c>
      <c r="I1264" s="677" t="s">
        <v>2093</v>
      </c>
    </row>
    <row r="1265" spans="1:9" ht="17.100000000000001" customHeight="1">
      <c r="A1265" s="677">
        <v>64110717</v>
      </c>
      <c r="B1265" s="677" t="s">
        <v>548</v>
      </c>
      <c r="C1265" s="678">
        <v>55021.8</v>
      </c>
      <c r="D1265" s="679">
        <v>0</v>
      </c>
      <c r="E1265" s="678">
        <v>2698.83</v>
      </c>
      <c r="F1265" s="679">
        <v>0</v>
      </c>
      <c r="G1265" s="678">
        <v>57720.63</v>
      </c>
      <c r="H1265" s="679">
        <v>0</v>
      </c>
      <c r="I1265" s="677" t="s">
        <v>2094</v>
      </c>
    </row>
    <row r="1266" spans="1:9" ht="17.100000000000001" customHeight="1">
      <c r="A1266" s="677">
        <v>64110718</v>
      </c>
      <c r="B1266" s="677" t="s">
        <v>549</v>
      </c>
      <c r="C1266" s="678">
        <v>33603.800000000003</v>
      </c>
      <c r="D1266" s="679">
        <v>0</v>
      </c>
      <c r="E1266" s="678">
        <v>19446.93</v>
      </c>
      <c r="F1266" s="679">
        <v>0</v>
      </c>
      <c r="G1266" s="678">
        <v>53050.73</v>
      </c>
      <c r="H1266" s="679">
        <v>0</v>
      </c>
      <c r="I1266" s="677" t="s">
        <v>2095</v>
      </c>
    </row>
    <row r="1267" spans="1:9" ht="17.100000000000001" customHeight="1">
      <c r="A1267" s="677">
        <v>64110719</v>
      </c>
      <c r="B1267" s="677" t="s">
        <v>550</v>
      </c>
      <c r="C1267" s="678">
        <v>107057.78</v>
      </c>
      <c r="D1267" s="679">
        <v>0</v>
      </c>
      <c r="E1267" s="678">
        <v>93891.81</v>
      </c>
      <c r="F1267" s="679">
        <v>0</v>
      </c>
      <c r="G1267" s="678">
        <v>200949.59</v>
      </c>
      <c r="H1267" s="679">
        <v>0</v>
      </c>
      <c r="I1267" s="677" t="s">
        <v>2096</v>
      </c>
    </row>
    <row r="1268" spans="1:9" ht="17.100000000000001" customHeight="1">
      <c r="A1268" s="677">
        <v>64110720</v>
      </c>
      <c r="B1268" s="677" t="s">
        <v>551</v>
      </c>
      <c r="C1268" s="678">
        <v>863950.35</v>
      </c>
      <c r="D1268" s="679">
        <v>0</v>
      </c>
      <c r="E1268" s="678">
        <v>85092.38</v>
      </c>
      <c r="F1268" s="679">
        <v>0</v>
      </c>
      <c r="G1268" s="678">
        <v>949042.73</v>
      </c>
      <c r="H1268" s="679">
        <v>0</v>
      </c>
      <c r="I1268" s="677" t="s">
        <v>2097</v>
      </c>
    </row>
    <row r="1269" spans="1:9" ht="17.100000000000001" customHeight="1">
      <c r="A1269" s="677">
        <v>64110725</v>
      </c>
      <c r="B1269" s="677" t="s">
        <v>556</v>
      </c>
      <c r="C1269" s="678">
        <v>93331.76</v>
      </c>
      <c r="D1269" s="679">
        <v>0</v>
      </c>
      <c r="E1269" s="679">
        <v>455.99</v>
      </c>
      <c r="F1269" s="679">
        <v>0</v>
      </c>
      <c r="G1269" s="678">
        <v>93787.75</v>
      </c>
      <c r="H1269" s="679">
        <v>0</v>
      </c>
      <c r="I1269" s="677" t="s">
        <v>2098</v>
      </c>
    </row>
    <row r="1270" spans="1:9" ht="17.100000000000001" customHeight="1">
      <c r="A1270" s="677">
        <v>64110726</v>
      </c>
      <c r="B1270" s="677" t="s">
        <v>557</v>
      </c>
      <c r="C1270" s="678">
        <v>33184.39</v>
      </c>
      <c r="D1270" s="679">
        <v>0</v>
      </c>
      <c r="E1270" s="678">
        <v>4552.5600000000004</v>
      </c>
      <c r="F1270" s="679">
        <v>0</v>
      </c>
      <c r="G1270" s="678">
        <v>37736.949999999997</v>
      </c>
      <c r="H1270" s="679">
        <v>0</v>
      </c>
      <c r="I1270" s="677" t="s">
        <v>2099</v>
      </c>
    </row>
    <row r="1271" spans="1:9" ht="17.100000000000001" customHeight="1">
      <c r="A1271" s="677">
        <v>64110727</v>
      </c>
      <c r="B1271" s="677" t="s">
        <v>558</v>
      </c>
      <c r="C1271" s="678">
        <v>49347.79</v>
      </c>
      <c r="D1271" s="679">
        <v>0</v>
      </c>
      <c r="E1271" s="678">
        <v>16593.18</v>
      </c>
      <c r="F1271" s="679">
        <v>0</v>
      </c>
      <c r="G1271" s="678">
        <v>65940.97</v>
      </c>
      <c r="H1271" s="679">
        <v>0</v>
      </c>
      <c r="I1271" s="677" t="s">
        <v>2100</v>
      </c>
    </row>
    <row r="1272" spans="1:9" ht="17.100000000000001" customHeight="1">
      <c r="A1272" s="677">
        <v>64110728</v>
      </c>
      <c r="B1272" s="677" t="s">
        <v>559</v>
      </c>
      <c r="C1272" s="678">
        <v>4813.34</v>
      </c>
      <c r="D1272" s="679">
        <v>0</v>
      </c>
      <c r="E1272" s="678">
        <v>2894.44</v>
      </c>
      <c r="F1272" s="679">
        <v>0</v>
      </c>
      <c r="G1272" s="678">
        <v>7707.78</v>
      </c>
      <c r="H1272" s="679">
        <v>0</v>
      </c>
      <c r="I1272" s="677" t="s">
        <v>2101</v>
      </c>
    </row>
    <row r="1273" spans="1:9" ht="17.100000000000001" customHeight="1">
      <c r="A1273" s="677">
        <v>64110733</v>
      </c>
      <c r="B1273" s="677" t="s">
        <v>564</v>
      </c>
      <c r="C1273" s="678">
        <v>13384.59</v>
      </c>
      <c r="D1273" s="679">
        <v>0</v>
      </c>
      <c r="E1273" s="679">
        <v>811.86</v>
      </c>
      <c r="F1273" s="679">
        <v>0</v>
      </c>
      <c r="G1273" s="678">
        <v>14196.45</v>
      </c>
      <c r="H1273" s="679">
        <v>0</v>
      </c>
      <c r="I1273" s="677" t="s">
        <v>2102</v>
      </c>
    </row>
    <row r="1274" spans="1:9" ht="17.100000000000001" customHeight="1">
      <c r="A1274" s="677">
        <v>64110737</v>
      </c>
      <c r="B1274" s="677" t="s">
        <v>568</v>
      </c>
      <c r="C1274" s="679">
        <v>1.28</v>
      </c>
      <c r="D1274" s="679">
        <v>0</v>
      </c>
      <c r="E1274" s="679">
        <v>0.08</v>
      </c>
      <c r="F1274" s="679">
        <v>0</v>
      </c>
      <c r="G1274" s="679">
        <v>1.36</v>
      </c>
      <c r="H1274" s="679">
        <v>0</v>
      </c>
      <c r="I1274" s="677" t="s">
        <v>2611</v>
      </c>
    </row>
    <row r="1275" spans="1:9" ht="17.100000000000001" customHeight="1">
      <c r="A1275" s="677">
        <v>64110739</v>
      </c>
      <c r="B1275" s="677" t="s">
        <v>570</v>
      </c>
      <c r="C1275" s="678">
        <v>78391.25</v>
      </c>
      <c r="D1275" s="679">
        <v>0</v>
      </c>
      <c r="E1275" s="678">
        <v>12691.35</v>
      </c>
      <c r="F1275" s="679">
        <v>0</v>
      </c>
      <c r="G1275" s="678">
        <v>91082.6</v>
      </c>
      <c r="H1275" s="679">
        <v>0</v>
      </c>
      <c r="I1275" s="677" t="s">
        <v>2853</v>
      </c>
    </row>
    <row r="1276" spans="1:9" ht="17.100000000000001" customHeight="1">
      <c r="A1276" s="677">
        <v>64110741</v>
      </c>
      <c r="B1276" s="677" t="s">
        <v>572</v>
      </c>
      <c r="C1276" s="679">
        <v>7.05</v>
      </c>
      <c r="D1276" s="679">
        <v>0</v>
      </c>
      <c r="E1276" s="679">
        <v>0.41</v>
      </c>
      <c r="F1276" s="679">
        <v>0</v>
      </c>
      <c r="G1276" s="679">
        <v>7.46</v>
      </c>
      <c r="H1276" s="679">
        <v>0</v>
      </c>
      <c r="I1276" s="677" t="s">
        <v>2103</v>
      </c>
    </row>
    <row r="1277" spans="1:9" ht="17.100000000000001" customHeight="1">
      <c r="A1277" s="677">
        <v>64110749</v>
      </c>
      <c r="B1277" s="677" t="s">
        <v>580</v>
      </c>
      <c r="C1277" s="679">
        <v>1.7</v>
      </c>
      <c r="D1277" s="679">
        <v>0</v>
      </c>
      <c r="E1277" s="679">
        <v>0.1</v>
      </c>
      <c r="F1277" s="679">
        <v>0</v>
      </c>
      <c r="G1277" s="679">
        <v>1.8</v>
      </c>
      <c r="H1277" s="679">
        <v>0</v>
      </c>
      <c r="I1277" s="677" t="s">
        <v>2104</v>
      </c>
    </row>
    <row r="1278" spans="1:9" ht="17.100000000000001" customHeight="1">
      <c r="A1278" s="677">
        <v>64110757</v>
      </c>
      <c r="B1278" s="677" t="s">
        <v>588</v>
      </c>
      <c r="C1278" s="678">
        <v>1691917.6</v>
      </c>
      <c r="D1278" s="679">
        <v>0</v>
      </c>
      <c r="E1278" s="678">
        <v>19463.77</v>
      </c>
      <c r="F1278" s="679">
        <v>0</v>
      </c>
      <c r="G1278" s="678">
        <v>1711381.37</v>
      </c>
      <c r="H1278" s="679">
        <v>0</v>
      </c>
      <c r="I1278" s="677" t="s">
        <v>2105</v>
      </c>
    </row>
    <row r="1279" spans="1:9" ht="17.100000000000001" customHeight="1">
      <c r="A1279" s="677">
        <v>64110758</v>
      </c>
      <c r="B1279" s="677" t="s">
        <v>589</v>
      </c>
      <c r="C1279" s="678">
        <v>165769.57999999999</v>
      </c>
      <c r="D1279" s="679">
        <v>0</v>
      </c>
      <c r="E1279" s="678">
        <v>1402.82</v>
      </c>
      <c r="F1279" s="679">
        <v>0</v>
      </c>
      <c r="G1279" s="678">
        <v>167172.4</v>
      </c>
      <c r="H1279" s="679">
        <v>0</v>
      </c>
      <c r="I1279" s="677" t="s">
        <v>2106</v>
      </c>
    </row>
    <row r="1280" spans="1:9" ht="17.100000000000001" customHeight="1">
      <c r="A1280" s="677">
        <v>64110759</v>
      </c>
      <c r="B1280" s="677" t="s">
        <v>590</v>
      </c>
      <c r="C1280" s="678">
        <v>398844.46</v>
      </c>
      <c r="D1280" s="679">
        <v>0</v>
      </c>
      <c r="E1280" s="678">
        <v>27244.639999999999</v>
      </c>
      <c r="F1280" s="679">
        <v>0</v>
      </c>
      <c r="G1280" s="678">
        <v>426089.1</v>
      </c>
      <c r="H1280" s="679">
        <v>0</v>
      </c>
      <c r="I1280" s="677" t="s">
        <v>2107</v>
      </c>
    </row>
    <row r="1281" spans="1:9" ht="17.100000000000001" customHeight="1">
      <c r="A1281" s="677">
        <v>64110760</v>
      </c>
      <c r="B1281" s="677" t="s">
        <v>591</v>
      </c>
      <c r="C1281" s="678">
        <v>6592157.7300000004</v>
      </c>
      <c r="D1281" s="679">
        <v>0</v>
      </c>
      <c r="E1281" s="678">
        <v>613542.43000000005</v>
      </c>
      <c r="F1281" s="679">
        <v>0</v>
      </c>
      <c r="G1281" s="678">
        <v>7205700.1600000001</v>
      </c>
      <c r="H1281" s="679">
        <v>0</v>
      </c>
      <c r="I1281" s="677" t="s">
        <v>2108</v>
      </c>
    </row>
    <row r="1282" spans="1:9" ht="17.100000000000001" customHeight="1">
      <c r="A1282" s="677">
        <v>64110761</v>
      </c>
      <c r="B1282" s="677" t="s">
        <v>592</v>
      </c>
      <c r="C1282" s="678">
        <v>17516.97</v>
      </c>
      <c r="D1282" s="679">
        <v>0</v>
      </c>
      <c r="E1282" s="679">
        <v>552.17999999999995</v>
      </c>
      <c r="F1282" s="679">
        <v>0</v>
      </c>
      <c r="G1282" s="678">
        <v>18069.150000000001</v>
      </c>
      <c r="H1282" s="679">
        <v>0</v>
      </c>
      <c r="I1282" s="677" t="s">
        <v>2109</v>
      </c>
    </row>
    <row r="1283" spans="1:9" ht="17.100000000000001" customHeight="1">
      <c r="A1283" s="677">
        <v>64110762</v>
      </c>
      <c r="B1283" s="677" t="s">
        <v>593</v>
      </c>
      <c r="C1283" s="679">
        <v>437.3</v>
      </c>
      <c r="D1283" s="679">
        <v>0</v>
      </c>
      <c r="E1283" s="679">
        <v>0.01</v>
      </c>
      <c r="F1283" s="679">
        <v>0</v>
      </c>
      <c r="G1283" s="679">
        <v>437.31</v>
      </c>
      <c r="H1283" s="679">
        <v>0</v>
      </c>
      <c r="I1283" s="677" t="s">
        <v>2110</v>
      </c>
    </row>
    <row r="1284" spans="1:9" ht="17.100000000000001" customHeight="1">
      <c r="A1284" s="677">
        <v>64110763</v>
      </c>
      <c r="B1284" s="677" t="s">
        <v>594</v>
      </c>
      <c r="C1284" s="678">
        <v>80143.95</v>
      </c>
      <c r="D1284" s="679">
        <v>0</v>
      </c>
      <c r="E1284" s="678">
        <v>16147.27</v>
      </c>
      <c r="F1284" s="679">
        <v>0</v>
      </c>
      <c r="G1284" s="678">
        <v>96291.22</v>
      </c>
      <c r="H1284" s="679">
        <v>0</v>
      </c>
      <c r="I1284" s="677" t="s">
        <v>2111</v>
      </c>
    </row>
    <row r="1285" spans="1:9" ht="17.100000000000001" customHeight="1">
      <c r="A1285" s="677">
        <v>64110764</v>
      </c>
      <c r="B1285" s="677" t="s">
        <v>595</v>
      </c>
      <c r="C1285" s="678">
        <v>324146.27</v>
      </c>
      <c r="D1285" s="679">
        <v>0</v>
      </c>
      <c r="E1285" s="678">
        <v>17727.2</v>
      </c>
      <c r="F1285" s="679">
        <v>0</v>
      </c>
      <c r="G1285" s="678">
        <v>341873.47</v>
      </c>
      <c r="H1285" s="679">
        <v>0</v>
      </c>
      <c r="I1285" s="677" t="s">
        <v>2112</v>
      </c>
    </row>
    <row r="1286" spans="1:9" ht="17.100000000000001" customHeight="1">
      <c r="A1286" s="677">
        <v>64110765</v>
      </c>
      <c r="B1286" s="677" t="s">
        <v>3485</v>
      </c>
      <c r="C1286" s="679">
        <v>0</v>
      </c>
      <c r="D1286" s="679">
        <v>0</v>
      </c>
      <c r="E1286" s="678">
        <v>18055.560000000001</v>
      </c>
      <c r="F1286" s="679">
        <v>0</v>
      </c>
      <c r="G1286" s="678">
        <v>18055.560000000001</v>
      </c>
      <c r="H1286" s="679">
        <v>0</v>
      </c>
      <c r="I1286" s="677" t="s">
        <v>3486</v>
      </c>
    </row>
    <row r="1287" spans="1:9" ht="17.100000000000001" customHeight="1">
      <c r="A1287" s="677">
        <v>64110766</v>
      </c>
      <c r="B1287" s="677" t="s">
        <v>2707</v>
      </c>
      <c r="C1287" s="678">
        <v>3356929.48</v>
      </c>
      <c r="D1287" s="679">
        <v>0</v>
      </c>
      <c r="E1287" s="678">
        <v>694579.14</v>
      </c>
      <c r="F1287" s="679">
        <v>0</v>
      </c>
      <c r="G1287" s="678">
        <v>4051508.62</v>
      </c>
      <c r="H1287" s="679">
        <v>0</v>
      </c>
      <c r="I1287" s="677" t="s">
        <v>2708</v>
      </c>
    </row>
    <row r="1288" spans="1:9" ht="17.100000000000001" customHeight="1">
      <c r="A1288" s="677">
        <v>64110767</v>
      </c>
      <c r="B1288" s="677" t="s">
        <v>2854</v>
      </c>
      <c r="C1288" s="678">
        <v>19238.14</v>
      </c>
      <c r="D1288" s="679">
        <v>0</v>
      </c>
      <c r="E1288" s="678">
        <v>24403.73</v>
      </c>
      <c r="F1288" s="679">
        <v>0</v>
      </c>
      <c r="G1288" s="678">
        <v>43641.87</v>
      </c>
      <c r="H1288" s="679">
        <v>0</v>
      </c>
      <c r="I1288" s="677" t="s">
        <v>2855</v>
      </c>
    </row>
    <row r="1289" spans="1:9" ht="17.100000000000001" customHeight="1">
      <c r="A1289" s="677">
        <v>64110772</v>
      </c>
      <c r="B1289" s="677" t="s">
        <v>2856</v>
      </c>
      <c r="C1289" s="678">
        <v>347165.32</v>
      </c>
      <c r="D1289" s="679">
        <v>0</v>
      </c>
      <c r="E1289" s="678">
        <v>68882.929999999993</v>
      </c>
      <c r="F1289" s="679">
        <v>0</v>
      </c>
      <c r="G1289" s="678">
        <v>416048.25</v>
      </c>
      <c r="H1289" s="679">
        <v>0</v>
      </c>
      <c r="I1289" s="677" t="s">
        <v>2857</v>
      </c>
    </row>
    <row r="1290" spans="1:9" ht="17.100000000000001" customHeight="1">
      <c r="A1290" s="320"/>
      <c r="B1290" s="320"/>
      <c r="C1290" s="320"/>
      <c r="D1290" s="557" t="s">
        <v>4317</v>
      </c>
      <c r="E1290" s="320" t="s">
        <v>3775</v>
      </c>
      <c r="F1290" s="320"/>
      <c r="G1290" s="320"/>
      <c r="H1290" s="320"/>
      <c r="I1290" s="320"/>
    </row>
    <row r="1291" spans="1:9" ht="17.100000000000001" customHeight="1">
      <c r="A1291" s="671"/>
      <c r="B1291" s="671"/>
      <c r="C1291" s="671"/>
      <c r="D1291" s="671"/>
      <c r="E1291" s="671"/>
      <c r="F1291" s="671"/>
      <c r="G1291" s="671"/>
      <c r="H1291" s="671"/>
      <c r="I1291" s="671"/>
    </row>
    <row r="1292" spans="1:9" ht="17.100000000000001" customHeight="1">
      <c r="A1292" s="320"/>
      <c r="B1292" s="320"/>
      <c r="C1292" s="672" t="s">
        <v>4316</v>
      </c>
      <c r="D1292" s="320"/>
      <c r="E1292" s="320"/>
      <c r="F1292" s="671"/>
      <c r="G1292" s="671"/>
      <c r="H1292" s="671"/>
      <c r="I1292" s="671"/>
    </row>
    <row r="1293" spans="1:9" ht="17.100000000000001" customHeight="1">
      <c r="A1293" s="673" t="s">
        <v>3708</v>
      </c>
      <c r="B1293" s="673"/>
      <c r="C1293" s="683">
        <v>42551</v>
      </c>
      <c r="D1293" s="673"/>
      <c r="E1293" s="557" t="s">
        <v>3709</v>
      </c>
      <c r="F1293" s="671"/>
      <c r="G1293" s="671"/>
      <c r="H1293" s="671"/>
      <c r="I1293" s="671"/>
    </row>
    <row r="1294" spans="1:9" ht="17.100000000000001" customHeight="1">
      <c r="A1294" s="676" t="s">
        <v>596</v>
      </c>
      <c r="B1294" s="676" t="s">
        <v>597</v>
      </c>
      <c r="C1294" s="676" t="s">
        <v>3710</v>
      </c>
      <c r="D1294" s="676" t="s">
        <v>3711</v>
      </c>
      <c r="E1294" s="676" t="s">
        <v>3712</v>
      </c>
      <c r="F1294" s="676" t="s">
        <v>3713</v>
      </c>
      <c r="G1294" s="676" t="s">
        <v>3714</v>
      </c>
      <c r="H1294" s="676" t="s">
        <v>3715</v>
      </c>
      <c r="I1294" s="676" t="s">
        <v>596</v>
      </c>
    </row>
    <row r="1295" spans="1:9" ht="28.5" customHeight="1">
      <c r="A1295" s="677">
        <v>641108</v>
      </c>
      <c r="B1295" s="677" t="s">
        <v>2113</v>
      </c>
      <c r="C1295" s="678">
        <v>574875192.48000002</v>
      </c>
      <c r="D1295" s="679">
        <v>0</v>
      </c>
      <c r="E1295" s="678">
        <v>4173164.24</v>
      </c>
      <c r="F1295" s="679">
        <v>0</v>
      </c>
      <c r="G1295" s="678">
        <v>579048356.72000003</v>
      </c>
      <c r="H1295" s="679">
        <v>0</v>
      </c>
      <c r="I1295" s="677" t="s">
        <v>2114</v>
      </c>
    </row>
    <row r="1296" spans="1:9" ht="24">
      <c r="A1296" s="677">
        <v>64110801</v>
      </c>
      <c r="B1296" s="677" t="s">
        <v>3487</v>
      </c>
      <c r="C1296" s="678">
        <v>389941.37</v>
      </c>
      <c r="D1296" s="679">
        <v>0</v>
      </c>
      <c r="E1296" s="678">
        <v>51948.49</v>
      </c>
      <c r="F1296" s="679">
        <v>0</v>
      </c>
      <c r="G1296" s="678">
        <v>441889.86</v>
      </c>
      <c r="H1296" s="679">
        <v>0</v>
      </c>
      <c r="I1296" s="677" t="s">
        <v>3488</v>
      </c>
    </row>
    <row r="1297" spans="1:9" ht="24">
      <c r="A1297" s="677">
        <v>64110802</v>
      </c>
      <c r="B1297" s="677" t="s">
        <v>2115</v>
      </c>
      <c r="C1297" s="678">
        <v>360772330.97000003</v>
      </c>
      <c r="D1297" s="679">
        <v>0</v>
      </c>
      <c r="E1297" s="678">
        <v>1679322</v>
      </c>
      <c r="F1297" s="679">
        <v>0</v>
      </c>
      <c r="G1297" s="678">
        <v>362451652.97000003</v>
      </c>
      <c r="H1297" s="679">
        <v>0</v>
      </c>
      <c r="I1297" s="677" t="s">
        <v>2116</v>
      </c>
    </row>
    <row r="1298" spans="1:9" ht="24">
      <c r="A1298" s="677">
        <v>64110803</v>
      </c>
      <c r="B1298" s="677" t="s">
        <v>3489</v>
      </c>
      <c r="C1298" s="678">
        <v>179846.56</v>
      </c>
      <c r="D1298" s="679">
        <v>0</v>
      </c>
      <c r="E1298" s="678">
        <v>17958.89</v>
      </c>
      <c r="F1298" s="679">
        <v>0</v>
      </c>
      <c r="G1298" s="678">
        <v>197805.45</v>
      </c>
      <c r="H1298" s="679">
        <v>0</v>
      </c>
      <c r="I1298" s="677" t="s">
        <v>3490</v>
      </c>
    </row>
    <row r="1299" spans="1:9" ht="28.5" customHeight="1">
      <c r="A1299" s="677">
        <v>64110804</v>
      </c>
      <c r="B1299" s="677" t="s">
        <v>2117</v>
      </c>
      <c r="C1299" s="678">
        <v>206372024.96000001</v>
      </c>
      <c r="D1299" s="679">
        <v>0</v>
      </c>
      <c r="E1299" s="678">
        <v>1177157.08</v>
      </c>
      <c r="F1299" s="679">
        <v>0</v>
      </c>
      <c r="G1299" s="678">
        <v>207549182.03999999</v>
      </c>
      <c r="H1299" s="679">
        <v>0</v>
      </c>
      <c r="I1299" s="677" t="s">
        <v>2118</v>
      </c>
    </row>
    <row r="1300" spans="1:9" ht="17.100000000000001" customHeight="1">
      <c r="A1300" s="677">
        <v>64110805</v>
      </c>
      <c r="B1300" s="677" t="s">
        <v>2858</v>
      </c>
      <c r="C1300" s="678">
        <v>7161048.6200000001</v>
      </c>
      <c r="D1300" s="679">
        <v>0</v>
      </c>
      <c r="E1300" s="678">
        <v>1246777.78</v>
      </c>
      <c r="F1300" s="679">
        <v>0</v>
      </c>
      <c r="G1300" s="678">
        <v>8407826.4000000004</v>
      </c>
      <c r="H1300" s="679">
        <v>0</v>
      </c>
      <c r="I1300" s="677" t="s">
        <v>2859</v>
      </c>
    </row>
    <row r="1301" spans="1:9" ht="17.100000000000001" customHeight="1">
      <c r="A1301" s="677">
        <v>641199</v>
      </c>
      <c r="B1301" s="677" t="s">
        <v>2119</v>
      </c>
      <c r="C1301" s="678">
        <v>230691725.31</v>
      </c>
      <c r="D1301" s="679">
        <v>0</v>
      </c>
      <c r="E1301" s="678">
        <v>46989479.549999997</v>
      </c>
      <c r="F1301" s="679">
        <v>0</v>
      </c>
      <c r="G1301" s="678">
        <v>277681204.86000001</v>
      </c>
      <c r="H1301" s="679">
        <v>0</v>
      </c>
      <c r="I1301" s="677" t="s">
        <v>2120</v>
      </c>
    </row>
    <row r="1302" spans="1:9" ht="17.100000000000001" customHeight="1">
      <c r="A1302" s="677">
        <v>64119905</v>
      </c>
      <c r="B1302" s="677" t="s">
        <v>2121</v>
      </c>
      <c r="C1302" s="678">
        <v>36169395.950000003</v>
      </c>
      <c r="D1302" s="679">
        <v>0</v>
      </c>
      <c r="E1302" s="678">
        <v>8599294.5199999996</v>
      </c>
      <c r="F1302" s="679">
        <v>0</v>
      </c>
      <c r="G1302" s="678">
        <v>44768690.469999999</v>
      </c>
      <c r="H1302" s="679">
        <v>0</v>
      </c>
      <c r="I1302" s="677" t="s">
        <v>2122</v>
      </c>
    </row>
    <row r="1303" spans="1:9" ht="17.100000000000001" customHeight="1">
      <c r="A1303" s="677">
        <v>64119999</v>
      </c>
      <c r="B1303" s="677" t="s">
        <v>2119</v>
      </c>
      <c r="C1303" s="678">
        <v>194522329.36000001</v>
      </c>
      <c r="D1303" s="679">
        <v>0</v>
      </c>
      <c r="E1303" s="678">
        <v>38390185.030000001</v>
      </c>
      <c r="F1303" s="679">
        <v>0</v>
      </c>
      <c r="G1303" s="678">
        <v>232912514.38999999</v>
      </c>
      <c r="H1303" s="679">
        <v>0</v>
      </c>
      <c r="I1303" s="677" t="s">
        <v>4044</v>
      </c>
    </row>
    <row r="1304" spans="1:9" ht="17.100000000000001" customHeight="1">
      <c r="A1304" s="677">
        <v>6412</v>
      </c>
      <c r="B1304" s="677" t="s">
        <v>2123</v>
      </c>
      <c r="C1304" s="678">
        <v>4498167438.1300001</v>
      </c>
      <c r="D1304" s="679">
        <v>0</v>
      </c>
      <c r="E1304" s="678">
        <v>290614215.19999999</v>
      </c>
      <c r="F1304" s="679">
        <v>0</v>
      </c>
      <c r="G1304" s="678">
        <v>4788781653.3299999</v>
      </c>
      <c r="H1304" s="679">
        <v>0</v>
      </c>
      <c r="I1304" s="677" t="s">
        <v>2124</v>
      </c>
    </row>
    <row r="1305" spans="1:9" ht="17.100000000000001" customHeight="1">
      <c r="A1305" s="677">
        <v>641202</v>
      </c>
      <c r="B1305" s="677" t="s">
        <v>4045</v>
      </c>
      <c r="C1305" s="678">
        <v>2790452207.02</v>
      </c>
      <c r="D1305" s="679">
        <v>0</v>
      </c>
      <c r="E1305" s="679">
        <v>0</v>
      </c>
      <c r="F1305" s="679">
        <v>0</v>
      </c>
      <c r="G1305" s="678">
        <v>2790452207.02</v>
      </c>
      <c r="H1305" s="679">
        <v>0</v>
      </c>
      <c r="I1305" s="677" t="s">
        <v>4046</v>
      </c>
    </row>
    <row r="1306" spans="1:9" ht="17.100000000000001" customHeight="1">
      <c r="A1306" s="677">
        <v>64120202</v>
      </c>
      <c r="B1306" s="677" t="s">
        <v>4047</v>
      </c>
      <c r="C1306" s="678">
        <v>2790452207.02</v>
      </c>
      <c r="D1306" s="679">
        <v>0</v>
      </c>
      <c r="E1306" s="679">
        <v>0</v>
      </c>
      <c r="F1306" s="679">
        <v>0</v>
      </c>
      <c r="G1306" s="678">
        <v>2790452207.02</v>
      </c>
      <c r="H1306" s="679">
        <v>0</v>
      </c>
      <c r="I1306" s="677" t="s">
        <v>4048</v>
      </c>
    </row>
    <row r="1307" spans="1:9" ht="17.100000000000001" customHeight="1">
      <c r="A1307" s="677">
        <v>641204</v>
      </c>
      <c r="B1307" s="677" t="s">
        <v>2125</v>
      </c>
      <c r="C1307" s="678">
        <v>982495430.32000005</v>
      </c>
      <c r="D1307" s="679">
        <v>0</v>
      </c>
      <c r="E1307" s="678">
        <v>118678832.86</v>
      </c>
      <c r="F1307" s="679">
        <v>0</v>
      </c>
      <c r="G1307" s="678">
        <v>1101174263.1800001</v>
      </c>
      <c r="H1307" s="679">
        <v>0</v>
      </c>
      <c r="I1307" s="677" t="s">
        <v>2126</v>
      </c>
    </row>
    <row r="1308" spans="1:9" ht="17.100000000000001" customHeight="1">
      <c r="A1308" s="677">
        <v>64120401</v>
      </c>
      <c r="B1308" s="677" t="s">
        <v>4049</v>
      </c>
      <c r="C1308" s="679">
        <v>11.95</v>
      </c>
      <c r="D1308" s="679">
        <v>0</v>
      </c>
      <c r="E1308" s="679">
        <v>0.7</v>
      </c>
      <c r="F1308" s="679">
        <v>0</v>
      </c>
      <c r="G1308" s="679">
        <v>12.65</v>
      </c>
      <c r="H1308" s="679">
        <v>0</v>
      </c>
      <c r="I1308" s="677" t="s">
        <v>4050</v>
      </c>
    </row>
    <row r="1309" spans="1:9" ht="17.100000000000001" customHeight="1">
      <c r="A1309" s="677">
        <v>64120403</v>
      </c>
      <c r="B1309" s="677" t="s">
        <v>2127</v>
      </c>
      <c r="C1309" s="678">
        <v>1160813</v>
      </c>
      <c r="D1309" s="679">
        <v>0</v>
      </c>
      <c r="E1309" s="678">
        <v>236210.92</v>
      </c>
      <c r="F1309" s="679">
        <v>0</v>
      </c>
      <c r="G1309" s="678">
        <v>1397023.92</v>
      </c>
      <c r="H1309" s="679">
        <v>0</v>
      </c>
      <c r="I1309" s="677" t="s">
        <v>2128</v>
      </c>
    </row>
    <row r="1310" spans="1:9" ht="17.100000000000001" customHeight="1">
      <c r="A1310" s="677">
        <v>64120404</v>
      </c>
      <c r="B1310" s="677" t="s">
        <v>2129</v>
      </c>
      <c r="C1310" s="678">
        <v>427190122.06</v>
      </c>
      <c r="D1310" s="679">
        <v>0</v>
      </c>
      <c r="E1310" s="678">
        <v>56522271.289999999</v>
      </c>
      <c r="F1310" s="679">
        <v>0</v>
      </c>
      <c r="G1310" s="678">
        <v>483712393.35000002</v>
      </c>
      <c r="H1310" s="679">
        <v>0</v>
      </c>
      <c r="I1310" s="677" t="s">
        <v>2130</v>
      </c>
    </row>
    <row r="1311" spans="1:9" ht="17.100000000000001" customHeight="1">
      <c r="A1311" s="677">
        <v>64120409</v>
      </c>
      <c r="B1311" s="677" t="s">
        <v>2131</v>
      </c>
      <c r="C1311" s="678">
        <v>2102468.13</v>
      </c>
      <c r="D1311" s="679">
        <v>0</v>
      </c>
      <c r="E1311" s="678">
        <v>395809.32</v>
      </c>
      <c r="F1311" s="679">
        <v>0</v>
      </c>
      <c r="G1311" s="678">
        <v>2498277.4500000002</v>
      </c>
      <c r="H1311" s="679">
        <v>0</v>
      </c>
      <c r="I1311" s="677" t="s">
        <v>2132</v>
      </c>
    </row>
    <row r="1312" spans="1:9" ht="17.100000000000001" customHeight="1">
      <c r="A1312" s="677">
        <v>64120410</v>
      </c>
      <c r="B1312" s="677" t="s">
        <v>2133</v>
      </c>
      <c r="C1312" s="678">
        <v>27612166.780000001</v>
      </c>
      <c r="D1312" s="679">
        <v>0</v>
      </c>
      <c r="E1312" s="678">
        <v>1851544.42</v>
      </c>
      <c r="F1312" s="679">
        <v>0</v>
      </c>
      <c r="G1312" s="678">
        <v>29463711.199999999</v>
      </c>
      <c r="H1312" s="679">
        <v>0</v>
      </c>
      <c r="I1312" s="677" t="s">
        <v>2134</v>
      </c>
    </row>
    <row r="1313" spans="1:9" ht="17.100000000000001" customHeight="1">
      <c r="A1313" s="677">
        <v>64120412</v>
      </c>
      <c r="B1313" s="677" t="s">
        <v>4341</v>
      </c>
      <c r="C1313" s="679">
        <v>453.06</v>
      </c>
      <c r="D1313" s="679">
        <v>0</v>
      </c>
      <c r="E1313" s="679">
        <v>0</v>
      </c>
      <c r="F1313" s="679">
        <v>0</v>
      </c>
      <c r="G1313" s="679">
        <v>453.06</v>
      </c>
      <c r="H1313" s="679">
        <v>0</v>
      </c>
      <c r="I1313" s="677" t="s">
        <v>4342</v>
      </c>
    </row>
    <row r="1314" spans="1:9" ht="17.100000000000001" customHeight="1">
      <c r="A1314" s="677">
        <v>64120413</v>
      </c>
      <c r="B1314" s="677" t="s">
        <v>2860</v>
      </c>
      <c r="C1314" s="678">
        <v>7348787.8899999997</v>
      </c>
      <c r="D1314" s="679">
        <v>0</v>
      </c>
      <c r="E1314" s="678">
        <v>3050333.3</v>
      </c>
      <c r="F1314" s="679">
        <v>0</v>
      </c>
      <c r="G1314" s="678">
        <v>10399121.189999999</v>
      </c>
      <c r="H1314" s="679">
        <v>0</v>
      </c>
      <c r="I1314" s="677" t="s">
        <v>2135</v>
      </c>
    </row>
    <row r="1315" spans="1:9" ht="17.100000000000001" customHeight="1">
      <c r="A1315" s="677">
        <v>64120414</v>
      </c>
      <c r="B1315" s="677" t="s">
        <v>4051</v>
      </c>
      <c r="C1315" s="678">
        <v>8338888.8899999997</v>
      </c>
      <c r="D1315" s="679">
        <v>0</v>
      </c>
      <c r="E1315" s="678">
        <v>1645833.33</v>
      </c>
      <c r="F1315" s="679">
        <v>0</v>
      </c>
      <c r="G1315" s="678">
        <v>9984722.2200000007</v>
      </c>
      <c r="H1315" s="679">
        <v>0</v>
      </c>
      <c r="I1315" s="677" t="s">
        <v>4052</v>
      </c>
    </row>
    <row r="1316" spans="1:9" ht="17.100000000000001" customHeight="1">
      <c r="A1316" s="677">
        <v>64120426</v>
      </c>
      <c r="B1316" s="677" t="s">
        <v>4053</v>
      </c>
      <c r="C1316" s="678">
        <v>3989500</v>
      </c>
      <c r="D1316" s="679">
        <v>0</v>
      </c>
      <c r="E1316" s="678">
        <v>3389777.77</v>
      </c>
      <c r="F1316" s="679">
        <v>0</v>
      </c>
      <c r="G1316" s="678">
        <v>7379277.7699999996</v>
      </c>
      <c r="H1316" s="679">
        <v>0</v>
      </c>
      <c r="I1316" s="677" t="s">
        <v>4054</v>
      </c>
    </row>
    <row r="1317" spans="1:9" ht="17.100000000000001" customHeight="1">
      <c r="A1317" s="677">
        <v>64120469</v>
      </c>
      <c r="B1317" s="677" t="s">
        <v>2612</v>
      </c>
      <c r="C1317" s="679">
        <v>60.96</v>
      </c>
      <c r="D1317" s="679">
        <v>0</v>
      </c>
      <c r="E1317" s="679">
        <v>12.05</v>
      </c>
      <c r="F1317" s="679">
        <v>0</v>
      </c>
      <c r="G1317" s="679">
        <v>73.010000000000005</v>
      </c>
      <c r="H1317" s="679">
        <v>0</v>
      </c>
      <c r="I1317" s="677" t="s">
        <v>2613</v>
      </c>
    </row>
    <row r="1318" spans="1:9" ht="17.100000000000001" customHeight="1">
      <c r="A1318" s="677">
        <v>64120470</v>
      </c>
      <c r="B1318" s="677" t="s">
        <v>4055</v>
      </c>
      <c r="C1318" s="678">
        <v>26574930.57</v>
      </c>
      <c r="D1318" s="679">
        <v>0</v>
      </c>
      <c r="E1318" s="678">
        <v>397222.22</v>
      </c>
      <c r="F1318" s="679">
        <v>0</v>
      </c>
      <c r="G1318" s="678">
        <v>26972152.789999999</v>
      </c>
      <c r="H1318" s="679">
        <v>0</v>
      </c>
      <c r="I1318" s="677" t="s">
        <v>4056</v>
      </c>
    </row>
    <row r="1319" spans="1:9" ht="17.100000000000001" customHeight="1">
      <c r="A1319" s="677">
        <v>64120476</v>
      </c>
      <c r="B1319" s="677" t="s">
        <v>4057</v>
      </c>
      <c r="C1319" s="678">
        <v>16593750</v>
      </c>
      <c r="D1319" s="679">
        <v>0</v>
      </c>
      <c r="E1319" s="679">
        <v>0</v>
      </c>
      <c r="F1319" s="679">
        <v>0</v>
      </c>
      <c r="G1319" s="678">
        <v>16593750</v>
      </c>
      <c r="H1319" s="679">
        <v>0</v>
      </c>
      <c r="I1319" s="677" t="s">
        <v>4058</v>
      </c>
    </row>
    <row r="1320" spans="1:9" ht="17.100000000000001" customHeight="1">
      <c r="A1320" s="677">
        <v>64120478</v>
      </c>
      <c r="B1320" s="677" t="s">
        <v>2861</v>
      </c>
      <c r="C1320" s="678">
        <v>12200414.390000001</v>
      </c>
      <c r="D1320" s="679">
        <v>0</v>
      </c>
      <c r="E1320" s="678">
        <v>23589.040000000001</v>
      </c>
      <c r="F1320" s="679">
        <v>0</v>
      </c>
      <c r="G1320" s="678">
        <v>12224003.43</v>
      </c>
      <c r="H1320" s="679">
        <v>0</v>
      </c>
      <c r="I1320" s="677" t="s">
        <v>2862</v>
      </c>
    </row>
    <row r="1321" spans="1:9" ht="17.100000000000001" customHeight="1">
      <c r="A1321" s="677">
        <v>64120479</v>
      </c>
      <c r="B1321" s="677" t="s">
        <v>3376</v>
      </c>
      <c r="C1321" s="678">
        <v>115613.69</v>
      </c>
      <c r="D1321" s="679">
        <v>0</v>
      </c>
      <c r="E1321" s="678">
        <v>36895.120000000003</v>
      </c>
      <c r="F1321" s="679">
        <v>0</v>
      </c>
      <c r="G1321" s="678">
        <v>152508.81</v>
      </c>
      <c r="H1321" s="679">
        <v>0</v>
      </c>
      <c r="I1321" s="677" t="s">
        <v>3377</v>
      </c>
    </row>
    <row r="1322" spans="1:9" ht="17.100000000000001" customHeight="1">
      <c r="A1322" s="677">
        <v>64120480</v>
      </c>
      <c r="B1322" s="677" t="s">
        <v>3378</v>
      </c>
      <c r="C1322" s="678">
        <v>38888.89</v>
      </c>
      <c r="D1322" s="679">
        <v>0</v>
      </c>
      <c r="E1322" s="679">
        <v>0</v>
      </c>
      <c r="F1322" s="679">
        <v>0</v>
      </c>
      <c r="G1322" s="678">
        <v>38888.89</v>
      </c>
      <c r="H1322" s="679">
        <v>0</v>
      </c>
      <c r="I1322" s="677" t="s">
        <v>3379</v>
      </c>
    </row>
    <row r="1323" spans="1:9" ht="17.100000000000001" customHeight="1">
      <c r="A1323" s="677">
        <v>64120489</v>
      </c>
      <c r="B1323" s="677" t="s">
        <v>4059</v>
      </c>
      <c r="C1323" s="678">
        <v>326715.01</v>
      </c>
      <c r="D1323" s="679">
        <v>0</v>
      </c>
      <c r="E1323" s="679">
        <v>0</v>
      </c>
      <c r="F1323" s="679">
        <v>0</v>
      </c>
      <c r="G1323" s="678">
        <v>326715.01</v>
      </c>
      <c r="H1323" s="679">
        <v>0</v>
      </c>
      <c r="I1323" s="677" t="s">
        <v>4060</v>
      </c>
    </row>
    <row r="1324" spans="1:9" ht="17.100000000000001" customHeight="1">
      <c r="A1324" s="677">
        <v>64120490</v>
      </c>
      <c r="B1324" s="677" t="s">
        <v>3491</v>
      </c>
      <c r="C1324" s="678">
        <v>17752191.780000001</v>
      </c>
      <c r="D1324" s="679">
        <v>0</v>
      </c>
      <c r="E1324" s="679">
        <v>0</v>
      </c>
      <c r="F1324" s="679">
        <v>0</v>
      </c>
      <c r="G1324" s="678">
        <v>17752191.780000001</v>
      </c>
      <c r="H1324" s="679">
        <v>0</v>
      </c>
      <c r="I1324" s="677" t="s">
        <v>3492</v>
      </c>
    </row>
    <row r="1325" spans="1:9" ht="17.100000000000001" customHeight="1">
      <c r="A1325" s="677">
        <v>64120493</v>
      </c>
      <c r="B1325" s="677" t="s">
        <v>2863</v>
      </c>
      <c r="C1325" s="679">
        <v>8.83</v>
      </c>
      <c r="D1325" s="679">
        <v>0</v>
      </c>
      <c r="E1325" s="679">
        <v>0.06</v>
      </c>
      <c r="F1325" s="679">
        <v>0</v>
      </c>
      <c r="G1325" s="679">
        <v>8.89</v>
      </c>
      <c r="H1325" s="679">
        <v>0</v>
      </c>
      <c r="I1325" s="677" t="s">
        <v>2864</v>
      </c>
    </row>
    <row r="1326" spans="1:9" ht="17.100000000000001" customHeight="1">
      <c r="A1326" s="677">
        <v>64120494</v>
      </c>
      <c r="B1326" s="677" t="s">
        <v>2865</v>
      </c>
      <c r="C1326" s="678">
        <v>431149644.44</v>
      </c>
      <c r="D1326" s="679">
        <v>0</v>
      </c>
      <c r="E1326" s="678">
        <v>51129333.32</v>
      </c>
      <c r="F1326" s="679">
        <v>0</v>
      </c>
      <c r="G1326" s="678">
        <v>482278977.75999999</v>
      </c>
      <c r="H1326" s="679">
        <v>0</v>
      </c>
      <c r="I1326" s="677" t="s">
        <v>2866</v>
      </c>
    </row>
    <row r="1327" spans="1:9" ht="17.100000000000001" customHeight="1">
      <c r="A1327" s="677">
        <v>641205</v>
      </c>
      <c r="B1327" s="677" t="s">
        <v>2614</v>
      </c>
      <c r="C1327" s="678">
        <v>53080158.43</v>
      </c>
      <c r="D1327" s="679">
        <v>0</v>
      </c>
      <c r="E1327" s="678">
        <v>89722.22</v>
      </c>
      <c r="F1327" s="679">
        <v>0</v>
      </c>
      <c r="G1327" s="678">
        <v>53169880.649999999</v>
      </c>
      <c r="H1327" s="679">
        <v>0</v>
      </c>
      <c r="I1327" s="677" t="s">
        <v>2136</v>
      </c>
    </row>
    <row r="1328" spans="1:9" ht="17.100000000000001" customHeight="1">
      <c r="A1328" s="677">
        <v>64120501</v>
      </c>
      <c r="B1328" s="677" t="s">
        <v>4061</v>
      </c>
      <c r="C1328" s="678">
        <v>12718016.710000001</v>
      </c>
      <c r="D1328" s="679">
        <v>0</v>
      </c>
      <c r="E1328" s="678">
        <v>89722.22</v>
      </c>
      <c r="F1328" s="679">
        <v>0</v>
      </c>
      <c r="G1328" s="678">
        <v>12807738.93</v>
      </c>
      <c r="H1328" s="679">
        <v>0</v>
      </c>
      <c r="I1328" s="677" t="s">
        <v>4062</v>
      </c>
    </row>
    <row r="1329" spans="1:9" ht="17.100000000000001" customHeight="1">
      <c r="A1329" s="320"/>
      <c r="B1329" s="320"/>
      <c r="C1329" s="320"/>
      <c r="D1329" s="557" t="s">
        <v>4317</v>
      </c>
      <c r="E1329" s="320" t="s">
        <v>3778</v>
      </c>
      <c r="F1329" s="320"/>
      <c r="G1329" s="320"/>
      <c r="H1329" s="320"/>
      <c r="I1329" s="320"/>
    </row>
    <row r="1330" spans="1:9" ht="17.100000000000001" customHeight="1">
      <c r="A1330" s="671"/>
      <c r="B1330" s="671"/>
      <c r="C1330" s="671"/>
      <c r="D1330" s="671"/>
      <c r="E1330" s="671"/>
      <c r="F1330" s="671"/>
      <c r="G1330" s="671"/>
      <c r="H1330" s="671"/>
      <c r="I1330" s="671"/>
    </row>
    <row r="1331" spans="1:9" ht="17.100000000000001" customHeight="1">
      <c r="A1331" s="320"/>
      <c r="B1331" s="320"/>
      <c r="C1331" s="672" t="s">
        <v>4316</v>
      </c>
      <c r="D1331" s="320"/>
      <c r="E1331" s="320"/>
      <c r="F1331" s="671"/>
      <c r="G1331" s="671"/>
      <c r="H1331" s="671"/>
      <c r="I1331" s="671"/>
    </row>
    <row r="1332" spans="1:9" ht="17.100000000000001" customHeight="1">
      <c r="A1332" s="673" t="s">
        <v>3708</v>
      </c>
      <c r="B1332" s="673"/>
      <c r="C1332" s="683">
        <v>42551</v>
      </c>
      <c r="D1332" s="673"/>
      <c r="E1332" s="557" t="s">
        <v>3709</v>
      </c>
      <c r="F1332" s="671"/>
      <c r="G1332" s="671"/>
      <c r="H1332" s="671"/>
      <c r="I1332" s="671"/>
    </row>
    <row r="1333" spans="1:9" ht="17.100000000000001" customHeight="1">
      <c r="A1333" s="676" t="s">
        <v>596</v>
      </c>
      <c r="B1333" s="676" t="s">
        <v>597</v>
      </c>
      <c r="C1333" s="676" t="s">
        <v>3710</v>
      </c>
      <c r="D1333" s="676" t="s">
        <v>3711</v>
      </c>
      <c r="E1333" s="676" t="s">
        <v>3712</v>
      </c>
      <c r="F1333" s="676" t="s">
        <v>3713</v>
      </c>
      <c r="G1333" s="676" t="s">
        <v>3714</v>
      </c>
      <c r="H1333" s="676" t="s">
        <v>3715</v>
      </c>
      <c r="I1333" s="676" t="s">
        <v>596</v>
      </c>
    </row>
    <row r="1334" spans="1:9" ht="28.5" customHeight="1">
      <c r="A1334" s="677">
        <v>64120502</v>
      </c>
      <c r="B1334" s="677" t="s">
        <v>2137</v>
      </c>
      <c r="C1334" s="678">
        <v>40274641.719999999</v>
      </c>
      <c r="D1334" s="679">
        <v>0</v>
      </c>
      <c r="E1334" s="679">
        <v>0</v>
      </c>
      <c r="F1334" s="679">
        <v>0</v>
      </c>
      <c r="G1334" s="678">
        <v>40274641.719999999</v>
      </c>
      <c r="H1334" s="679">
        <v>0</v>
      </c>
      <c r="I1334" s="677" t="s">
        <v>2138</v>
      </c>
    </row>
    <row r="1335" spans="1:9" ht="24">
      <c r="A1335" s="677">
        <v>64120525</v>
      </c>
      <c r="B1335" s="677" t="s">
        <v>4343</v>
      </c>
      <c r="C1335" s="678">
        <v>87500</v>
      </c>
      <c r="D1335" s="679">
        <v>0</v>
      </c>
      <c r="E1335" s="679">
        <v>0</v>
      </c>
      <c r="F1335" s="679">
        <v>0</v>
      </c>
      <c r="G1335" s="678">
        <v>87500</v>
      </c>
      <c r="H1335" s="679">
        <v>0</v>
      </c>
      <c r="I1335" s="677" t="s">
        <v>4344</v>
      </c>
    </row>
    <row r="1336" spans="1:9">
      <c r="A1336" s="677">
        <v>641206</v>
      </c>
      <c r="B1336" s="677" t="s">
        <v>2139</v>
      </c>
      <c r="C1336" s="678">
        <v>224962581.59</v>
      </c>
      <c r="D1336" s="679">
        <v>0</v>
      </c>
      <c r="E1336" s="679">
        <v>0</v>
      </c>
      <c r="F1336" s="679">
        <v>0</v>
      </c>
      <c r="G1336" s="678">
        <v>224962581.59</v>
      </c>
      <c r="H1336" s="679">
        <v>0</v>
      </c>
      <c r="I1336" s="677" t="s">
        <v>2140</v>
      </c>
    </row>
    <row r="1337" spans="1:9" ht="24">
      <c r="A1337" s="677">
        <v>64120602</v>
      </c>
      <c r="B1337" s="677" t="s">
        <v>2141</v>
      </c>
      <c r="C1337" s="678">
        <v>206809121.78999999</v>
      </c>
      <c r="D1337" s="679">
        <v>0</v>
      </c>
      <c r="E1337" s="679">
        <v>0</v>
      </c>
      <c r="F1337" s="679">
        <v>0</v>
      </c>
      <c r="G1337" s="678">
        <v>206809121.78999999</v>
      </c>
      <c r="H1337" s="679">
        <v>0</v>
      </c>
      <c r="I1337" s="677" t="s">
        <v>2142</v>
      </c>
    </row>
    <row r="1338" spans="1:9" ht="28.5" customHeight="1">
      <c r="A1338" s="677">
        <v>64120603</v>
      </c>
      <c r="B1338" s="677" t="s">
        <v>4146</v>
      </c>
      <c r="C1338" s="678">
        <v>6680641.21</v>
      </c>
      <c r="D1338" s="679">
        <v>0</v>
      </c>
      <c r="E1338" s="679">
        <v>0</v>
      </c>
      <c r="F1338" s="679">
        <v>0</v>
      </c>
      <c r="G1338" s="678">
        <v>6680641.21</v>
      </c>
      <c r="H1338" s="679">
        <v>0</v>
      </c>
      <c r="I1338" s="677" t="s">
        <v>4147</v>
      </c>
    </row>
    <row r="1339" spans="1:9" ht="17.100000000000001" customHeight="1">
      <c r="A1339" s="677">
        <v>64120604</v>
      </c>
      <c r="B1339" s="677" t="s">
        <v>2143</v>
      </c>
      <c r="C1339" s="678">
        <v>11472818.59</v>
      </c>
      <c r="D1339" s="679">
        <v>0</v>
      </c>
      <c r="E1339" s="679">
        <v>0</v>
      </c>
      <c r="F1339" s="679">
        <v>0</v>
      </c>
      <c r="G1339" s="678">
        <v>11472818.59</v>
      </c>
      <c r="H1339" s="679">
        <v>0</v>
      </c>
      <c r="I1339" s="677" t="s">
        <v>2144</v>
      </c>
    </row>
    <row r="1340" spans="1:9" ht="17.100000000000001" customHeight="1">
      <c r="A1340" s="677">
        <v>641207</v>
      </c>
      <c r="B1340" s="677" t="s">
        <v>2145</v>
      </c>
      <c r="C1340" s="678">
        <v>4555903.91</v>
      </c>
      <c r="D1340" s="679">
        <v>0</v>
      </c>
      <c r="E1340" s="678">
        <v>35588.6</v>
      </c>
      <c r="F1340" s="679">
        <v>0</v>
      </c>
      <c r="G1340" s="678">
        <v>4591492.51</v>
      </c>
      <c r="H1340" s="679">
        <v>0</v>
      </c>
      <c r="I1340" s="677" t="s">
        <v>2146</v>
      </c>
    </row>
    <row r="1341" spans="1:9" ht="17.100000000000001" customHeight="1">
      <c r="A1341" s="677">
        <v>64120702</v>
      </c>
      <c r="B1341" s="677" t="s">
        <v>2147</v>
      </c>
      <c r="C1341" s="678">
        <v>4555903.91</v>
      </c>
      <c r="D1341" s="679">
        <v>0</v>
      </c>
      <c r="E1341" s="678">
        <v>35588.6</v>
      </c>
      <c r="F1341" s="679">
        <v>0</v>
      </c>
      <c r="G1341" s="678">
        <v>4591492.51</v>
      </c>
      <c r="H1341" s="679">
        <v>0</v>
      </c>
      <c r="I1341" s="677" t="s">
        <v>2148</v>
      </c>
    </row>
    <row r="1342" spans="1:9" ht="17.100000000000001" customHeight="1">
      <c r="A1342" s="677">
        <v>641208</v>
      </c>
      <c r="B1342" s="677" t="s">
        <v>3493</v>
      </c>
      <c r="C1342" s="678">
        <v>11750</v>
      </c>
      <c r="D1342" s="679">
        <v>0</v>
      </c>
      <c r="E1342" s="679">
        <v>0</v>
      </c>
      <c r="F1342" s="679">
        <v>0</v>
      </c>
      <c r="G1342" s="678">
        <v>11750</v>
      </c>
      <c r="H1342" s="679">
        <v>0</v>
      </c>
      <c r="I1342" s="677" t="s">
        <v>3494</v>
      </c>
    </row>
    <row r="1343" spans="1:9" ht="17.100000000000001" customHeight="1">
      <c r="A1343" s="677">
        <v>64120802</v>
      </c>
      <c r="B1343" s="677" t="s">
        <v>3495</v>
      </c>
      <c r="C1343" s="678">
        <v>11750</v>
      </c>
      <c r="D1343" s="679">
        <v>0</v>
      </c>
      <c r="E1343" s="679">
        <v>0</v>
      </c>
      <c r="F1343" s="679">
        <v>0</v>
      </c>
      <c r="G1343" s="678">
        <v>11750</v>
      </c>
      <c r="H1343" s="679">
        <v>0</v>
      </c>
      <c r="I1343" s="677" t="s">
        <v>3496</v>
      </c>
    </row>
    <row r="1344" spans="1:9" ht="17.100000000000001" customHeight="1">
      <c r="A1344" s="677">
        <v>641209</v>
      </c>
      <c r="B1344" s="677" t="s">
        <v>2149</v>
      </c>
      <c r="C1344" s="678">
        <v>442609406.86000001</v>
      </c>
      <c r="D1344" s="679">
        <v>0</v>
      </c>
      <c r="E1344" s="678">
        <v>171810071.52000001</v>
      </c>
      <c r="F1344" s="679">
        <v>0</v>
      </c>
      <c r="G1344" s="678">
        <v>614419478.38</v>
      </c>
      <c r="H1344" s="679">
        <v>0</v>
      </c>
      <c r="I1344" s="677" t="s">
        <v>2150</v>
      </c>
    </row>
    <row r="1345" spans="1:9" ht="17.100000000000001" customHeight="1">
      <c r="A1345" s="677">
        <v>64120902</v>
      </c>
      <c r="B1345" s="677" t="s">
        <v>4345</v>
      </c>
      <c r="C1345" s="678">
        <v>185353401.46000001</v>
      </c>
      <c r="D1345" s="679">
        <v>0</v>
      </c>
      <c r="E1345" s="678">
        <v>53341525.229999997</v>
      </c>
      <c r="F1345" s="679">
        <v>0</v>
      </c>
      <c r="G1345" s="678">
        <v>238694926.69</v>
      </c>
      <c r="H1345" s="679">
        <v>0</v>
      </c>
      <c r="I1345" s="677" t="s">
        <v>2709</v>
      </c>
    </row>
    <row r="1346" spans="1:9" ht="17.100000000000001" customHeight="1">
      <c r="A1346" s="677">
        <v>64120999</v>
      </c>
      <c r="B1346" s="677" t="s">
        <v>4346</v>
      </c>
      <c r="C1346" s="678">
        <v>257256005.40000001</v>
      </c>
      <c r="D1346" s="679">
        <v>0</v>
      </c>
      <c r="E1346" s="678">
        <v>118468546.29000001</v>
      </c>
      <c r="F1346" s="679">
        <v>0</v>
      </c>
      <c r="G1346" s="678">
        <v>375724551.69</v>
      </c>
      <c r="H1346" s="679">
        <v>0</v>
      </c>
      <c r="I1346" s="677" t="s">
        <v>2151</v>
      </c>
    </row>
    <row r="1347" spans="1:9" ht="17.100000000000001" customHeight="1">
      <c r="A1347" s="677">
        <v>6421</v>
      </c>
      <c r="B1347" s="677" t="s">
        <v>2152</v>
      </c>
      <c r="C1347" s="678">
        <v>66581684.509999998</v>
      </c>
      <c r="D1347" s="679">
        <v>0</v>
      </c>
      <c r="E1347" s="678">
        <v>1704567.39</v>
      </c>
      <c r="F1347" s="679">
        <v>0</v>
      </c>
      <c r="G1347" s="678">
        <v>68286251.900000006</v>
      </c>
      <c r="H1347" s="679">
        <v>0</v>
      </c>
      <c r="I1347" s="677" t="s">
        <v>2153</v>
      </c>
    </row>
    <row r="1348" spans="1:9" ht="17.100000000000001" customHeight="1">
      <c r="A1348" s="677">
        <v>642101</v>
      </c>
      <c r="B1348" s="677" t="s">
        <v>2154</v>
      </c>
      <c r="C1348" s="678">
        <v>15422645.470000001</v>
      </c>
      <c r="D1348" s="679">
        <v>0</v>
      </c>
      <c r="E1348" s="678">
        <v>93964.19</v>
      </c>
      <c r="F1348" s="679">
        <v>0</v>
      </c>
      <c r="G1348" s="678">
        <v>15516609.66</v>
      </c>
      <c r="H1348" s="679">
        <v>0</v>
      </c>
      <c r="I1348" s="677" t="s">
        <v>2155</v>
      </c>
    </row>
    <row r="1349" spans="1:9" ht="17.100000000000001" customHeight="1">
      <c r="A1349" s="677">
        <v>64210101</v>
      </c>
      <c r="B1349" s="677" t="s">
        <v>2154</v>
      </c>
      <c r="C1349" s="678">
        <v>15276992</v>
      </c>
      <c r="D1349" s="679">
        <v>0</v>
      </c>
      <c r="E1349" s="678">
        <v>91912.960000000006</v>
      </c>
      <c r="F1349" s="679">
        <v>0</v>
      </c>
      <c r="G1349" s="678">
        <v>15368904.960000001</v>
      </c>
      <c r="H1349" s="679">
        <v>0</v>
      </c>
      <c r="I1349" s="677" t="s">
        <v>2156</v>
      </c>
    </row>
    <row r="1350" spans="1:9" ht="17.100000000000001" customHeight="1">
      <c r="A1350" s="677">
        <v>64210103</v>
      </c>
      <c r="B1350" s="677" t="s">
        <v>2867</v>
      </c>
      <c r="C1350" s="678">
        <v>145653.47</v>
      </c>
      <c r="D1350" s="679">
        <v>0</v>
      </c>
      <c r="E1350" s="678">
        <v>2051.23</v>
      </c>
      <c r="F1350" s="679">
        <v>0</v>
      </c>
      <c r="G1350" s="678">
        <v>147704.70000000001</v>
      </c>
      <c r="H1350" s="679">
        <v>0</v>
      </c>
      <c r="I1350" s="677" t="s">
        <v>2868</v>
      </c>
    </row>
    <row r="1351" spans="1:9" ht="17.100000000000001" customHeight="1">
      <c r="A1351" s="677">
        <v>642102</v>
      </c>
      <c r="B1351" s="677" t="s">
        <v>2157</v>
      </c>
      <c r="C1351" s="678">
        <v>12284744.32</v>
      </c>
      <c r="D1351" s="679">
        <v>0</v>
      </c>
      <c r="E1351" s="678">
        <v>-41761.15</v>
      </c>
      <c r="F1351" s="679">
        <v>0</v>
      </c>
      <c r="G1351" s="678">
        <v>12242983.17</v>
      </c>
      <c r="H1351" s="679">
        <v>0</v>
      </c>
      <c r="I1351" s="677" t="s">
        <v>2158</v>
      </c>
    </row>
    <row r="1352" spans="1:9" ht="17.100000000000001" customHeight="1">
      <c r="A1352" s="677">
        <v>64210201</v>
      </c>
      <c r="B1352" s="677" t="s">
        <v>2159</v>
      </c>
      <c r="C1352" s="678">
        <v>10959322.960000001</v>
      </c>
      <c r="D1352" s="679">
        <v>0</v>
      </c>
      <c r="E1352" s="678">
        <v>-44393.33</v>
      </c>
      <c r="F1352" s="679">
        <v>0</v>
      </c>
      <c r="G1352" s="678">
        <v>10914929.630000001</v>
      </c>
      <c r="H1352" s="679">
        <v>0</v>
      </c>
      <c r="I1352" s="677" t="s">
        <v>2160</v>
      </c>
    </row>
    <row r="1353" spans="1:9" ht="17.100000000000001" customHeight="1">
      <c r="A1353" s="677">
        <v>64210202</v>
      </c>
      <c r="B1353" s="677" t="s">
        <v>2161</v>
      </c>
      <c r="C1353" s="678">
        <v>1325421.3600000001</v>
      </c>
      <c r="D1353" s="679">
        <v>0</v>
      </c>
      <c r="E1353" s="678">
        <v>2632.18</v>
      </c>
      <c r="F1353" s="679">
        <v>0</v>
      </c>
      <c r="G1353" s="678">
        <v>1328053.54</v>
      </c>
      <c r="H1353" s="679">
        <v>0</v>
      </c>
      <c r="I1353" s="677" t="s">
        <v>2162</v>
      </c>
    </row>
    <row r="1354" spans="1:9" ht="17.100000000000001" customHeight="1">
      <c r="A1354" s="677">
        <v>642103</v>
      </c>
      <c r="B1354" s="677" t="s">
        <v>2163</v>
      </c>
      <c r="C1354" s="678">
        <v>3310567.78</v>
      </c>
      <c r="D1354" s="679">
        <v>0</v>
      </c>
      <c r="E1354" s="678">
        <v>177782.34</v>
      </c>
      <c r="F1354" s="679">
        <v>0</v>
      </c>
      <c r="G1354" s="678">
        <v>3488350.12</v>
      </c>
      <c r="H1354" s="679">
        <v>0</v>
      </c>
      <c r="I1354" s="677" t="s">
        <v>2164</v>
      </c>
    </row>
    <row r="1355" spans="1:9" ht="17.100000000000001" customHeight="1">
      <c r="A1355" s="677">
        <v>64210302</v>
      </c>
      <c r="B1355" s="677" t="s">
        <v>4148</v>
      </c>
      <c r="C1355" s="678">
        <v>622662.46</v>
      </c>
      <c r="D1355" s="679">
        <v>0</v>
      </c>
      <c r="E1355" s="679">
        <v>0</v>
      </c>
      <c r="F1355" s="679">
        <v>0</v>
      </c>
      <c r="G1355" s="678">
        <v>622662.46</v>
      </c>
      <c r="H1355" s="679">
        <v>0</v>
      </c>
      <c r="I1355" s="677" t="s">
        <v>4149</v>
      </c>
    </row>
    <row r="1356" spans="1:9" ht="17.100000000000001" customHeight="1">
      <c r="A1356" s="677">
        <v>64210399</v>
      </c>
      <c r="B1356" s="677" t="s">
        <v>2165</v>
      </c>
      <c r="C1356" s="678">
        <v>2687905.32</v>
      </c>
      <c r="D1356" s="679">
        <v>0</v>
      </c>
      <c r="E1356" s="678">
        <v>177782.34</v>
      </c>
      <c r="F1356" s="679">
        <v>0</v>
      </c>
      <c r="G1356" s="678">
        <v>2865687.66</v>
      </c>
      <c r="H1356" s="679">
        <v>0</v>
      </c>
      <c r="I1356" s="677" t="s">
        <v>2166</v>
      </c>
    </row>
    <row r="1357" spans="1:9" ht="17.100000000000001" customHeight="1">
      <c r="A1357" s="677">
        <v>642105</v>
      </c>
      <c r="B1357" s="677" t="s">
        <v>2615</v>
      </c>
      <c r="C1357" s="678">
        <v>2136.86</v>
      </c>
      <c r="D1357" s="679">
        <v>0</v>
      </c>
      <c r="E1357" s="679">
        <v>0</v>
      </c>
      <c r="F1357" s="679">
        <v>0</v>
      </c>
      <c r="G1357" s="678">
        <v>2136.86</v>
      </c>
      <c r="H1357" s="679">
        <v>0</v>
      </c>
      <c r="I1357" s="677" t="s">
        <v>2616</v>
      </c>
    </row>
    <row r="1358" spans="1:9" ht="17.100000000000001" customHeight="1">
      <c r="A1358" s="677">
        <v>64210501</v>
      </c>
      <c r="B1358" s="677" t="s">
        <v>2617</v>
      </c>
      <c r="C1358" s="678">
        <v>2136.86</v>
      </c>
      <c r="D1358" s="679">
        <v>0</v>
      </c>
      <c r="E1358" s="679">
        <v>0</v>
      </c>
      <c r="F1358" s="679">
        <v>0</v>
      </c>
      <c r="G1358" s="678">
        <v>2136.86</v>
      </c>
      <c r="H1358" s="679">
        <v>0</v>
      </c>
      <c r="I1358" s="677" t="s">
        <v>2618</v>
      </c>
    </row>
    <row r="1359" spans="1:9" ht="17.100000000000001" customHeight="1">
      <c r="A1359" s="677">
        <v>642199</v>
      </c>
      <c r="B1359" s="677" t="s">
        <v>2167</v>
      </c>
      <c r="C1359" s="678">
        <v>35561590.079999998</v>
      </c>
      <c r="D1359" s="679">
        <v>0</v>
      </c>
      <c r="E1359" s="678">
        <v>1474582.01</v>
      </c>
      <c r="F1359" s="679">
        <v>0</v>
      </c>
      <c r="G1359" s="678">
        <v>37036172.090000004</v>
      </c>
      <c r="H1359" s="679">
        <v>0</v>
      </c>
      <c r="I1359" s="677" t="s">
        <v>2168</v>
      </c>
    </row>
    <row r="1360" spans="1:9" ht="17.100000000000001" customHeight="1">
      <c r="A1360" s="677">
        <v>64219999</v>
      </c>
      <c r="B1360" s="677" t="s">
        <v>2167</v>
      </c>
      <c r="C1360" s="678">
        <v>35561590.079999998</v>
      </c>
      <c r="D1360" s="679">
        <v>0</v>
      </c>
      <c r="E1360" s="678">
        <v>1474582.01</v>
      </c>
      <c r="F1360" s="679">
        <v>0</v>
      </c>
      <c r="G1360" s="678">
        <v>37036172.090000004</v>
      </c>
      <c r="H1360" s="679">
        <v>0</v>
      </c>
      <c r="I1360" s="677" t="s">
        <v>2169</v>
      </c>
    </row>
    <row r="1361" spans="1:9" ht="17.100000000000001" customHeight="1">
      <c r="A1361" s="677">
        <v>6601</v>
      </c>
      <c r="B1361" s="677" t="s">
        <v>2170</v>
      </c>
      <c r="C1361" s="678">
        <v>1453044125.8199999</v>
      </c>
      <c r="D1361" s="679">
        <v>0</v>
      </c>
      <c r="E1361" s="678">
        <v>229535074.30000001</v>
      </c>
      <c r="F1361" s="679">
        <v>0</v>
      </c>
      <c r="G1361" s="678">
        <v>1682579200.1199999</v>
      </c>
      <c r="H1361" s="679">
        <v>0</v>
      </c>
      <c r="I1361" s="677" t="s">
        <v>2171</v>
      </c>
    </row>
    <row r="1362" spans="1:9" ht="17.100000000000001" customHeight="1">
      <c r="A1362" s="677">
        <v>660101</v>
      </c>
      <c r="B1362" s="677" t="s">
        <v>2172</v>
      </c>
      <c r="C1362" s="678">
        <v>34761432.210000001</v>
      </c>
      <c r="D1362" s="679">
        <v>0</v>
      </c>
      <c r="E1362" s="678">
        <v>1676890.22</v>
      </c>
      <c r="F1362" s="679">
        <v>0</v>
      </c>
      <c r="G1362" s="678">
        <v>36438322.43</v>
      </c>
      <c r="H1362" s="679">
        <v>0</v>
      </c>
      <c r="I1362" s="677" t="s">
        <v>2173</v>
      </c>
    </row>
    <row r="1363" spans="1:9" ht="17.100000000000001" customHeight="1">
      <c r="A1363" s="677">
        <v>66010101</v>
      </c>
      <c r="B1363" s="677" t="s">
        <v>2172</v>
      </c>
      <c r="C1363" s="678">
        <v>34761432.210000001</v>
      </c>
      <c r="D1363" s="679">
        <v>0</v>
      </c>
      <c r="E1363" s="678">
        <v>1676890.22</v>
      </c>
      <c r="F1363" s="679">
        <v>0</v>
      </c>
      <c r="G1363" s="678">
        <v>36438322.43</v>
      </c>
      <c r="H1363" s="679">
        <v>0</v>
      </c>
      <c r="I1363" s="677" t="s">
        <v>2174</v>
      </c>
    </row>
    <row r="1364" spans="1:9" ht="17.100000000000001" customHeight="1">
      <c r="A1364" s="677">
        <v>660102</v>
      </c>
      <c r="B1364" s="677" t="s">
        <v>2175</v>
      </c>
      <c r="C1364" s="678">
        <v>2896622.36</v>
      </c>
      <c r="D1364" s="679">
        <v>0</v>
      </c>
      <c r="E1364" s="678">
        <v>22301.71</v>
      </c>
      <c r="F1364" s="679">
        <v>0</v>
      </c>
      <c r="G1364" s="678">
        <v>2918924.07</v>
      </c>
      <c r="H1364" s="679">
        <v>0</v>
      </c>
      <c r="I1364" s="677" t="s">
        <v>2176</v>
      </c>
    </row>
    <row r="1365" spans="1:9" ht="17.100000000000001" customHeight="1">
      <c r="A1365" s="677">
        <v>66010201</v>
      </c>
      <c r="B1365" s="677" t="s">
        <v>2175</v>
      </c>
      <c r="C1365" s="678">
        <v>2896622.36</v>
      </c>
      <c r="D1365" s="679">
        <v>0</v>
      </c>
      <c r="E1365" s="678">
        <v>22301.71</v>
      </c>
      <c r="F1365" s="679">
        <v>0</v>
      </c>
      <c r="G1365" s="678">
        <v>2918924.07</v>
      </c>
      <c r="H1365" s="679">
        <v>0</v>
      </c>
      <c r="I1365" s="677" t="s">
        <v>2177</v>
      </c>
    </row>
    <row r="1366" spans="1:9" ht="17.100000000000001" customHeight="1">
      <c r="A1366" s="677">
        <v>660103</v>
      </c>
      <c r="B1366" s="677" t="s">
        <v>2178</v>
      </c>
      <c r="C1366" s="678">
        <v>18029801.27</v>
      </c>
      <c r="D1366" s="679">
        <v>0</v>
      </c>
      <c r="E1366" s="678">
        <v>762423.24</v>
      </c>
      <c r="F1366" s="679">
        <v>0</v>
      </c>
      <c r="G1366" s="678">
        <v>18792224.510000002</v>
      </c>
      <c r="H1366" s="679">
        <v>0</v>
      </c>
      <c r="I1366" s="677" t="s">
        <v>2179</v>
      </c>
    </row>
    <row r="1367" spans="1:9" ht="17.100000000000001" customHeight="1">
      <c r="A1367" s="677">
        <v>66010301</v>
      </c>
      <c r="B1367" s="677" t="s">
        <v>2178</v>
      </c>
      <c r="C1367" s="678">
        <v>18029801.27</v>
      </c>
      <c r="D1367" s="679">
        <v>0</v>
      </c>
      <c r="E1367" s="678">
        <v>762423.24</v>
      </c>
      <c r="F1367" s="679">
        <v>0</v>
      </c>
      <c r="G1367" s="678">
        <v>18792224.510000002</v>
      </c>
      <c r="H1367" s="679">
        <v>0</v>
      </c>
      <c r="I1367" s="677" t="s">
        <v>2180</v>
      </c>
    </row>
    <row r="1368" spans="1:9" ht="17.100000000000001" customHeight="1">
      <c r="A1368" s="320"/>
      <c r="B1368" s="320"/>
      <c r="C1368" s="320"/>
      <c r="D1368" s="557" t="s">
        <v>4317</v>
      </c>
      <c r="E1368" s="320" t="s">
        <v>3781</v>
      </c>
      <c r="F1368" s="320"/>
      <c r="G1368" s="320"/>
      <c r="H1368" s="320"/>
      <c r="I1368" s="320"/>
    </row>
    <row r="1369" spans="1:9" ht="17.100000000000001" customHeight="1">
      <c r="A1369" s="671"/>
      <c r="B1369" s="671"/>
      <c r="C1369" s="671"/>
      <c r="D1369" s="671"/>
      <c r="E1369" s="671"/>
      <c r="F1369" s="671"/>
      <c r="G1369" s="671"/>
      <c r="H1369" s="671"/>
      <c r="I1369" s="671"/>
    </row>
    <row r="1370" spans="1:9" ht="17.100000000000001" customHeight="1">
      <c r="A1370" s="320"/>
      <c r="B1370" s="320"/>
      <c r="C1370" s="672" t="s">
        <v>4316</v>
      </c>
      <c r="D1370" s="320"/>
      <c r="E1370" s="320"/>
      <c r="F1370" s="671"/>
      <c r="G1370" s="671"/>
      <c r="H1370" s="671"/>
      <c r="I1370" s="671"/>
    </row>
    <row r="1371" spans="1:9" ht="17.100000000000001" customHeight="1">
      <c r="A1371" s="673" t="s">
        <v>3708</v>
      </c>
      <c r="B1371" s="673"/>
      <c r="C1371" s="683">
        <v>42551</v>
      </c>
      <c r="D1371" s="673"/>
      <c r="E1371" s="557" t="s">
        <v>3709</v>
      </c>
      <c r="F1371" s="671"/>
      <c r="G1371" s="671"/>
      <c r="H1371" s="671"/>
      <c r="I1371" s="671"/>
    </row>
    <row r="1372" spans="1:9" ht="17.100000000000001" customHeight="1">
      <c r="A1372" s="676" t="s">
        <v>596</v>
      </c>
      <c r="B1372" s="676" t="s">
        <v>597</v>
      </c>
      <c r="C1372" s="676" t="s">
        <v>3710</v>
      </c>
      <c r="D1372" s="676" t="s">
        <v>3711</v>
      </c>
      <c r="E1372" s="676" t="s">
        <v>3712</v>
      </c>
      <c r="F1372" s="676" t="s">
        <v>3713</v>
      </c>
      <c r="G1372" s="676" t="s">
        <v>3714</v>
      </c>
      <c r="H1372" s="676" t="s">
        <v>3715</v>
      </c>
      <c r="I1372" s="676" t="s">
        <v>596</v>
      </c>
    </row>
    <row r="1373" spans="1:9" ht="28.5" customHeight="1">
      <c r="A1373" s="677">
        <v>660104</v>
      </c>
      <c r="B1373" s="677" t="s">
        <v>2181</v>
      </c>
      <c r="C1373" s="678">
        <v>2696672.22</v>
      </c>
      <c r="D1373" s="679">
        <v>0</v>
      </c>
      <c r="E1373" s="678">
        <v>176254.13</v>
      </c>
      <c r="F1373" s="679">
        <v>0</v>
      </c>
      <c r="G1373" s="678">
        <v>2872926.35</v>
      </c>
      <c r="H1373" s="679">
        <v>0</v>
      </c>
      <c r="I1373" s="677" t="s">
        <v>2182</v>
      </c>
    </row>
    <row r="1374" spans="1:9" ht="24">
      <c r="A1374" s="677">
        <v>66010401</v>
      </c>
      <c r="B1374" s="677" t="s">
        <v>2181</v>
      </c>
      <c r="C1374" s="678">
        <v>2696672.22</v>
      </c>
      <c r="D1374" s="679">
        <v>0</v>
      </c>
      <c r="E1374" s="678">
        <v>176254.13</v>
      </c>
      <c r="F1374" s="679">
        <v>0</v>
      </c>
      <c r="G1374" s="678">
        <v>2872926.35</v>
      </c>
      <c r="H1374" s="679">
        <v>0</v>
      </c>
      <c r="I1374" s="677" t="s">
        <v>2183</v>
      </c>
    </row>
    <row r="1375" spans="1:9">
      <c r="A1375" s="677">
        <v>660105</v>
      </c>
      <c r="B1375" s="677" t="s">
        <v>2184</v>
      </c>
      <c r="C1375" s="678">
        <v>25533192.920000002</v>
      </c>
      <c r="D1375" s="679">
        <v>0</v>
      </c>
      <c r="E1375" s="678">
        <v>17581.2</v>
      </c>
      <c r="F1375" s="679">
        <v>0</v>
      </c>
      <c r="G1375" s="678">
        <v>25550774.120000001</v>
      </c>
      <c r="H1375" s="679">
        <v>0</v>
      </c>
      <c r="I1375" s="677" t="s">
        <v>2185</v>
      </c>
    </row>
    <row r="1376" spans="1:9" ht="24">
      <c r="A1376" s="677">
        <v>66010501</v>
      </c>
      <c r="B1376" s="677" t="s">
        <v>2184</v>
      </c>
      <c r="C1376" s="678">
        <v>25533192.920000002</v>
      </c>
      <c r="D1376" s="679">
        <v>0</v>
      </c>
      <c r="E1376" s="678">
        <v>17581.2</v>
      </c>
      <c r="F1376" s="679">
        <v>0</v>
      </c>
      <c r="G1376" s="678">
        <v>25550774.120000001</v>
      </c>
      <c r="H1376" s="679">
        <v>0</v>
      </c>
      <c r="I1376" s="677" t="s">
        <v>2186</v>
      </c>
    </row>
    <row r="1377" spans="1:9" ht="28.5" customHeight="1">
      <c r="A1377" s="677">
        <v>660106</v>
      </c>
      <c r="B1377" s="677" t="s">
        <v>2187</v>
      </c>
      <c r="C1377" s="678">
        <v>223805.16</v>
      </c>
      <c r="D1377" s="679">
        <v>0</v>
      </c>
      <c r="E1377" s="678">
        <v>13948.72</v>
      </c>
      <c r="F1377" s="679">
        <v>0</v>
      </c>
      <c r="G1377" s="678">
        <v>237753.88</v>
      </c>
      <c r="H1377" s="679">
        <v>0</v>
      </c>
      <c r="I1377" s="677" t="s">
        <v>2188</v>
      </c>
    </row>
    <row r="1378" spans="1:9" ht="17.100000000000001" customHeight="1">
      <c r="A1378" s="677">
        <v>66010601</v>
      </c>
      <c r="B1378" s="677" t="s">
        <v>2187</v>
      </c>
      <c r="C1378" s="678">
        <v>223805.16</v>
      </c>
      <c r="D1378" s="679">
        <v>0</v>
      </c>
      <c r="E1378" s="678">
        <v>13948.72</v>
      </c>
      <c r="F1378" s="679">
        <v>0</v>
      </c>
      <c r="G1378" s="678">
        <v>237753.88</v>
      </c>
      <c r="H1378" s="679">
        <v>0</v>
      </c>
      <c r="I1378" s="677" t="s">
        <v>2189</v>
      </c>
    </row>
    <row r="1379" spans="1:9" ht="17.100000000000001" customHeight="1">
      <c r="A1379" s="677">
        <v>660107</v>
      </c>
      <c r="B1379" s="677" t="s">
        <v>2190</v>
      </c>
      <c r="C1379" s="678">
        <v>133005.68</v>
      </c>
      <c r="D1379" s="679">
        <v>0</v>
      </c>
      <c r="E1379" s="678">
        <v>28500000</v>
      </c>
      <c r="F1379" s="679">
        <v>0</v>
      </c>
      <c r="G1379" s="678">
        <v>28633005.68</v>
      </c>
      <c r="H1379" s="679">
        <v>0</v>
      </c>
      <c r="I1379" s="677" t="s">
        <v>2191</v>
      </c>
    </row>
    <row r="1380" spans="1:9" ht="17.100000000000001" customHeight="1">
      <c r="A1380" s="677">
        <v>66010702</v>
      </c>
      <c r="B1380" s="677" t="s">
        <v>2192</v>
      </c>
      <c r="C1380" s="678">
        <v>133005.68</v>
      </c>
      <c r="D1380" s="679">
        <v>0</v>
      </c>
      <c r="E1380" s="679">
        <v>0</v>
      </c>
      <c r="F1380" s="679">
        <v>0</v>
      </c>
      <c r="G1380" s="678">
        <v>133005.68</v>
      </c>
      <c r="H1380" s="679">
        <v>0</v>
      </c>
      <c r="I1380" s="677" t="s">
        <v>2193</v>
      </c>
    </row>
    <row r="1381" spans="1:9" ht="17.100000000000001" customHeight="1">
      <c r="A1381" s="677">
        <v>66010703</v>
      </c>
      <c r="B1381" s="677" t="s">
        <v>2710</v>
      </c>
      <c r="C1381" s="679">
        <v>0</v>
      </c>
      <c r="D1381" s="679">
        <v>0</v>
      </c>
      <c r="E1381" s="678">
        <v>28500000</v>
      </c>
      <c r="F1381" s="679">
        <v>0</v>
      </c>
      <c r="G1381" s="678">
        <v>28500000</v>
      </c>
      <c r="H1381" s="679">
        <v>0</v>
      </c>
      <c r="I1381" s="677" t="s">
        <v>2711</v>
      </c>
    </row>
    <row r="1382" spans="1:9" ht="17.100000000000001" customHeight="1">
      <c r="A1382" s="677">
        <v>660108</v>
      </c>
      <c r="B1382" s="677" t="s">
        <v>2194</v>
      </c>
      <c r="C1382" s="678">
        <v>18220244.32</v>
      </c>
      <c r="D1382" s="679">
        <v>0</v>
      </c>
      <c r="E1382" s="678">
        <v>3253876.22</v>
      </c>
      <c r="F1382" s="679">
        <v>0</v>
      </c>
      <c r="G1382" s="678">
        <v>21474120.539999999</v>
      </c>
      <c r="H1382" s="679">
        <v>0</v>
      </c>
      <c r="I1382" s="677" t="s">
        <v>2195</v>
      </c>
    </row>
    <row r="1383" spans="1:9" ht="17.100000000000001" customHeight="1">
      <c r="A1383" s="677">
        <v>66010801</v>
      </c>
      <c r="B1383" s="677" t="s">
        <v>2194</v>
      </c>
      <c r="C1383" s="678">
        <v>18220244.32</v>
      </c>
      <c r="D1383" s="679">
        <v>0</v>
      </c>
      <c r="E1383" s="678">
        <v>3253876.22</v>
      </c>
      <c r="F1383" s="679">
        <v>0</v>
      </c>
      <c r="G1383" s="678">
        <v>21474120.539999999</v>
      </c>
      <c r="H1383" s="679">
        <v>0</v>
      </c>
      <c r="I1383" s="677" t="s">
        <v>2196</v>
      </c>
    </row>
    <row r="1384" spans="1:9" ht="17.100000000000001" customHeight="1">
      <c r="A1384" s="677">
        <v>660109</v>
      </c>
      <c r="B1384" s="677" t="s">
        <v>2197</v>
      </c>
      <c r="C1384" s="678">
        <v>347488</v>
      </c>
      <c r="D1384" s="679">
        <v>0</v>
      </c>
      <c r="E1384" s="679">
        <v>0</v>
      </c>
      <c r="F1384" s="679">
        <v>0</v>
      </c>
      <c r="G1384" s="678">
        <v>347488</v>
      </c>
      <c r="H1384" s="679">
        <v>0</v>
      </c>
      <c r="I1384" s="677" t="s">
        <v>2198</v>
      </c>
    </row>
    <row r="1385" spans="1:9" ht="17.100000000000001" customHeight="1">
      <c r="A1385" s="677">
        <v>66010901</v>
      </c>
      <c r="B1385" s="677" t="s">
        <v>2197</v>
      </c>
      <c r="C1385" s="678">
        <v>347488</v>
      </c>
      <c r="D1385" s="679">
        <v>0</v>
      </c>
      <c r="E1385" s="679">
        <v>0</v>
      </c>
      <c r="F1385" s="679">
        <v>0</v>
      </c>
      <c r="G1385" s="678">
        <v>347488</v>
      </c>
      <c r="H1385" s="679">
        <v>0</v>
      </c>
      <c r="I1385" s="677" t="s">
        <v>2199</v>
      </c>
    </row>
    <row r="1386" spans="1:9" ht="17.100000000000001" customHeight="1">
      <c r="A1386" s="677">
        <v>660110</v>
      </c>
      <c r="B1386" s="677" t="s">
        <v>4063</v>
      </c>
      <c r="C1386" s="678">
        <v>4400</v>
      </c>
      <c r="D1386" s="679">
        <v>0</v>
      </c>
      <c r="E1386" s="679">
        <v>330</v>
      </c>
      <c r="F1386" s="679">
        <v>0</v>
      </c>
      <c r="G1386" s="678">
        <v>4730</v>
      </c>
      <c r="H1386" s="679">
        <v>0</v>
      </c>
      <c r="I1386" s="677" t="s">
        <v>4064</v>
      </c>
    </row>
    <row r="1387" spans="1:9" ht="17.100000000000001" customHeight="1">
      <c r="A1387" s="677">
        <v>66011001</v>
      </c>
      <c r="B1387" s="677" t="s">
        <v>4063</v>
      </c>
      <c r="C1387" s="678">
        <v>4400</v>
      </c>
      <c r="D1387" s="679">
        <v>0</v>
      </c>
      <c r="E1387" s="679">
        <v>330</v>
      </c>
      <c r="F1387" s="679">
        <v>0</v>
      </c>
      <c r="G1387" s="678">
        <v>4730</v>
      </c>
      <c r="H1387" s="679">
        <v>0</v>
      </c>
      <c r="I1387" s="677" t="s">
        <v>4065</v>
      </c>
    </row>
    <row r="1388" spans="1:9" ht="17.100000000000001" customHeight="1">
      <c r="A1388" s="677">
        <v>660111</v>
      </c>
      <c r="B1388" s="677" t="s">
        <v>2200</v>
      </c>
      <c r="C1388" s="678">
        <v>7783931.8700000001</v>
      </c>
      <c r="D1388" s="679">
        <v>0</v>
      </c>
      <c r="E1388" s="678">
        <v>183962.26</v>
      </c>
      <c r="F1388" s="679">
        <v>0</v>
      </c>
      <c r="G1388" s="678">
        <v>7967894.1299999999</v>
      </c>
      <c r="H1388" s="679">
        <v>0</v>
      </c>
      <c r="I1388" s="677" t="s">
        <v>2201</v>
      </c>
    </row>
    <row r="1389" spans="1:9" ht="17.100000000000001" customHeight="1">
      <c r="A1389" s="677">
        <v>66011101</v>
      </c>
      <c r="B1389" s="677" t="s">
        <v>2200</v>
      </c>
      <c r="C1389" s="678">
        <v>7783931.8700000001</v>
      </c>
      <c r="D1389" s="679">
        <v>0</v>
      </c>
      <c r="E1389" s="678">
        <v>183962.26</v>
      </c>
      <c r="F1389" s="679">
        <v>0</v>
      </c>
      <c r="G1389" s="678">
        <v>7967894.1299999999</v>
      </c>
      <c r="H1389" s="679">
        <v>0</v>
      </c>
      <c r="I1389" s="677" t="s">
        <v>2202</v>
      </c>
    </row>
    <row r="1390" spans="1:9" ht="17.100000000000001" customHeight="1">
      <c r="A1390" s="677">
        <v>660112</v>
      </c>
      <c r="B1390" s="677" t="s">
        <v>4102</v>
      </c>
      <c r="C1390" s="678">
        <v>1101000</v>
      </c>
      <c r="D1390" s="679">
        <v>0</v>
      </c>
      <c r="E1390" s="679">
        <v>0</v>
      </c>
      <c r="F1390" s="679">
        <v>0</v>
      </c>
      <c r="G1390" s="678">
        <v>1101000</v>
      </c>
      <c r="H1390" s="679">
        <v>0</v>
      </c>
      <c r="I1390" s="677" t="s">
        <v>4103</v>
      </c>
    </row>
    <row r="1391" spans="1:9" ht="17.100000000000001" customHeight="1">
      <c r="A1391" s="677">
        <v>66011201</v>
      </c>
      <c r="B1391" s="677" t="s">
        <v>4102</v>
      </c>
      <c r="C1391" s="678">
        <v>1101000</v>
      </c>
      <c r="D1391" s="679">
        <v>0</v>
      </c>
      <c r="E1391" s="679">
        <v>0</v>
      </c>
      <c r="F1391" s="679">
        <v>0</v>
      </c>
      <c r="G1391" s="678">
        <v>1101000</v>
      </c>
      <c r="H1391" s="679">
        <v>0</v>
      </c>
      <c r="I1391" s="677" t="s">
        <v>4104</v>
      </c>
    </row>
    <row r="1392" spans="1:9" ht="17.100000000000001" customHeight="1">
      <c r="A1392" s="677">
        <v>660116</v>
      </c>
      <c r="B1392" s="677" t="s">
        <v>3497</v>
      </c>
      <c r="C1392" s="679">
        <v>240</v>
      </c>
      <c r="D1392" s="679">
        <v>0</v>
      </c>
      <c r="E1392" s="679">
        <v>0</v>
      </c>
      <c r="F1392" s="679">
        <v>0</v>
      </c>
      <c r="G1392" s="679">
        <v>240</v>
      </c>
      <c r="H1392" s="679">
        <v>0</v>
      </c>
      <c r="I1392" s="677" t="s">
        <v>3498</v>
      </c>
    </row>
    <row r="1393" spans="1:9" ht="17.100000000000001" customHeight="1">
      <c r="A1393" s="677">
        <v>66011601</v>
      </c>
      <c r="B1393" s="677" t="s">
        <v>3497</v>
      </c>
      <c r="C1393" s="679">
        <v>240</v>
      </c>
      <c r="D1393" s="679">
        <v>0</v>
      </c>
      <c r="E1393" s="679">
        <v>0</v>
      </c>
      <c r="F1393" s="679">
        <v>0</v>
      </c>
      <c r="G1393" s="679">
        <v>240</v>
      </c>
      <c r="H1393" s="679">
        <v>0</v>
      </c>
      <c r="I1393" s="677" t="s">
        <v>3499</v>
      </c>
    </row>
    <row r="1394" spans="1:9" ht="17.100000000000001" customHeight="1">
      <c r="A1394" s="677">
        <v>660117</v>
      </c>
      <c r="B1394" s="677" t="s">
        <v>2203</v>
      </c>
      <c r="C1394" s="678">
        <v>9683757.6799999997</v>
      </c>
      <c r="D1394" s="679">
        <v>0</v>
      </c>
      <c r="E1394" s="678">
        <v>581362.26</v>
      </c>
      <c r="F1394" s="679">
        <v>0</v>
      </c>
      <c r="G1394" s="678">
        <v>10265119.939999999</v>
      </c>
      <c r="H1394" s="679">
        <v>0</v>
      </c>
      <c r="I1394" s="677" t="s">
        <v>2204</v>
      </c>
    </row>
    <row r="1395" spans="1:9" ht="17.100000000000001" customHeight="1">
      <c r="A1395" s="677">
        <v>66011701</v>
      </c>
      <c r="B1395" s="677" t="s">
        <v>2203</v>
      </c>
      <c r="C1395" s="678">
        <v>9683757.6799999997</v>
      </c>
      <c r="D1395" s="679">
        <v>0</v>
      </c>
      <c r="E1395" s="678">
        <v>581362.26</v>
      </c>
      <c r="F1395" s="679">
        <v>0</v>
      </c>
      <c r="G1395" s="678">
        <v>10265119.939999999</v>
      </c>
      <c r="H1395" s="679">
        <v>0</v>
      </c>
      <c r="I1395" s="677" t="s">
        <v>2205</v>
      </c>
    </row>
    <row r="1396" spans="1:9" ht="17.100000000000001" customHeight="1">
      <c r="A1396" s="677">
        <v>660118</v>
      </c>
      <c r="B1396" s="677" t="s">
        <v>2206</v>
      </c>
      <c r="C1396" s="678">
        <v>2254283.56</v>
      </c>
      <c r="D1396" s="679">
        <v>0</v>
      </c>
      <c r="E1396" s="678">
        <v>58306.8</v>
      </c>
      <c r="F1396" s="679">
        <v>0</v>
      </c>
      <c r="G1396" s="678">
        <v>2312590.36</v>
      </c>
      <c r="H1396" s="679">
        <v>0</v>
      </c>
      <c r="I1396" s="677" t="s">
        <v>2207</v>
      </c>
    </row>
    <row r="1397" spans="1:9" ht="17.100000000000001" customHeight="1">
      <c r="A1397" s="677">
        <v>66011801</v>
      </c>
      <c r="B1397" s="677" t="s">
        <v>2206</v>
      </c>
      <c r="C1397" s="678">
        <v>2254283.56</v>
      </c>
      <c r="D1397" s="679">
        <v>0</v>
      </c>
      <c r="E1397" s="678">
        <v>58306.8</v>
      </c>
      <c r="F1397" s="679">
        <v>0</v>
      </c>
      <c r="G1397" s="678">
        <v>2312590.36</v>
      </c>
      <c r="H1397" s="679">
        <v>0</v>
      </c>
      <c r="I1397" s="677" t="s">
        <v>2208</v>
      </c>
    </row>
    <row r="1398" spans="1:9" ht="17.100000000000001" customHeight="1">
      <c r="A1398" s="677">
        <v>660119</v>
      </c>
      <c r="B1398" s="677" t="s">
        <v>2209</v>
      </c>
      <c r="C1398" s="678">
        <v>15433619.470000001</v>
      </c>
      <c r="D1398" s="679">
        <v>0</v>
      </c>
      <c r="E1398" s="678">
        <v>1828844.02</v>
      </c>
      <c r="F1398" s="679">
        <v>0</v>
      </c>
      <c r="G1398" s="678">
        <v>17262463.489999998</v>
      </c>
      <c r="H1398" s="679">
        <v>0</v>
      </c>
      <c r="I1398" s="677" t="s">
        <v>2210</v>
      </c>
    </row>
    <row r="1399" spans="1:9" ht="17.100000000000001" customHeight="1">
      <c r="A1399" s="677">
        <v>66011901</v>
      </c>
      <c r="B1399" s="677" t="s">
        <v>2209</v>
      </c>
      <c r="C1399" s="678">
        <v>15433619.470000001</v>
      </c>
      <c r="D1399" s="679">
        <v>0</v>
      </c>
      <c r="E1399" s="678">
        <v>1828844.02</v>
      </c>
      <c r="F1399" s="679">
        <v>0</v>
      </c>
      <c r="G1399" s="678">
        <v>17262463.489999998</v>
      </c>
      <c r="H1399" s="679">
        <v>0</v>
      </c>
      <c r="I1399" s="677" t="s">
        <v>2211</v>
      </c>
    </row>
    <row r="1400" spans="1:9" ht="17.100000000000001" customHeight="1">
      <c r="A1400" s="677">
        <v>660120</v>
      </c>
      <c r="B1400" s="677" t="s">
        <v>2212</v>
      </c>
      <c r="C1400" s="678">
        <v>1089573.57</v>
      </c>
      <c r="D1400" s="679">
        <v>0</v>
      </c>
      <c r="E1400" s="678">
        <v>20182</v>
      </c>
      <c r="F1400" s="679">
        <v>0</v>
      </c>
      <c r="G1400" s="678">
        <v>1109755.57</v>
      </c>
      <c r="H1400" s="679">
        <v>0</v>
      </c>
      <c r="I1400" s="677" t="s">
        <v>2213</v>
      </c>
    </row>
    <row r="1401" spans="1:9" ht="17.100000000000001" customHeight="1">
      <c r="A1401" s="677">
        <v>66012001</v>
      </c>
      <c r="B1401" s="677" t="s">
        <v>2212</v>
      </c>
      <c r="C1401" s="678">
        <v>1089573.57</v>
      </c>
      <c r="D1401" s="679">
        <v>0</v>
      </c>
      <c r="E1401" s="678">
        <v>20182</v>
      </c>
      <c r="F1401" s="679">
        <v>0</v>
      </c>
      <c r="G1401" s="678">
        <v>1109755.57</v>
      </c>
      <c r="H1401" s="679">
        <v>0</v>
      </c>
      <c r="I1401" s="677" t="s">
        <v>2214</v>
      </c>
    </row>
    <row r="1402" spans="1:9" ht="17.100000000000001" customHeight="1">
      <c r="A1402" s="677">
        <v>660121</v>
      </c>
      <c r="B1402" s="677" t="s">
        <v>2215</v>
      </c>
      <c r="C1402" s="678">
        <v>1394930.72</v>
      </c>
      <c r="D1402" s="679">
        <v>0</v>
      </c>
      <c r="E1402" s="678">
        <v>51031</v>
      </c>
      <c r="F1402" s="679">
        <v>0</v>
      </c>
      <c r="G1402" s="678">
        <v>1445961.72</v>
      </c>
      <c r="H1402" s="679">
        <v>0</v>
      </c>
      <c r="I1402" s="677" t="s">
        <v>2216</v>
      </c>
    </row>
    <row r="1403" spans="1:9" ht="17.100000000000001" customHeight="1">
      <c r="A1403" s="677">
        <v>66012101</v>
      </c>
      <c r="B1403" s="677" t="s">
        <v>2215</v>
      </c>
      <c r="C1403" s="678">
        <v>1394930.72</v>
      </c>
      <c r="D1403" s="679">
        <v>0</v>
      </c>
      <c r="E1403" s="678">
        <v>51031</v>
      </c>
      <c r="F1403" s="679">
        <v>0</v>
      </c>
      <c r="G1403" s="678">
        <v>1445961.72</v>
      </c>
      <c r="H1403" s="679">
        <v>0</v>
      </c>
      <c r="I1403" s="677" t="s">
        <v>2217</v>
      </c>
    </row>
    <row r="1404" spans="1:9" ht="17.100000000000001" customHeight="1">
      <c r="A1404" s="677">
        <v>660122</v>
      </c>
      <c r="B1404" s="677" t="s">
        <v>4118</v>
      </c>
      <c r="C1404" s="678">
        <v>2168859.0099999998</v>
      </c>
      <c r="D1404" s="679">
        <v>0</v>
      </c>
      <c r="E1404" s="679">
        <v>0</v>
      </c>
      <c r="F1404" s="679">
        <v>0</v>
      </c>
      <c r="G1404" s="678">
        <v>2168859.0099999998</v>
      </c>
      <c r="H1404" s="679">
        <v>0</v>
      </c>
      <c r="I1404" s="677" t="s">
        <v>4119</v>
      </c>
    </row>
    <row r="1405" spans="1:9" ht="17.100000000000001" customHeight="1">
      <c r="A1405" s="677">
        <v>66012201</v>
      </c>
      <c r="B1405" s="677" t="s">
        <v>4118</v>
      </c>
      <c r="C1405" s="678">
        <v>2168859.0099999998</v>
      </c>
      <c r="D1405" s="679">
        <v>0</v>
      </c>
      <c r="E1405" s="679">
        <v>0</v>
      </c>
      <c r="F1405" s="679">
        <v>0</v>
      </c>
      <c r="G1405" s="678">
        <v>2168859.0099999998</v>
      </c>
      <c r="H1405" s="679">
        <v>0</v>
      </c>
      <c r="I1405" s="677" t="s">
        <v>4120</v>
      </c>
    </row>
    <row r="1406" spans="1:9" ht="17.100000000000001" customHeight="1">
      <c r="A1406" s="677">
        <v>660123</v>
      </c>
      <c r="B1406" s="677" t="s">
        <v>2218</v>
      </c>
      <c r="C1406" s="678">
        <v>1146500</v>
      </c>
      <c r="D1406" s="679">
        <v>0</v>
      </c>
      <c r="E1406" s="679">
        <v>0</v>
      </c>
      <c r="F1406" s="679">
        <v>0</v>
      </c>
      <c r="G1406" s="678">
        <v>1146500</v>
      </c>
      <c r="H1406" s="679">
        <v>0</v>
      </c>
      <c r="I1406" s="677" t="s">
        <v>2219</v>
      </c>
    </row>
    <row r="1407" spans="1:9" ht="17.100000000000001" customHeight="1">
      <c r="A1407" s="320"/>
      <c r="B1407" s="320"/>
      <c r="C1407" s="320"/>
      <c r="D1407" s="557" t="s">
        <v>4317</v>
      </c>
      <c r="E1407" s="320" t="s">
        <v>3782</v>
      </c>
      <c r="F1407" s="320"/>
      <c r="G1407" s="320"/>
      <c r="H1407" s="320"/>
      <c r="I1407" s="320"/>
    </row>
    <row r="1408" spans="1:9" ht="17.100000000000001" customHeight="1">
      <c r="A1408" s="671"/>
      <c r="B1408" s="671"/>
      <c r="C1408" s="671"/>
      <c r="D1408" s="671"/>
      <c r="E1408" s="671"/>
      <c r="F1408" s="671"/>
      <c r="G1408" s="671"/>
      <c r="H1408" s="671"/>
      <c r="I1408" s="671"/>
    </row>
    <row r="1409" spans="1:9" ht="17.100000000000001" customHeight="1">
      <c r="A1409" s="320"/>
      <c r="B1409" s="320"/>
      <c r="C1409" s="672" t="s">
        <v>4316</v>
      </c>
      <c r="D1409" s="320"/>
      <c r="E1409" s="320"/>
      <c r="F1409" s="671"/>
      <c r="G1409" s="671"/>
      <c r="H1409" s="671"/>
      <c r="I1409" s="671"/>
    </row>
    <row r="1410" spans="1:9" ht="17.100000000000001" customHeight="1">
      <c r="A1410" s="673" t="s">
        <v>3708</v>
      </c>
      <c r="B1410" s="673"/>
      <c r="C1410" s="683">
        <v>42551</v>
      </c>
      <c r="D1410" s="673"/>
      <c r="E1410" s="557" t="s">
        <v>3709</v>
      </c>
      <c r="F1410" s="671"/>
      <c r="G1410" s="671"/>
      <c r="H1410" s="671"/>
      <c r="I1410" s="671"/>
    </row>
    <row r="1411" spans="1:9" ht="17.100000000000001" customHeight="1">
      <c r="A1411" s="676" t="s">
        <v>596</v>
      </c>
      <c r="B1411" s="676" t="s">
        <v>597</v>
      </c>
      <c r="C1411" s="676" t="s">
        <v>3710</v>
      </c>
      <c r="D1411" s="676" t="s">
        <v>3711</v>
      </c>
      <c r="E1411" s="676" t="s">
        <v>3712</v>
      </c>
      <c r="F1411" s="676" t="s">
        <v>3713</v>
      </c>
      <c r="G1411" s="676" t="s">
        <v>3714</v>
      </c>
      <c r="H1411" s="676" t="s">
        <v>3715</v>
      </c>
      <c r="I1411" s="676" t="s">
        <v>596</v>
      </c>
    </row>
    <row r="1412" spans="1:9" ht="28.5" customHeight="1">
      <c r="A1412" s="677">
        <v>66012301</v>
      </c>
      <c r="B1412" s="677" t="s">
        <v>2218</v>
      </c>
      <c r="C1412" s="678">
        <v>1146500</v>
      </c>
      <c r="D1412" s="679">
        <v>0</v>
      </c>
      <c r="E1412" s="679">
        <v>0</v>
      </c>
      <c r="F1412" s="679">
        <v>0</v>
      </c>
      <c r="G1412" s="678">
        <v>1146500</v>
      </c>
      <c r="H1412" s="679">
        <v>0</v>
      </c>
      <c r="I1412" s="677" t="s">
        <v>2220</v>
      </c>
    </row>
    <row r="1413" spans="1:9">
      <c r="A1413" s="677">
        <v>660124</v>
      </c>
      <c r="B1413" s="677" t="s">
        <v>2221</v>
      </c>
      <c r="C1413" s="678">
        <v>2356122.61</v>
      </c>
      <c r="D1413" s="679">
        <v>0</v>
      </c>
      <c r="E1413" s="678">
        <v>848983.36</v>
      </c>
      <c r="F1413" s="679">
        <v>0</v>
      </c>
      <c r="G1413" s="678">
        <v>3205105.97</v>
      </c>
      <c r="H1413" s="679">
        <v>0</v>
      </c>
      <c r="I1413" s="677" t="s">
        <v>2222</v>
      </c>
    </row>
    <row r="1414" spans="1:9" ht="24">
      <c r="A1414" s="677">
        <v>66012401</v>
      </c>
      <c r="B1414" s="677" t="s">
        <v>4066</v>
      </c>
      <c r="C1414" s="678">
        <v>1096967.8899999999</v>
      </c>
      <c r="D1414" s="679">
        <v>0</v>
      </c>
      <c r="E1414" s="678">
        <v>739257.54</v>
      </c>
      <c r="F1414" s="679">
        <v>0</v>
      </c>
      <c r="G1414" s="678">
        <v>1836225.43</v>
      </c>
      <c r="H1414" s="679">
        <v>0</v>
      </c>
      <c r="I1414" s="677" t="s">
        <v>4067</v>
      </c>
    </row>
    <row r="1415" spans="1:9" ht="24">
      <c r="A1415" s="677">
        <v>66012403</v>
      </c>
      <c r="B1415" s="677" t="s">
        <v>2223</v>
      </c>
      <c r="C1415" s="678">
        <v>1180027.53</v>
      </c>
      <c r="D1415" s="679">
        <v>0</v>
      </c>
      <c r="E1415" s="678">
        <v>107441.02</v>
      </c>
      <c r="F1415" s="679">
        <v>0</v>
      </c>
      <c r="G1415" s="678">
        <v>1287468.55</v>
      </c>
      <c r="H1415" s="679">
        <v>0</v>
      </c>
      <c r="I1415" s="677" t="s">
        <v>2224</v>
      </c>
    </row>
    <row r="1416" spans="1:9" ht="28.5" customHeight="1">
      <c r="A1416" s="677">
        <v>66012404</v>
      </c>
      <c r="B1416" s="677" t="s">
        <v>4279</v>
      </c>
      <c r="C1416" s="678">
        <v>2040</v>
      </c>
      <c r="D1416" s="679">
        <v>0</v>
      </c>
      <c r="E1416" s="678">
        <v>2284.8000000000002</v>
      </c>
      <c r="F1416" s="679">
        <v>0</v>
      </c>
      <c r="G1416" s="678">
        <v>4324.8</v>
      </c>
      <c r="H1416" s="679">
        <v>0</v>
      </c>
      <c r="I1416" s="677" t="s">
        <v>4347</v>
      </c>
    </row>
    <row r="1417" spans="1:9" ht="17.100000000000001" customHeight="1">
      <c r="A1417" s="677">
        <v>66012405</v>
      </c>
      <c r="B1417" s="677" t="s">
        <v>4068</v>
      </c>
      <c r="C1417" s="678">
        <v>77087.19</v>
      </c>
      <c r="D1417" s="679">
        <v>0</v>
      </c>
      <c r="E1417" s="679">
        <v>0</v>
      </c>
      <c r="F1417" s="679">
        <v>0</v>
      </c>
      <c r="G1417" s="678">
        <v>77087.19</v>
      </c>
      <c r="H1417" s="679">
        <v>0</v>
      </c>
      <c r="I1417" s="677" t="s">
        <v>4069</v>
      </c>
    </row>
    <row r="1418" spans="1:9" ht="17.100000000000001" customHeight="1">
      <c r="A1418" s="677">
        <v>660125</v>
      </c>
      <c r="B1418" s="677" t="s">
        <v>2225</v>
      </c>
      <c r="C1418" s="678">
        <v>1998859.99</v>
      </c>
      <c r="D1418" s="679">
        <v>0</v>
      </c>
      <c r="E1418" s="678">
        <v>25821.9</v>
      </c>
      <c r="F1418" s="679">
        <v>0</v>
      </c>
      <c r="G1418" s="678">
        <v>2024681.89</v>
      </c>
      <c r="H1418" s="679">
        <v>0</v>
      </c>
      <c r="I1418" s="677" t="s">
        <v>2226</v>
      </c>
    </row>
    <row r="1419" spans="1:9" ht="17.100000000000001" customHeight="1">
      <c r="A1419" s="677">
        <v>66012501</v>
      </c>
      <c r="B1419" s="677" t="s">
        <v>2225</v>
      </c>
      <c r="C1419" s="678">
        <v>1998859.99</v>
      </c>
      <c r="D1419" s="679">
        <v>0</v>
      </c>
      <c r="E1419" s="678">
        <v>25821.9</v>
      </c>
      <c r="F1419" s="679">
        <v>0</v>
      </c>
      <c r="G1419" s="678">
        <v>2024681.89</v>
      </c>
      <c r="H1419" s="679">
        <v>0</v>
      </c>
      <c r="I1419" s="677" t="s">
        <v>2227</v>
      </c>
    </row>
    <row r="1420" spans="1:9" ht="17.100000000000001" customHeight="1">
      <c r="A1420" s="677">
        <v>660128</v>
      </c>
      <c r="B1420" s="677" t="s">
        <v>2228</v>
      </c>
      <c r="C1420" s="678">
        <v>11412318.09</v>
      </c>
      <c r="D1420" s="679">
        <v>0</v>
      </c>
      <c r="E1420" s="678">
        <v>177002.48</v>
      </c>
      <c r="F1420" s="679">
        <v>0</v>
      </c>
      <c r="G1420" s="678">
        <v>11589320.57</v>
      </c>
      <c r="H1420" s="679">
        <v>0</v>
      </c>
      <c r="I1420" s="677" t="s">
        <v>2229</v>
      </c>
    </row>
    <row r="1421" spans="1:9" ht="17.100000000000001" customHeight="1">
      <c r="A1421" s="677">
        <v>66012801</v>
      </c>
      <c r="B1421" s="677" t="s">
        <v>2228</v>
      </c>
      <c r="C1421" s="678">
        <v>11412318.09</v>
      </c>
      <c r="D1421" s="679">
        <v>0</v>
      </c>
      <c r="E1421" s="678">
        <v>177002.48</v>
      </c>
      <c r="F1421" s="679">
        <v>0</v>
      </c>
      <c r="G1421" s="678">
        <v>11589320.57</v>
      </c>
      <c r="H1421" s="679">
        <v>0</v>
      </c>
      <c r="I1421" s="677" t="s">
        <v>2230</v>
      </c>
    </row>
    <row r="1422" spans="1:9" ht="17.100000000000001" customHeight="1">
      <c r="A1422" s="677">
        <v>660129</v>
      </c>
      <c r="B1422" s="677" t="s">
        <v>2231</v>
      </c>
      <c r="C1422" s="678">
        <v>520439658.56999999</v>
      </c>
      <c r="D1422" s="679">
        <v>0</v>
      </c>
      <c r="E1422" s="678">
        <v>57038597.93</v>
      </c>
      <c r="F1422" s="679">
        <v>0</v>
      </c>
      <c r="G1422" s="678">
        <v>577478256.5</v>
      </c>
      <c r="H1422" s="679">
        <v>0</v>
      </c>
      <c r="I1422" s="677" t="s">
        <v>2232</v>
      </c>
    </row>
    <row r="1423" spans="1:9" ht="17.100000000000001" customHeight="1">
      <c r="A1423" s="677">
        <v>66012901</v>
      </c>
      <c r="B1423" s="677" t="s">
        <v>2233</v>
      </c>
      <c r="C1423" s="678">
        <v>246708793.49000001</v>
      </c>
      <c r="D1423" s="679">
        <v>0</v>
      </c>
      <c r="E1423" s="678">
        <v>56518877.420000002</v>
      </c>
      <c r="F1423" s="679">
        <v>0</v>
      </c>
      <c r="G1423" s="678">
        <v>303227670.91000003</v>
      </c>
      <c r="H1423" s="679">
        <v>0</v>
      </c>
      <c r="I1423" s="677" t="s">
        <v>2234</v>
      </c>
    </row>
    <row r="1424" spans="1:9" ht="17.100000000000001" customHeight="1">
      <c r="A1424" s="677">
        <v>66012902</v>
      </c>
      <c r="B1424" s="677" t="s">
        <v>2235</v>
      </c>
      <c r="C1424" s="678">
        <v>267012598.91</v>
      </c>
      <c r="D1424" s="679">
        <v>0</v>
      </c>
      <c r="E1424" s="679">
        <v>0</v>
      </c>
      <c r="F1424" s="679">
        <v>0</v>
      </c>
      <c r="G1424" s="678">
        <v>267012598.91</v>
      </c>
      <c r="H1424" s="679">
        <v>0</v>
      </c>
      <c r="I1424" s="677" t="s">
        <v>2236</v>
      </c>
    </row>
    <row r="1425" spans="1:9" ht="17.100000000000001" customHeight="1">
      <c r="A1425" s="677">
        <v>66012903</v>
      </c>
      <c r="B1425" s="677" t="s">
        <v>2237</v>
      </c>
      <c r="C1425" s="678">
        <v>5495887.3300000001</v>
      </c>
      <c r="D1425" s="679">
        <v>0</v>
      </c>
      <c r="E1425" s="678">
        <v>280101.69</v>
      </c>
      <c r="F1425" s="679">
        <v>0</v>
      </c>
      <c r="G1425" s="678">
        <v>5775989.0199999996</v>
      </c>
      <c r="H1425" s="679">
        <v>0</v>
      </c>
      <c r="I1425" s="677" t="s">
        <v>2238</v>
      </c>
    </row>
    <row r="1426" spans="1:9" ht="17.100000000000001" customHeight="1">
      <c r="A1426" s="677">
        <v>66012905</v>
      </c>
      <c r="B1426" s="677" t="s">
        <v>2239</v>
      </c>
      <c r="C1426" s="678">
        <v>1222378.8400000001</v>
      </c>
      <c r="D1426" s="679">
        <v>0</v>
      </c>
      <c r="E1426" s="678">
        <v>239618.82</v>
      </c>
      <c r="F1426" s="679">
        <v>0</v>
      </c>
      <c r="G1426" s="678">
        <v>1461997.66</v>
      </c>
      <c r="H1426" s="679">
        <v>0</v>
      </c>
      <c r="I1426" s="677" t="s">
        <v>2240</v>
      </c>
    </row>
    <row r="1427" spans="1:9" ht="17.100000000000001" customHeight="1">
      <c r="A1427" s="677">
        <v>660130</v>
      </c>
      <c r="B1427" s="677" t="s">
        <v>2241</v>
      </c>
      <c r="C1427" s="678">
        <v>34286332.490000002</v>
      </c>
      <c r="D1427" s="679">
        <v>0</v>
      </c>
      <c r="E1427" s="678">
        <v>7181539.3899999997</v>
      </c>
      <c r="F1427" s="679">
        <v>0</v>
      </c>
      <c r="G1427" s="678">
        <v>41467871.880000003</v>
      </c>
      <c r="H1427" s="679">
        <v>0</v>
      </c>
      <c r="I1427" s="677" t="s">
        <v>2242</v>
      </c>
    </row>
    <row r="1428" spans="1:9" ht="17.100000000000001" customHeight="1">
      <c r="A1428" s="677">
        <v>66013001</v>
      </c>
      <c r="B1428" s="677" t="s">
        <v>2241</v>
      </c>
      <c r="C1428" s="678">
        <v>34286332.490000002</v>
      </c>
      <c r="D1428" s="679">
        <v>0</v>
      </c>
      <c r="E1428" s="678">
        <v>7181539.3899999997</v>
      </c>
      <c r="F1428" s="679">
        <v>0</v>
      </c>
      <c r="G1428" s="678">
        <v>41467871.880000003</v>
      </c>
      <c r="H1428" s="679">
        <v>0</v>
      </c>
      <c r="I1428" s="677" t="s">
        <v>2243</v>
      </c>
    </row>
    <row r="1429" spans="1:9" ht="17.100000000000001" customHeight="1">
      <c r="A1429" s="677">
        <v>660131</v>
      </c>
      <c r="B1429" s="677" t="s">
        <v>2244</v>
      </c>
      <c r="C1429" s="678">
        <v>1957184.49</v>
      </c>
      <c r="D1429" s="679">
        <v>0</v>
      </c>
      <c r="E1429" s="678">
        <v>139411.29</v>
      </c>
      <c r="F1429" s="679">
        <v>0</v>
      </c>
      <c r="G1429" s="678">
        <v>2096595.78</v>
      </c>
      <c r="H1429" s="679">
        <v>0</v>
      </c>
      <c r="I1429" s="677" t="s">
        <v>2245</v>
      </c>
    </row>
    <row r="1430" spans="1:9" ht="17.100000000000001" customHeight="1">
      <c r="A1430" s="677">
        <v>66013101</v>
      </c>
      <c r="B1430" s="677" t="s">
        <v>2244</v>
      </c>
      <c r="C1430" s="678">
        <v>1957184.49</v>
      </c>
      <c r="D1430" s="679">
        <v>0</v>
      </c>
      <c r="E1430" s="678">
        <v>139411.29</v>
      </c>
      <c r="F1430" s="679">
        <v>0</v>
      </c>
      <c r="G1430" s="678">
        <v>2096595.78</v>
      </c>
      <c r="H1430" s="679">
        <v>0</v>
      </c>
      <c r="I1430" s="677" t="s">
        <v>2246</v>
      </c>
    </row>
    <row r="1431" spans="1:9" ht="17.100000000000001" customHeight="1">
      <c r="A1431" s="677">
        <v>660132</v>
      </c>
      <c r="B1431" s="677" t="s">
        <v>4070</v>
      </c>
      <c r="C1431" s="678">
        <v>8604271.0299999993</v>
      </c>
      <c r="D1431" s="679">
        <v>0</v>
      </c>
      <c r="E1431" s="678">
        <v>2945294.1</v>
      </c>
      <c r="F1431" s="679">
        <v>0</v>
      </c>
      <c r="G1431" s="678">
        <v>11549565.130000001</v>
      </c>
      <c r="H1431" s="679">
        <v>0</v>
      </c>
      <c r="I1431" s="677" t="s">
        <v>4071</v>
      </c>
    </row>
    <row r="1432" spans="1:9" ht="17.100000000000001" customHeight="1">
      <c r="A1432" s="677">
        <v>66013201</v>
      </c>
      <c r="B1432" s="677" t="s">
        <v>4070</v>
      </c>
      <c r="C1432" s="678">
        <v>8604271.0299999993</v>
      </c>
      <c r="D1432" s="679">
        <v>0</v>
      </c>
      <c r="E1432" s="678">
        <v>2945294.1</v>
      </c>
      <c r="F1432" s="679">
        <v>0</v>
      </c>
      <c r="G1432" s="678">
        <v>11549565.130000001</v>
      </c>
      <c r="H1432" s="679">
        <v>0</v>
      </c>
      <c r="I1432" s="677" t="s">
        <v>4072</v>
      </c>
    </row>
    <row r="1433" spans="1:9" ht="17.100000000000001" customHeight="1">
      <c r="A1433" s="677">
        <v>660134</v>
      </c>
      <c r="B1433" s="677" t="s">
        <v>2247</v>
      </c>
      <c r="C1433" s="678">
        <v>63020452.549999997</v>
      </c>
      <c r="D1433" s="679">
        <v>0</v>
      </c>
      <c r="E1433" s="678">
        <v>12501922.68</v>
      </c>
      <c r="F1433" s="679">
        <v>0</v>
      </c>
      <c r="G1433" s="678">
        <v>75522375.230000004</v>
      </c>
      <c r="H1433" s="679">
        <v>0</v>
      </c>
      <c r="I1433" s="677" t="s">
        <v>2248</v>
      </c>
    </row>
    <row r="1434" spans="1:9" ht="17.100000000000001" customHeight="1">
      <c r="A1434" s="677">
        <v>66013401</v>
      </c>
      <c r="B1434" s="677" t="s">
        <v>2247</v>
      </c>
      <c r="C1434" s="678">
        <v>63020452.549999997</v>
      </c>
      <c r="D1434" s="679">
        <v>0</v>
      </c>
      <c r="E1434" s="678">
        <v>12501922.68</v>
      </c>
      <c r="F1434" s="679">
        <v>0</v>
      </c>
      <c r="G1434" s="678">
        <v>75522375.230000004</v>
      </c>
      <c r="H1434" s="679">
        <v>0</v>
      </c>
      <c r="I1434" s="677" t="s">
        <v>2249</v>
      </c>
    </row>
    <row r="1435" spans="1:9" ht="17.100000000000001" customHeight="1">
      <c r="A1435" s="677">
        <v>660135</v>
      </c>
      <c r="B1435" s="677" t="s">
        <v>2250</v>
      </c>
      <c r="C1435" s="678">
        <v>36426737.789999999</v>
      </c>
      <c r="D1435" s="679">
        <v>0</v>
      </c>
      <c r="E1435" s="678">
        <v>7220948.1600000001</v>
      </c>
      <c r="F1435" s="679">
        <v>0</v>
      </c>
      <c r="G1435" s="678">
        <v>43647685.950000003</v>
      </c>
      <c r="H1435" s="679">
        <v>0</v>
      </c>
      <c r="I1435" s="677" t="s">
        <v>2251</v>
      </c>
    </row>
    <row r="1436" spans="1:9" ht="17.100000000000001" customHeight="1">
      <c r="A1436" s="677">
        <v>66013501</v>
      </c>
      <c r="B1436" s="677" t="s">
        <v>2250</v>
      </c>
      <c r="C1436" s="678">
        <v>36426737.789999999</v>
      </c>
      <c r="D1436" s="679">
        <v>0</v>
      </c>
      <c r="E1436" s="678">
        <v>7220948.1600000001</v>
      </c>
      <c r="F1436" s="679">
        <v>0</v>
      </c>
      <c r="G1436" s="678">
        <v>43647685.950000003</v>
      </c>
      <c r="H1436" s="679">
        <v>0</v>
      </c>
      <c r="I1436" s="677" t="s">
        <v>2252</v>
      </c>
    </row>
    <row r="1437" spans="1:9" ht="17.100000000000001" customHeight="1">
      <c r="A1437" s="677">
        <v>660136</v>
      </c>
      <c r="B1437" s="677" t="s">
        <v>2253</v>
      </c>
      <c r="C1437" s="678">
        <v>1270732.6599999999</v>
      </c>
      <c r="D1437" s="679">
        <v>0</v>
      </c>
      <c r="E1437" s="678">
        <v>251912.38</v>
      </c>
      <c r="F1437" s="679">
        <v>0</v>
      </c>
      <c r="G1437" s="678">
        <v>1522645.04</v>
      </c>
      <c r="H1437" s="679">
        <v>0</v>
      </c>
      <c r="I1437" s="677" t="s">
        <v>2254</v>
      </c>
    </row>
    <row r="1438" spans="1:9" ht="17.100000000000001" customHeight="1">
      <c r="A1438" s="677">
        <v>66013601</v>
      </c>
      <c r="B1438" s="677" t="s">
        <v>2253</v>
      </c>
      <c r="C1438" s="678">
        <v>1270732.6599999999</v>
      </c>
      <c r="D1438" s="679">
        <v>0</v>
      </c>
      <c r="E1438" s="678">
        <v>251912.38</v>
      </c>
      <c r="F1438" s="679">
        <v>0</v>
      </c>
      <c r="G1438" s="678">
        <v>1522645.04</v>
      </c>
      <c r="H1438" s="679">
        <v>0</v>
      </c>
      <c r="I1438" s="677" t="s">
        <v>2255</v>
      </c>
    </row>
    <row r="1439" spans="1:9" ht="17.100000000000001" customHeight="1">
      <c r="A1439" s="677">
        <v>660137</v>
      </c>
      <c r="B1439" s="677" t="s">
        <v>2256</v>
      </c>
      <c r="C1439" s="678">
        <v>3861663.11</v>
      </c>
      <c r="D1439" s="679">
        <v>0</v>
      </c>
      <c r="E1439" s="678">
        <v>766211.28</v>
      </c>
      <c r="F1439" s="679">
        <v>0</v>
      </c>
      <c r="G1439" s="678">
        <v>4627874.3899999997</v>
      </c>
      <c r="H1439" s="679">
        <v>0</v>
      </c>
      <c r="I1439" s="677" t="s">
        <v>2257</v>
      </c>
    </row>
    <row r="1440" spans="1:9" ht="17.100000000000001" customHeight="1">
      <c r="A1440" s="677">
        <v>66013701</v>
      </c>
      <c r="B1440" s="677" t="s">
        <v>2256</v>
      </c>
      <c r="C1440" s="678">
        <v>3861663.11</v>
      </c>
      <c r="D1440" s="679">
        <v>0</v>
      </c>
      <c r="E1440" s="678">
        <v>766211.28</v>
      </c>
      <c r="F1440" s="679">
        <v>0</v>
      </c>
      <c r="G1440" s="678">
        <v>4627874.3899999997</v>
      </c>
      <c r="H1440" s="679">
        <v>0</v>
      </c>
      <c r="I1440" s="677" t="s">
        <v>2258</v>
      </c>
    </row>
    <row r="1441" spans="1:9" ht="17.100000000000001" customHeight="1">
      <c r="A1441" s="677">
        <v>660138</v>
      </c>
      <c r="B1441" s="677" t="s">
        <v>2259</v>
      </c>
      <c r="C1441" s="678">
        <v>2981234.44</v>
      </c>
      <c r="D1441" s="679">
        <v>0</v>
      </c>
      <c r="E1441" s="678">
        <v>438777.95</v>
      </c>
      <c r="F1441" s="679">
        <v>0</v>
      </c>
      <c r="G1441" s="678">
        <v>3420012.39</v>
      </c>
      <c r="H1441" s="679">
        <v>0</v>
      </c>
      <c r="I1441" s="677" t="s">
        <v>2260</v>
      </c>
    </row>
    <row r="1442" spans="1:9" ht="17.100000000000001" customHeight="1">
      <c r="A1442" s="677">
        <v>66013801</v>
      </c>
      <c r="B1442" s="677" t="s">
        <v>2259</v>
      </c>
      <c r="C1442" s="678">
        <v>2981234.44</v>
      </c>
      <c r="D1442" s="679">
        <v>0</v>
      </c>
      <c r="E1442" s="678">
        <v>438777.95</v>
      </c>
      <c r="F1442" s="679">
        <v>0</v>
      </c>
      <c r="G1442" s="678">
        <v>3420012.39</v>
      </c>
      <c r="H1442" s="679">
        <v>0</v>
      </c>
      <c r="I1442" s="677" t="s">
        <v>2261</v>
      </c>
    </row>
    <row r="1443" spans="1:9" ht="17.100000000000001" customHeight="1">
      <c r="A1443" s="677">
        <v>660139</v>
      </c>
      <c r="B1443" s="677" t="s">
        <v>2262</v>
      </c>
      <c r="C1443" s="678">
        <v>46703932</v>
      </c>
      <c r="D1443" s="679">
        <v>0</v>
      </c>
      <c r="E1443" s="678">
        <v>9261618</v>
      </c>
      <c r="F1443" s="679">
        <v>0</v>
      </c>
      <c r="G1443" s="678">
        <v>55965550</v>
      </c>
      <c r="H1443" s="679">
        <v>0</v>
      </c>
      <c r="I1443" s="677" t="s">
        <v>2263</v>
      </c>
    </row>
    <row r="1444" spans="1:9" ht="17.100000000000001" customHeight="1">
      <c r="A1444" s="677">
        <v>66013901</v>
      </c>
      <c r="B1444" s="677" t="s">
        <v>2262</v>
      </c>
      <c r="C1444" s="678">
        <v>46703932</v>
      </c>
      <c r="D1444" s="679">
        <v>0</v>
      </c>
      <c r="E1444" s="678">
        <v>9261618</v>
      </c>
      <c r="F1444" s="679">
        <v>0</v>
      </c>
      <c r="G1444" s="678">
        <v>55965550</v>
      </c>
      <c r="H1444" s="679">
        <v>0</v>
      </c>
      <c r="I1444" s="677" t="s">
        <v>2264</v>
      </c>
    </row>
    <row r="1445" spans="1:9" ht="17.100000000000001" customHeight="1">
      <c r="A1445" s="677">
        <v>660140</v>
      </c>
      <c r="B1445" s="677" t="s">
        <v>2265</v>
      </c>
      <c r="C1445" s="678">
        <v>1687746.79</v>
      </c>
      <c r="D1445" s="679">
        <v>0</v>
      </c>
      <c r="E1445" s="678">
        <v>238619.44</v>
      </c>
      <c r="F1445" s="679">
        <v>0</v>
      </c>
      <c r="G1445" s="678">
        <v>1926366.23</v>
      </c>
      <c r="H1445" s="679">
        <v>0</v>
      </c>
      <c r="I1445" s="677" t="s">
        <v>2266</v>
      </c>
    </row>
    <row r="1446" spans="1:9" ht="17.100000000000001" customHeight="1">
      <c r="A1446" s="320"/>
      <c r="B1446" s="320"/>
      <c r="C1446" s="320"/>
      <c r="D1446" s="557" t="s">
        <v>4317</v>
      </c>
      <c r="E1446" s="320" t="s">
        <v>3783</v>
      </c>
      <c r="F1446" s="320"/>
      <c r="G1446" s="320"/>
      <c r="H1446" s="320"/>
      <c r="I1446" s="320"/>
    </row>
    <row r="1447" spans="1:9" ht="17.100000000000001" customHeight="1">
      <c r="A1447" s="671"/>
      <c r="B1447" s="671"/>
      <c r="C1447" s="671"/>
      <c r="D1447" s="671"/>
      <c r="E1447" s="671"/>
      <c r="F1447" s="671"/>
      <c r="G1447" s="671"/>
      <c r="H1447" s="671"/>
      <c r="I1447" s="671"/>
    </row>
    <row r="1448" spans="1:9" ht="17.100000000000001" customHeight="1">
      <c r="A1448" s="320"/>
      <c r="B1448" s="320"/>
      <c r="C1448" s="672" t="s">
        <v>4316</v>
      </c>
      <c r="D1448" s="320"/>
      <c r="E1448" s="320"/>
      <c r="F1448" s="671"/>
      <c r="G1448" s="671"/>
      <c r="H1448" s="671"/>
      <c r="I1448" s="671"/>
    </row>
    <row r="1449" spans="1:9" ht="17.100000000000001" customHeight="1">
      <c r="A1449" s="673" t="s">
        <v>3708</v>
      </c>
      <c r="B1449" s="673"/>
      <c r="C1449" s="683">
        <v>42551</v>
      </c>
      <c r="D1449" s="673"/>
      <c r="E1449" s="557" t="s">
        <v>3709</v>
      </c>
      <c r="F1449" s="671"/>
      <c r="G1449" s="671"/>
      <c r="H1449" s="671"/>
      <c r="I1449" s="671"/>
    </row>
    <row r="1450" spans="1:9" ht="17.100000000000001" customHeight="1">
      <c r="A1450" s="676" t="s">
        <v>596</v>
      </c>
      <c r="B1450" s="676" t="s">
        <v>597</v>
      </c>
      <c r="C1450" s="676" t="s">
        <v>3710</v>
      </c>
      <c r="D1450" s="676" t="s">
        <v>3711</v>
      </c>
      <c r="E1450" s="676" t="s">
        <v>3712</v>
      </c>
      <c r="F1450" s="676" t="s">
        <v>3713</v>
      </c>
      <c r="G1450" s="676" t="s">
        <v>3714</v>
      </c>
      <c r="H1450" s="676" t="s">
        <v>3715</v>
      </c>
      <c r="I1450" s="676" t="s">
        <v>596</v>
      </c>
    </row>
    <row r="1451" spans="1:9" ht="28.5" customHeight="1">
      <c r="A1451" s="677">
        <v>66014001</v>
      </c>
      <c r="B1451" s="677" t="s">
        <v>2265</v>
      </c>
      <c r="C1451" s="678">
        <v>1687746.79</v>
      </c>
      <c r="D1451" s="679">
        <v>0</v>
      </c>
      <c r="E1451" s="678">
        <v>238619.44</v>
      </c>
      <c r="F1451" s="679">
        <v>0</v>
      </c>
      <c r="G1451" s="678">
        <v>1926366.23</v>
      </c>
      <c r="H1451" s="679">
        <v>0</v>
      </c>
      <c r="I1451" s="677" t="s">
        <v>2267</v>
      </c>
    </row>
    <row r="1452" spans="1:9">
      <c r="A1452" s="677">
        <v>660141</v>
      </c>
      <c r="B1452" s="677" t="s">
        <v>2268</v>
      </c>
      <c r="C1452" s="678">
        <v>549669.36</v>
      </c>
      <c r="D1452" s="679">
        <v>0</v>
      </c>
      <c r="E1452" s="678">
        <v>108970.01</v>
      </c>
      <c r="F1452" s="679">
        <v>0</v>
      </c>
      <c r="G1452" s="678">
        <v>658639.37</v>
      </c>
      <c r="H1452" s="679">
        <v>0</v>
      </c>
      <c r="I1452" s="677" t="s">
        <v>2269</v>
      </c>
    </row>
    <row r="1453" spans="1:9" ht="24">
      <c r="A1453" s="677">
        <v>66014199</v>
      </c>
      <c r="B1453" s="677" t="s">
        <v>2270</v>
      </c>
      <c r="C1453" s="678">
        <v>549669.36</v>
      </c>
      <c r="D1453" s="679">
        <v>0</v>
      </c>
      <c r="E1453" s="678">
        <v>108970.01</v>
      </c>
      <c r="F1453" s="679">
        <v>0</v>
      </c>
      <c r="G1453" s="678">
        <v>658639.37</v>
      </c>
      <c r="H1453" s="679">
        <v>0</v>
      </c>
      <c r="I1453" s="677" t="s">
        <v>2271</v>
      </c>
    </row>
    <row r="1454" spans="1:9">
      <c r="A1454" s="677">
        <v>660143</v>
      </c>
      <c r="B1454" s="677" t="s">
        <v>4163</v>
      </c>
      <c r="C1454" s="678">
        <v>56185.22</v>
      </c>
      <c r="D1454" s="679">
        <v>0</v>
      </c>
      <c r="E1454" s="678">
        <v>30000000</v>
      </c>
      <c r="F1454" s="679">
        <v>0</v>
      </c>
      <c r="G1454" s="678">
        <v>30056185.219999999</v>
      </c>
      <c r="H1454" s="679">
        <v>0</v>
      </c>
      <c r="I1454" s="677" t="s">
        <v>4164</v>
      </c>
    </row>
    <row r="1455" spans="1:9" ht="28.5" customHeight="1">
      <c r="A1455" s="677">
        <v>66014301</v>
      </c>
      <c r="B1455" s="677" t="s">
        <v>4163</v>
      </c>
      <c r="C1455" s="678">
        <v>56185.22</v>
      </c>
      <c r="D1455" s="679">
        <v>0</v>
      </c>
      <c r="E1455" s="678">
        <v>30000000</v>
      </c>
      <c r="F1455" s="679">
        <v>0</v>
      </c>
      <c r="G1455" s="678">
        <v>30056185.219999999</v>
      </c>
      <c r="H1455" s="679">
        <v>0</v>
      </c>
      <c r="I1455" s="677" t="s">
        <v>4165</v>
      </c>
    </row>
    <row r="1456" spans="1:9" ht="17.100000000000001" customHeight="1">
      <c r="A1456" s="677">
        <v>660145</v>
      </c>
      <c r="B1456" s="677" t="s">
        <v>2272</v>
      </c>
      <c r="C1456" s="678">
        <v>103130719.5</v>
      </c>
      <c r="D1456" s="679">
        <v>0</v>
      </c>
      <c r="E1456" s="678">
        <v>20445122.699999999</v>
      </c>
      <c r="F1456" s="679">
        <v>0</v>
      </c>
      <c r="G1456" s="678">
        <v>123575842.2</v>
      </c>
      <c r="H1456" s="679">
        <v>0</v>
      </c>
      <c r="I1456" s="677" t="s">
        <v>2273</v>
      </c>
    </row>
    <row r="1457" spans="1:9" ht="17.100000000000001" customHeight="1">
      <c r="A1457" s="677">
        <v>66014501</v>
      </c>
      <c r="B1457" s="677" t="s">
        <v>2272</v>
      </c>
      <c r="C1457" s="678">
        <v>103130719.5</v>
      </c>
      <c r="D1457" s="679">
        <v>0</v>
      </c>
      <c r="E1457" s="678">
        <v>20445122.699999999</v>
      </c>
      <c r="F1457" s="679">
        <v>0</v>
      </c>
      <c r="G1457" s="678">
        <v>123575842.2</v>
      </c>
      <c r="H1457" s="679">
        <v>0</v>
      </c>
      <c r="I1457" s="677" t="s">
        <v>2274</v>
      </c>
    </row>
    <row r="1458" spans="1:9" ht="17.100000000000001" customHeight="1">
      <c r="A1458" s="677">
        <v>660146</v>
      </c>
      <c r="B1458" s="677" t="s">
        <v>2275</v>
      </c>
      <c r="C1458" s="678">
        <v>92093918.409999996</v>
      </c>
      <c r="D1458" s="679">
        <v>0</v>
      </c>
      <c r="E1458" s="678">
        <v>-910207.05</v>
      </c>
      <c r="F1458" s="679">
        <v>0</v>
      </c>
      <c r="G1458" s="678">
        <v>91183711.359999999</v>
      </c>
      <c r="H1458" s="679">
        <v>0</v>
      </c>
      <c r="I1458" s="677" t="s">
        <v>2276</v>
      </c>
    </row>
    <row r="1459" spans="1:9" ht="17.100000000000001" customHeight="1">
      <c r="A1459" s="677">
        <v>66014601</v>
      </c>
      <c r="B1459" s="677" t="s">
        <v>2275</v>
      </c>
      <c r="C1459" s="678">
        <v>92093918.409999996</v>
      </c>
      <c r="D1459" s="679">
        <v>0</v>
      </c>
      <c r="E1459" s="678">
        <v>-910207.05</v>
      </c>
      <c r="F1459" s="679">
        <v>0</v>
      </c>
      <c r="G1459" s="678">
        <v>91183711.359999999</v>
      </c>
      <c r="H1459" s="679">
        <v>0</v>
      </c>
      <c r="I1459" s="677" t="s">
        <v>2277</v>
      </c>
    </row>
    <row r="1460" spans="1:9" ht="17.100000000000001" customHeight="1">
      <c r="A1460" s="677">
        <v>660147</v>
      </c>
      <c r="B1460" s="677" t="s">
        <v>2278</v>
      </c>
      <c r="C1460" s="678">
        <v>107012660.01000001</v>
      </c>
      <c r="D1460" s="679">
        <v>0</v>
      </c>
      <c r="E1460" s="678">
        <v>4738926.09</v>
      </c>
      <c r="F1460" s="679">
        <v>0</v>
      </c>
      <c r="G1460" s="678">
        <v>111751586.09999999</v>
      </c>
      <c r="H1460" s="679">
        <v>0</v>
      </c>
      <c r="I1460" s="677" t="s">
        <v>2279</v>
      </c>
    </row>
    <row r="1461" spans="1:9" ht="17.100000000000001" customHeight="1">
      <c r="A1461" s="677">
        <v>66014701</v>
      </c>
      <c r="B1461" s="677" t="s">
        <v>2280</v>
      </c>
      <c r="C1461" s="678">
        <v>102713403.83</v>
      </c>
      <c r="D1461" s="679">
        <v>0</v>
      </c>
      <c r="E1461" s="678">
        <v>4393055.47</v>
      </c>
      <c r="F1461" s="679">
        <v>0</v>
      </c>
      <c r="G1461" s="678">
        <v>107106459.3</v>
      </c>
      <c r="H1461" s="679">
        <v>0</v>
      </c>
      <c r="I1461" s="677" t="s">
        <v>2281</v>
      </c>
    </row>
    <row r="1462" spans="1:9" ht="17.100000000000001" customHeight="1">
      <c r="A1462" s="677">
        <v>66014799</v>
      </c>
      <c r="B1462" s="677" t="s">
        <v>2282</v>
      </c>
      <c r="C1462" s="678">
        <v>4299256.18</v>
      </c>
      <c r="D1462" s="679">
        <v>0</v>
      </c>
      <c r="E1462" s="678">
        <v>345870.62</v>
      </c>
      <c r="F1462" s="679">
        <v>0</v>
      </c>
      <c r="G1462" s="678">
        <v>4645126.8</v>
      </c>
      <c r="H1462" s="679">
        <v>0</v>
      </c>
      <c r="I1462" s="677" t="s">
        <v>2283</v>
      </c>
    </row>
    <row r="1463" spans="1:9" ht="17.100000000000001" customHeight="1">
      <c r="A1463" s="677">
        <v>660148</v>
      </c>
      <c r="B1463" s="677" t="s">
        <v>2284</v>
      </c>
      <c r="C1463" s="678">
        <v>8091667.6500000004</v>
      </c>
      <c r="D1463" s="679">
        <v>0</v>
      </c>
      <c r="E1463" s="678">
        <v>349224.94</v>
      </c>
      <c r="F1463" s="679">
        <v>0</v>
      </c>
      <c r="G1463" s="678">
        <v>8440892.5899999999</v>
      </c>
      <c r="H1463" s="679">
        <v>0</v>
      </c>
      <c r="I1463" s="677" t="s">
        <v>2285</v>
      </c>
    </row>
    <row r="1464" spans="1:9" ht="17.100000000000001" customHeight="1">
      <c r="A1464" s="677">
        <v>66014801</v>
      </c>
      <c r="B1464" s="677" t="s">
        <v>2286</v>
      </c>
      <c r="C1464" s="678">
        <v>2187176.5299999998</v>
      </c>
      <c r="D1464" s="679">
        <v>0</v>
      </c>
      <c r="E1464" s="678">
        <v>52033.99</v>
      </c>
      <c r="F1464" s="679">
        <v>0</v>
      </c>
      <c r="G1464" s="678">
        <v>2239210.52</v>
      </c>
      <c r="H1464" s="679">
        <v>0</v>
      </c>
      <c r="I1464" s="677" t="s">
        <v>2287</v>
      </c>
    </row>
    <row r="1465" spans="1:9" ht="17.100000000000001" customHeight="1">
      <c r="A1465" s="677">
        <v>66014802</v>
      </c>
      <c r="B1465" s="677" t="s">
        <v>2288</v>
      </c>
      <c r="C1465" s="678">
        <v>869290.07</v>
      </c>
      <c r="D1465" s="679">
        <v>0</v>
      </c>
      <c r="E1465" s="678">
        <v>58198.55</v>
      </c>
      <c r="F1465" s="679">
        <v>0</v>
      </c>
      <c r="G1465" s="678">
        <v>927488.62</v>
      </c>
      <c r="H1465" s="679">
        <v>0</v>
      </c>
      <c r="I1465" s="677" t="s">
        <v>2289</v>
      </c>
    </row>
    <row r="1466" spans="1:9" ht="17.100000000000001" customHeight="1">
      <c r="A1466" s="677">
        <v>66014899</v>
      </c>
      <c r="B1466" s="677" t="s">
        <v>2290</v>
      </c>
      <c r="C1466" s="678">
        <v>5035201.05</v>
      </c>
      <c r="D1466" s="679">
        <v>0</v>
      </c>
      <c r="E1466" s="678">
        <v>238992.4</v>
      </c>
      <c r="F1466" s="679">
        <v>0</v>
      </c>
      <c r="G1466" s="678">
        <v>5274193.45</v>
      </c>
      <c r="H1466" s="679">
        <v>0</v>
      </c>
      <c r="I1466" s="677" t="s">
        <v>2291</v>
      </c>
    </row>
    <row r="1467" spans="1:9" ht="17.100000000000001" customHeight="1">
      <c r="A1467" s="677">
        <v>660149</v>
      </c>
      <c r="B1467" s="677" t="s">
        <v>2292</v>
      </c>
      <c r="C1467" s="678">
        <v>5101866.72</v>
      </c>
      <c r="D1467" s="679">
        <v>0</v>
      </c>
      <c r="E1467" s="678">
        <v>525338.71</v>
      </c>
      <c r="F1467" s="679">
        <v>0</v>
      </c>
      <c r="G1467" s="678">
        <v>5627205.4299999997</v>
      </c>
      <c r="H1467" s="679">
        <v>0</v>
      </c>
      <c r="I1467" s="677" t="s">
        <v>2293</v>
      </c>
    </row>
    <row r="1468" spans="1:9" ht="17.100000000000001" customHeight="1">
      <c r="A1468" s="677">
        <v>66014901</v>
      </c>
      <c r="B1468" s="677" t="s">
        <v>2292</v>
      </c>
      <c r="C1468" s="678">
        <v>5101866.72</v>
      </c>
      <c r="D1468" s="679">
        <v>0</v>
      </c>
      <c r="E1468" s="678">
        <v>525338.71</v>
      </c>
      <c r="F1468" s="679">
        <v>0</v>
      </c>
      <c r="G1468" s="678">
        <v>5627205.4299999997</v>
      </c>
      <c r="H1468" s="679">
        <v>0</v>
      </c>
      <c r="I1468" s="677" t="s">
        <v>2294</v>
      </c>
    </row>
    <row r="1469" spans="1:9" ht="17.100000000000001" customHeight="1">
      <c r="A1469" s="677">
        <v>660150</v>
      </c>
      <c r="B1469" s="677" t="s">
        <v>2295</v>
      </c>
      <c r="C1469" s="678">
        <v>22405014.940000001</v>
      </c>
      <c r="D1469" s="679">
        <v>0</v>
      </c>
      <c r="E1469" s="678">
        <v>4384243.8899999997</v>
      </c>
      <c r="F1469" s="679">
        <v>0</v>
      </c>
      <c r="G1469" s="678">
        <v>26789258.829999998</v>
      </c>
      <c r="H1469" s="679">
        <v>0</v>
      </c>
      <c r="I1469" s="677" t="s">
        <v>2296</v>
      </c>
    </row>
    <row r="1470" spans="1:9" ht="17.100000000000001" customHeight="1">
      <c r="A1470" s="677">
        <v>66015001</v>
      </c>
      <c r="B1470" s="677" t="s">
        <v>2295</v>
      </c>
      <c r="C1470" s="678">
        <v>22405014.940000001</v>
      </c>
      <c r="D1470" s="679">
        <v>0</v>
      </c>
      <c r="E1470" s="678">
        <v>4384243.8899999997</v>
      </c>
      <c r="F1470" s="679">
        <v>0</v>
      </c>
      <c r="G1470" s="678">
        <v>26789258.829999998</v>
      </c>
      <c r="H1470" s="679">
        <v>0</v>
      </c>
      <c r="I1470" s="677" t="s">
        <v>2297</v>
      </c>
    </row>
    <row r="1471" spans="1:9" ht="17.100000000000001" customHeight="1">
      <c r="A1471" s="677">
        <v>660151</v>
      </c>
      <c r="B1471" s="677" t="s">
        <v>2298</v>
      </c>
      <c r="C1471" s="678">
        <v>18290592.899999999</v>
      </c>
      <c r="D1471" s="679">
        <v>0</v>
      </c>
      <c r="E1471" s="678">
        <v>3766251.65</v>
      </c>
      <c r="F1471" s="679">
        <v>0</v>
      </c>
      <c r="G1471" s="678">
        <v>22056844.550000001</v>
      </c>
      <c r="H1471" s="679">
        <v>0</v>
      </c>
      <c r="I1471" s="677" t="s">
        <v>2299</v>
      </c>
    </row>
    <row r="1472" spans="1:9" ht="17.100000000000001" customHeight="1">
      <c r="A1472" s="677">
        <v>66015101</v>
      </c>
      <c r="B1472" s="677" t="s">
        <v>2298</v>
      </c>
      <c r="C1472" s="678">
        <v>18290592.899999999</v>
      </c>
      <c r="D1472" s="679">
        <v>0</v>
      </c>
      <c r="E1472" s="678">
        <v>3766251.65</v>
      </c>
      <c r="F1472" s="679">
        <v>0</v>
      </c>
      <c r="G1472" s="678">
        <v>22056844.550000001</v>
      </c>
      <c r="H1472" s="679">
        <v>0</v>
      </c>
      <c r="I1472" s="677" t="s">
        <v>2300</v>
      </c>
    </row>
    <row r="1473" spans="1:9" ht="17.100000000000001" customHeight="1">
      <c r="A1473" s="677">
        <v>660152</v>
      </c>
      <c r="B1473" s="677" t="s">
        <v>2301</v>
      </c>
      <c r="C1473" s="678">
        <v>143168069.03999999</v>
      </c>
      <c r="D1473" s="679">
        <v>0</v>
      </c>
      <c r="E1473" s="678">
        <v>28428651.27</v>
      </c>
      <c r="F1473" s="679">
        <v>0</v>
      </c>
      <c r="G1473" s="678">
        <v>171596720.31</v>
      </c>
      <c r="H1473" s="679">
        <v>0</v>
      </c>
      <c r="I1473" s="677" t="s">
        <v>2302</v>
      </c>
    </row>
    <row r="1474" spans="1:9" ht="17.100000000000001" customHeight="1">
      <c r="A1474" s="677">
        <v>66015201</v>
      </c>
      <c r="B1474" s="677" t="s">
        <v>2301</v>
      </c>
      <c r="C1474" s="678">
        <v>143168069.03999999</v>
      </c>
      <c r="D1474" s="679">
        <v>0</v>
      </c>
      <c r="E1474" s="678">
        <v>28428651.27</v>
      </c>
      <c r="F1474" s="679">
        <v>0</v>
      </c>
      <c r="G1474" s="678">
        <v>171596720.31</v>
      </c>
      <c r="H1474" s="679">
        <v>0</v>
      </c>
      <c r="I1474" s="677" t="s">
        <v>2303</v>
      </c>
    </row>
    <row r="1475" spans="1:9" ht="17.100000000000001" customHeight="1">
      <c r="A1475" s="677">
        <v>660199</v>
      </c>
      <c r="B1475" s="677" t="s">
        <v>2304</v>
      </c>
      <c r="C1475" s="678">
        <v>71233155.439999998</v>
      </c>
      <c r="D1475" s="679">
        <v>0</v>
      </c>
      <c r="E1475" s="678">
        <v>1514597.97</v>
      </c>
      <c r="F1475" s="679">
        <v>0</v>
      </c>
      <c r="G1475" s="678">
        <v>72747753.409999996</v>
      </c>
      <c r="H1475" s="679">
        <v>0</v>
      </c>
      <c r="I1475" s="677" t="s">
        <v>2305</v>
      </c>
    </row>
    <row r="1476" spans="1:9" ht="17.100000000000001" customHeight="1">
      <c r="A1476" s="677">
        <v>66019901</v>
      </c>
      <c r="B1476" s="677" t="s">
        <v>2306</v>
      </c>
      <c r="C1476" s="678">
        <v>6398968.1200000001</v>
      </c>
      <c r="D1476" s="679">
        <v>0</v>
      </c>
      <c r="E1476" s="678">
        <v>1295126.76</v>
      </c>
      <c r="F1476" s="679">
        <v>0</v>
      </c>
      <c r="G1476" s="678">
        <v>7694094.8799999999</v>
      </c>
      <c r="H1476" s="679">
        <v>0</v>
      </c>
      <c r="I1476" s="677" t="s">
        <v>2307</v>
      </c>
    </row>
    <row r="1477" spans="1:9" ht="17.100000000000001" customHeight="1">
      <c r="A1477" s="677">
        <v>66019902</v>
      </c>
      <c r="B1477" s="677" t="s">
        <v>2308</v>
      </c>
      <c r="C1477" s="678">
        <v>64834187.32</v>
      </c>
      <c r="D1477" s="679">
        <v>0</v>
      </c>
      <c r="E1477" s="678">
        <v>219471.21</v>
      </c>
      <c r="F1477" s="679">
        <v>0</v>
      </c>
      <c r="G1477" s="678">
        <v>65053658.530000001</v>
      </c>
      <c r="H1477" s="679">
        <v>0</v>
      </c>
      <c r="I1477" s="677" t="s">
        <v>2309</v>
      </c>
    </row>
    <row r="1478" spans="1:9" ht="17.100000000000001" customHeight="1">
      <c r="A1478" s="677">
        <v>6602</v>
      </c>
      <c r="B1478" s="677" t="s">
        <v>229</v>
      </c>
      <c r="C1478" s="678">
        <v>12150861.01</v>
      </c>
      <c r="D1478" s="679">
        <v>0</v>
      </c>
      <c r="E1478" s="678">
        <v>1907806.88</v>
      </c>
      <c r="F1478" s="679">
        <v>0</v>
      </c>
      <c r="G1478" s="678">
        <v>14058667.890000001</v>
      </c>
      <c r="H1478" s="679">
        <v>0</v>
      </c>
      <c r="I1478" s="677" t="s">
        <v>2310</v>
      </c>
    </row>
    <row r="1479" spans="1:9" ht="17.100000000000001" customHeight="1">
      <c r="A1479" s="677">
        <v>660201</v>
      </c>
      <c r="B1479" s="677" t="s">
        <v>2311</v>
      </c>
      <c r="C1479" s="678">
        <v>487950.32</v>
      </c>
      <c r="D1479" s="679">
        <v>0</v>
      </c>
      <c r="E1479" s="678">
        <v>57735.839999999997</v>
      </c>
      <c r="F1479" s="679">
        <v>0</v>
      </c>
      <c r="G1479" s="678">
        <v>545686.16</v>
      </c>
      <c r="H1479" s="679">
        <v>0</v>
      </c>
      <c r="I1479" s="677" t="s">
        <v>2312</v>
      </c>
    </row>
    <row r="1480" spans="1:9" ht="17.100000000000001" customHeight="1">
      <c r="A1480" s="677">
        <v>66020101</v>
      </c>
      <c r="B1480" s="677" t="s">
        <v>2311</v>
      </c>
      <c r="C1480" s="678">
        <v>487950.32</v>
      </c>
      <c r="D1480" s="679">
        <v>0</v>
      </c>
      <c r="E1480" s="678">
        <v>57735.839999999997</v>
      </c>
      <c r="F1480" s="679">
        <v>0</v>
      </c>
      <c r="G1480" s="678">
        <v>545686.16</v>
      </c>
      <c r="H1480" s="679">
        <v>0</v>
      </c>
      <c r="I1480" s="677" t="s">
        <v>2313</v>
      </c>
    </row>
    <row r="1481" spans="1:9" ht="17.100000000000001" customHeight="1">
      <c r="A1481" s="677">
        <v>660202</v>
      </c>
      <c r="B1481" s="677" t="s">
        <v>2314</v>
      </c>
      <c r="C1481" s="678">
        <v>9188128.7899999991</v>
      </c>
      <c r="D1481" s="679">
        <v>0</v>
      </c>
      <c r="E1481" s="678">
        <v>1839647.32</v>
      </c>
      <c r="F1481" s="679">
        <v>0</v>
      </c>
      <c r="G1481" s="678">
        <v>11027776.109999999</v>
      </c>
      <c r="H1481" s="679">
        <v>0</v>
      </c>
      <c r="I1481" s="677" t="s">
        <v>2315</v>
      </c>
    </row>
    <row r="1482" spans="1:9" ht="17.100000000000001" customHeight="1">
      <c r="A1482" s="677">
        <v>66020201</v>
      </c>
      <c r="B1482" s="677" t="s">
        <v>2314</v>
      </c>
      <c r="C1482" s="678">
        <v>9188128.7899999991</v>
      </c>
      <c r="D1482" s="679">
        <v>0</v>
      </c>
      <c r="E1482" s="678">
        <v>1839647.32</v>
      </c>
      <c r="F1482" s="679">
        <v>0</v>
      </c>
      <c r="G1482" s="678">
        <v>11027776.109999999</v>
      </c>
      <c r="H1482" s="679">
        <v>0</v>
      </c>
      <c r="I1482" s="677" t="s">
        <v>2316</v>
      </c>
    </row>
    <row r="1483" spans="1:9" ht="17.100000000000001" customHeight="1">
      <c r="A1483" s="677">
        <v>660205</v>
      </c>
      <c r="B1483" s="677" t="s">
        <v>2317</v>
      </c>
      <c r="C1483" s="678">
        <v>360768.4</v>
      </c>
      <c r="D1483" s="679">
        <v>0</v>
      </c>
      <c r="E1483" s="678">
        <v>10423.719999999999</v>
      </c>
      <c r="F1483" s="679">
        <v>0</v>
      </c>
      <c r="G1483" s="678">
        <v>371192.12</v>
      </c>
      <c r="H1483" s="679">
        <v>0</v>
      </c>
      <c r="I1483" s="677" t="s">
        <v>2318</v>
      </c>
    </row>
    <row r="1484" spans="1:9" ht="28.5" customHeight="1">
      <c r="A1484" s="677">
        <v>66020501</v>
      </c>
      <c r="B1484" s="677" t="s">
        <v>2319</v>
      </c>
      <c r="C1484" s="678">
        <v>360768.4</v>
      </c>
      <c r="D1484" s="679">
        <v>0</v>
      </c>
      <c r="E1484" s="678">
        <v>10423.719999999999</v>
      </c>
      <c r="F1484" s="679">
        <v>0</v>
      </c>
      <c r="G1484" s="678">
        <v>371192.12</v>
      </c>
      <c r="H1484" s="679">
        <v>0</v>
      </c>
      <c r="I1484" s="677" t="s">
        <v>2320</v>
      </c>
    </row>
    <row r="1485" spans="1:9">
      <c r="A1485" s="320"/>
      <c r="B1485" s="320"/>
      <c r="C1485" s="320"/>
      <c r="D1485" s="557" t="s">
        <v>4317</v>
      </c>
      <c r="E1485" s="320" t="s">
        <v>3784</v>
      </c>
      <c r="F1485" s="320"/>
      <c r="G1485" s="320"/>
      <c r="H1485" s="320"/>
      <c r="I1485" s="320"/>
    </row>
    <row r="1486" spans="1:9">
      <c r="A1486" s="671"/>
      <c r="B1486" s="671"/>
      <c r="C1486" s="671"/>
      <c r="D1486" s="671"/>
      <c r="E1486" s="671"/>
      <c r="F1486" s="671"/>
      <c r="G1486" s="671"/>
      <c r="H1486" s="671"/>
      <c r="I1486" s="671"/>
    </row>
    <row r="1487" spans="1:9" ht="22.5">
      <c r="A1487" s="320"/>
      <c r="B1487" s="320"/>
      <c r="C1487" s="672" t="s">
        <v>4316</v>
      </c>
      <c r="D1487" s="320"/>
      <c r="E1487" s="320"/>
      <c r="F1487" s="671"/>
      <c r="G1487" s="671"/>
      <c r="H1487" s="671"/>
      <c r="I1487" s="671"/>
    </row>
    <row r="1488" spans="1:9" ht="28.5" customHeight="1">
      <c r="A1488" s="673" t="s">
        <v>3708</v>
      </c>
      <c r="B1488" s="673"/>
      <c r="C1488" s="683">
        <v>42551</v>
      </c>
      <c r="D1488" s="673"/>
      <c r="E1488" s="557" t="s">
        <v>3709</v>
      </c>
      <c r="F1488" s="671"/>
      <c r="G1488" s="671"/>
      <c r="H1488" s="671"/>
      <c r="I1488" s="671"/>
    </row>
    <row r="1489" spans="1:9" ht="17.100000000000001" customHeight="1">
      <c r="A1489" s="676" t="s">
        <v>596</v>
      </c>
      <c r="B1489" s="676" t="s">
        <v>597</v>
      </c>
      <c r="C1489" s="676" t="s">
        <v>3710</v>
      </c>
      <c r="D1489" s="676" t="s">
        <v>3711</v>
      </c>
      <c r="E1489" s="676" t="s">
        <v>3712</v>
      </c>
      <c r="F1489" s="676" t="s">
        <v>3713</v>
      </c>
      <c r="G1489" s="676" t="s">
        <v>3714</v>
      </c>
      <c r="H1489" s="676" t="s">
        <v>3715</v>
      </c>
      <c r="I1489" s="676" t="s">
        <v>596</v>
      </c>
    </row>
    <row r="1490" spans="1:9" ht="17.100000000000001" customHeight="1">
      <c r="A1490" s="677">
        <v>660206</v>
      </c>
      <c r="B1490" s="677" t="s">
        <v>2321</v>
      </c>
      <c r="C1490" s="678">
        <v>1952211.36</v>
      </c>
      <c r="D1490" s="679">
        <v>0</v>
      </c>
      <c r="E1490" s="679">
        <v>0</v>
      </c>
      <c r="F1490" s="679">
        <v>0</v>
      </c>
      <c r="G1490" s="678">
        <v>1952211.36</v>
      </c>
      <c r="H1490" s="679">
        <v>0</v>
      </c>
      <c r="I1490" s="677" t="s">
        <v>2322</v>
      </c>
    </row>
    <row r="1491" spans="1:9" ht="17.100000000000001" customHeight="1">
      <c r="A1491" s="677">
        <v>66020601</v>
      </c>
      <c r="B1491" s="677" t="s">
        <v>2321</v>
      </c>
      <c r="C1491" s="678">
        <v>1952211.36</v>
      </c>
      <c r="D1491" s="679">
        <v>0</v>
      </c>
      <c r="E1491" s="679">
        <v>0</v>
      </c>
      <c r="F1491" s="679">
        <v>0</v>
      </c>
      <c r="G1491" s="678">
        <v>1952211.36</v>
      </c>
      <c r="H1491" s="679">
        <v>0</v>
      </c>
      <c r="I1491" s="677" t="s">
        <v>2323</v>
      </c>
    </row>
    <row r="1492" spans="1:9" ht="17.100000000000001" customHeight="1">
      <c r="A1492" s="677">
        <v>660299</v>
      </c>
      <c r="B1492" s="677" t="s">
        <v>3500</v>
      </c>
      <c r="C1492" s="678">
        <v>161802.14000000001</v>
      </c>
      <c r="D1492" s="679">
        <v>0</v>
      </c>
      <c r="E1492" s="679">
        <v>0</v>
      </c>
      <c r="F1492" s="679">
        <v>0</v>
      </c>
      <c r="G1492" s="678">
        <v>161802.14000000001</v>
      </c>
      <c r="H1492" s="679">
        <v>0</v>
      </c>
      <c r="I1492" s="677" t="s">
        <v>3501</v>
      </c>
    </row>
    <row r="1493" spans="1:9" ht="17.100000000000001" customHeight="1">
      <c r="A1493" s="677">
        <v>66029999</v>
      </c>
      <c r="B1493" s="677" t="s">
        <v>3500</v>
      </c>
      <c r="C1493" s="678">
        <v>161802.14000000001</v>
      </c>
      <c r="D1493" s="679">
        <v>0</v>
      </c>
      <c r="E1493" s="679">
        <v>0</v>
      </c>
      <c r="F1493" s="679">
        <v>0</v>
      </c>
      <c r="G1493" s="678">
        <v>161802.14000000001</v>
      </c>
      <c r="H1493" s="679">
        <v>0</v>
      </c>
      <c r="I1493" s="677" t="s">
        <v>3502</v>
      </c>
    </row>
    <row r="1494" spans="1:9" ht="17.100000000000001" customHeight="1">
      <c r="A1494" s="677">
        <v>6701</v>
      </c>
      <c r="B1494" s="677" t="s">
        <v>4073</v>
      </c>
      <c r="C1494" s="678">
        <v>572313772</v>
      </c>
      <c r="D1494" s="679">
        <v>0</v>
      </c>
      <c r="E1494" s="678">
        <v>366403032.63999999</v>
      </c>
      <c r="F1494" s="679">
        <v>0</v>
      </c>
      <c r="G1494" s="678">
        <v>938716804.63999999</v>
      </c>
      <c r="H1494" s="679">
        <v>0</v>
      </c>
      <c r="I1494" s="677" t="s">
        <v>4074</v>
      </c>
    </row>
    <row r="1495" spans="1:9" ht="17.100000000000001" customHeight="1">
      <c r="A1495" s="677">
        <v>670103</v>
      </c>
      <c r="B1495" s="677" t="s">
        <v>4296</v>
      </c>
      <c r="C1495" s="679">
        <v>0</v>
      </c>
      <c r="D1495" s="679">
        <v>0</v>
      </c>
      <c r="E1495" s="678">
        <v>16454371</v>
      </c>
      <c r="F1495" s="679">
        <v>0</v>
      </c>
      <c r="G1495" s="678">
        <v>16454371</v>
      </c>
      <c r="H1495" s="679">
        <v>0</v>
      </c>
      <c r="I1495" s="677" t="s">
        <v>4297</v>
      </c>
    </row>
    <row r="1496" spans="1:9" ht="17.100000000000001" customHeight="1">
      <c r="A1496" s="677">
        <v>67010301</v>
      </c>
      <c r="B1496" s="677" t="s">
        <v>4296</v>
      </c>
      <c r="C1496" s="679">
        <v>0</v>
      </c>
      <c r="D1496" s="679">
        <v>0</v>
      </c>
      <c r="E1496" s="678">
        <v>16454371</v>
      </c>
      <c r="F1496" s="679">
        <v>0</v>
      </c>
      <c r="G1496" s="678">
        <v>16454371</v>
      </c>
      <c r="H1496" s="679">
        <v>0</v>
      </c>
      <c r="I1496" s="677" t="s">
        <v>4298</v>
      </c>
    </row>
    <row r="1497" spans="1:9" ht="17.100000000000001" customHeight="1">
      <c r="A1497" s="677">
        <v>670105</v>
      </c>
      <c r="B1497" s="677" t="s">
        <v>4075</v>
      </c>
      <c r="C1497" s="678">
        <v>572313772</v>
      </c>
      <c r="D1497" s="679">
        <v>0</v>
      </c>
      <c r="E1497" s="679">
        <v>0</v>
      </c>
      <c r="F1497" s="679">
        <v>0</v>
      </c>
      <c r="G1497" s="678">
        <v>572313772</v>
      </c>
      <c r="H1497" s="679">
        <v>0</v>
      </c>
      <c r="I1497" s="677" t="s">
        <v>4076</v>
      </c>
    </row>
    <row r="1498" spans="1:9" ht="17.100000000000001" customHeight="1">
      <c r="A1498" s="677">
        <v>67010503</v>
      </c>
      <c r="B1498" s="677" t="s">
        <v>4077</v>
      </c>
      <c r="C1498" s="678">
        <v>572313772</v>
      </c>
      <c r="D1498" s="679">
        <v>0</v>
      </c>
      <c r="E1498" s="679">
        <v>0</v>
      </c>
      <c r="F1498" s="679">
        <v>0</v>
      </c>
      <c r="G1498" s="678">
        <v>572313772</v>
      </c>
      <c r="H1498" s="679">
        <v>0</v>
      </c>
      <c r="I1498" s="677" t="s">
        <v>4078</v>
      </c>
    </row>
    <row r="1499" spans="1:9" ht="17.100000000000001" customHeight="1">
      <c r="A1499" s="677">
        <v>670107</v>
      </c>
      <c r="B1499" s="677" t="s">
        <v>4299</v>
      </c>
      <c r="C1499" s="679">
        <v>0</v>
      </c>
      <c r="D1499" s="679">
        <v>0</v>
      </c>
      <c r="E1499" s="678">
        <v>349948661.63999999</v>
      </c>
      <c r="F1499" s="679">
        <v>0</v>
      </c>
      <c r="G1499" s="678">
        <v>349948661.63999999</v>
      </c>
      <c r="H1499" s="679">
        <v>0</v>
      </c>
      <c r="I1499" s="677" t="s">
        <v>4300</v>
      </c>
    </row>
    <row r="1500" spans="1:9" ht="17.100000000000001" customHeight="1">
      <c r="A1500" s="677">
        <v>67010701</v>
      </c>
      <c r="B1500" s="677" t="s">
        <v>4299</v>
      </c>
      <c r="C1500" s="679">
        <v>0</v>
      </c>
      <c r="D1500" s="679">
        <v>0</v>
      </c>
      <c r="E1500" s="678">
        <v>81211781.909999996</v>
      </c>
      <c r="F1500" s="679">
        <v>0</v>
      </c>
      <c r="G1500" s="678">
        <v>81211781.909999996</v>
      </c>
      <c r="H1500" s="679">
        <v>0</v>
      </c>
      <c r="I1500" s="677" t="s">
        <v>4301</v>
      </c>
    </row>
    <row r="1501" spans="1:9" ht="17.100000000000001" customHeight="1">
      <c r="A1501" s="677">
        <v>67010702</v>
      </c>
      <c r="B1501" s="677" t="s">
        <v>4302</v>
      </c>
      <c r="C1501" s="679">
        <v>0</v>
      </c>
      <c r="D1501" s="679">
        <v>0</v>
      </c>
      <c r="E1501" s="678">
        <v>268736879.73000002</v>
      </c>
      <c r="F1501" s="679">
        <v>0</v>
      </c>
      <c r="G1501" s="678">
        <v>268736879.73000002</v>
      </c>
      <c r="H1501" s="679">
        <v>0</v>
      </c>
      <c r="I1501" s="677" t="s">
        <v>4303</v>
      </c>
    </row>
    <row r="1502" spans="1:9" ht="17.100000000000001" customHeight="1">
      <c r="A1502" s="677">
        <v>6711</v>
      </c>
      <c r="B1502" s="677" t="s">
        <v>2324</v>
      </c>
      <c r="C1502" s="678">
        <v>1289254.3899999999</v>
      </c>
      <c r="D1502" s="679">
        <v>0</v>
      </c>
      <c r="E1502" s="679">
        <v>40.92</v>
      </c>
      <c r="F1502" s="679">
        <v>0</v>
      </c>
      <c r="G1502" s="678">
        <v>1289295.31</v>
      </c>
      <c r="H1502" s="679">
        <v>0</v>
      </c>
      <c r="I1502" s="677" t="s">
        <v>2325</v>
      </c>
    </row>
    <row r="1503" spans="1:9" ht="17.100000000000001" customHeight="1">
      <c r="A1503" s="677">
        <v>671103</v>
      </c>
      <c r="B1503" s="677" t="s">
        <v>4105</v>
      </c>
      <c r="C1503" s="678">
        <v>588416.92000000004</v>
      </c>
      <c r="D1503" s="679">
        <v>0</v>
      </c>
      <c r="E1503" s="679">
        <v>0</v>
      </c>
      <c r="F1503" s="679">
        <v>0</v>
      </c>
      <c r="G1503" s="678">
        <v>588416.92000000004</v>
      </c>
      <c r="H1503" s="679">
        <v>0</v>
      </c>
      <c r="I1503" s="677" t="s">
        <v>4106</v>
      </c>
    </row>
    <row r="1504" spans="1:9" ht="17.100000000000001" customHeight="1">
      <c r="A1504" s="677">
        <v>67110301</v>
      </c>
      <c r="B1504" s="677" t="s">
        <v>4105</v>
      </c>
      <c r="C1504" s="678">
        <v>588416.92000000004</v>
      </c>
      <c r="D1504" s="679">
        <v>0</v>
      </c>
      <c r="E1504" s="679">
        <v>0</v>
      </c>
      <c r="F1504" s="679">
        <v>0</v>
      </c>
      <c r="G1504" s="678">
        <v>588416.92000000004</v>
      </c>
      <c r="H1504" s="679">
        <v>0</v>
      </c>
      <c r="I1504" s="677" t="s">
        <v>4107</v>
      </c>
    </row>
    <row r="1505" spans="1:9" ht="17.100000000000001" customHeight="1">
      <c r="A1505" s="677">
        <v>671106</v>
      </c>
      <c r="B1505" s="677" t="s">
        <v>4079</v>
      </c>
      <c r="C1505" s="678">
        <v>4389.1899999999996</v>
      </c>
      <c r="D1505" s="679">
        <v>0</v>
      </c>
      <c r="E1505" s="679">
        <v>0</v>
      </c>
      <c r="F1505" s="679">
        <v>0</v>
      </c>
      <c r="G1505" s="678">
        <v>4389.1899999999996</v>
      </c>
      <c r="H1505" s="679">
        <v>0</v>
      </c>
      <c r="I1505" s="677" t="s">
        <v>4080</v>
      </c>
    </row>
    <row r="1506" spans="1:9" ht="17.100000000000001" customHeight="1">
      <c r="A1506" s="677">
        <v>67110601</v>
      </c>
      <c r="B1506" s="677" t="s">
        <v>4079</v>
      </c>
      <c r="C1506" s="678">
        <v>4389.1899999999996</v>
      </c>
      <c r="D1506" s="679">
        <v>0</v>
      </c>
      <c r="E1506" s="679">
        <v>0</v>
      </c>
      <c r="F1506" s="679">
        <v>0</v>
      </c>
      <c r="G1506" s="678">
        <v>4389.1899999999996</v>
      </c>
      <c r="H1506" s="679">
        <v>0</v>
      </c>
      <c r="I1506" s="677" t="s">
        <v>4081</v>
      </c>
    </row>
    <row r="1507" spans="1:9" ht="17.100000000000001" customHeight="1">
      <c r="A1507" s="677">
        <v>671199</v>
      </c>
      <c r="B1507" s="677" t="s">
        <v>2326</v>
      </c>
      <c r="C1507" s="678">
        <v>696448.28</v>
      </c>
      <c r="D1507" s="679">
        <v>0</v>
      </c>
      <c r="E1507" s="679">
        <v>40.92</v>
      </c>
      <c r="F1507" s="679">
        <v>0</v>
      </c>
      <c r="G1507" s="678">
        <v>696489.2</v>
      </c>
      <c r="H1507" s="679">
        <v>0</v>
      </c>
      <c r="I1507" s="677" t="s">
        <v>2327</v>
      </c>
    </row>
    <row r="1508" spans="1:9" ht="17.100000000000001" customHeight="1">
      <c r="A1508" s="677">
        <v>67119999</v>
      </c>
      <c r="B1508" s="677" t="s">
        <v>2326</v>
      </c>
      <c r="C1508" s="678">
        <v>696448.28</v>
      </c>
      <c r="D1508" s="679">
        <v>0</v>
      </c>
      <c r="E1508" s="679">
        <v>40.92</v>
      </c>
      <c r="F1508" s="679">
        <v>0</v>
      </c>
      <c r="G1508" s="678">
        <v>696489.2</v>
      </c>
      <c r="H1508" s="679">
        <v>0</v>
      </c>
      <c r="I1508" s="677" t="s">
        <v>2328</v>
      </c>
    </row>
    <row r="1509" spans="1:9" ht="17.100000000000001" customHeight="1">
      <c r="A1509" s="677">
        <v>6801</v>
      </c>
      <c r="B1509" s="677" t="s">
        <v>4082</v>
      </c>
      <c r="C1509" s="678">
        <v>623013284.49000001</v>
      </c>
      <c r="D1509" s="679">
        <v>0</v>
      </c>
      <c r="E1509" s="678">
        <v>47967951.659999996</v>
      </c>
      <c r="F1509" s="679">
        <v>0</v>
      </c>
      <c r="G1509" s="678">
        <v>670981236.14999998</v>
      </c>
      <c r="H1509" s="679">
        <v>0</v>
      </c>
      <c r="I1509" s="677" t="s">
        <v>4083</v>
      </c>
    </row>
    <row r="1510" spans="1:9" ht="17.100000000000001" customHeight="1">
      <c r="A1510" s="677">
        <v>680101</v>
      </c>
      <c r="B1510" s="677" t="s">
        <v>4084</v>
      </c>
      <c r="C1510" s="678">
        <v>623013284.49000001</v>
      </c>
      <c r="D1510" s="679">
        <v>0</v>
      </c>
      <c r="E1510" s="678">
        <v>47967951.659999996</v>
      </c>
      <c r="F1510" s="679">
        <v>0</v>
      </c>
      <c r="G1510" s="678">
        <v>670981236.14999998</v>
      </c>
      <c r="H1510" s="679">
        <v>0</v>
      </c>
      <c r="I1510" s="677" t="s">
        <v>4085</v>
      </c>
    </row>
    <row r="1511" spans="1:9" ht="17.100000000000001" customHeight="1">
      <c r="A1511" s="677">
        <v>68010101</v>
      </c>
      <c r="B1511" s="677" t="s">
        <v>4084</v>
      </c>
      <c r="C1511" s="678">
        <v>623013284.49000001</v>
      </c>
      <c r="D1511" s="679">
        <v>0</v>
      </c>
      <c r="E1511" s="678">
        <v>47967951.659999996</v>
      </c>
      <c r="F1511" s="679">
        <v>0</v>
      </c>
      <c r="G1511" s="678">
        <v>670981236.14999998</v>
      </c>
      <c r="H1511" s="679">
        <v>0</v>
      </c>
      <c r="I1511" s="677" t="s">
        <v>4086</v>
      </c>
    </row>
    <row r="1512" spans="1:9" ht="17.100000000000001" customHeight="1">
      <c r="A1512" s="677">
        <v>6901</v>
      </c>
      <c r="B1512" s="677" t="s">
        <v>4166</v>
      </c>
      <c r="C1512" s="678">
        <v>3112.3</v>
      </c>
      <c r="D1512" s="679">
        <v>0</v>
      </c>
      <c r="E1512" s="679">
        <v>0</v>
      </c>
      <c r="F1512" s="679">
        <v>0</v>
      </c>
      <c r="G1512" s="678">
        <v>3112.3</v>
      </c>
      <c r="H1512" s="679">
        <v>0</v>
      </c>
      <c r="I1512" s="677" t="s">
        <v>4167</v>
      </c>
    </row>
    <row r="1513" spans="1:9" ht="17.100000000000001" customHeight="1">
      <c r="A1513" s="677">
        <v>690101</v>
      </c>
      <c r="B1513" s="677" t="s">
        <v>4168</v>
      </c>
      <c r="C1513" s="678">
        <v>3112.3</v>
      </c>
      <c r="D1513" s="679">
        <v>0</v>
      </c>
      <c r="E1513" s="679">
        <v>0</v>
      </c>
      <c r="F1513" s="679">
        <v>0</v>
      </c>
      <c r="G1513" s="678">
        <v>3112.3</v>
      </c>
      <c r="H1513" s="679">
        <v>0</v>
      </c>
      <c r="I1513" s="677" t="s">
        <v>4169</v>
      </c>
    </row>
    <row r="1514" spans="1:9" ht="17.100000000000001" customHeight="1">
      <c r="A1514" s="677">
        <v>69010101</v>
      </c>
      <c r="B1514" s="677" t="s">
        <v>4168</v>
      </c>
      <c r="C1514" s="678">
        <v>3112.3</v>
      </c>
      <c r="D1514" s="679">
        <v>0</v>
      </c>
      <c r="E1514" s="679">
        <v>0</v>
      </c>
      <c r="F1514" s="679">
        <v>0</v>
      </c>
      <c r="G1514" s="678">
        <v>3112.3</v>
      </c>
      <c r="H1514" s="679">
        <v>0</v>
      </c>
      <c r="I1514" s="677" t="s">
        <v>4170</v>
      </c>
    </row>
    <row r="1515" spans="1:9" ht="17.100000000000001" customHeight="1">
      <c r="A1515" s="677"/>
      <c r="B1515" s="684" t="s">
        <v>3787</v>
      </c>
      <c r="C1515" s="678">
        <v>11404576320.610001</v>
      </c>
      <c r="D1515" s="678">
        <v>14842204392.299999</v>
      </c>
      <c r="E1515" s="678">
        <v>1443132357.6300001</v>
      </c>
      <c r="F1515" s="678">
        <v>821652845.64999998</v>
      </c>
      <c r="G1515" s="678">
        <v>12846043709.469999</v>
      </c>
      <c r="H1515" s="678">
        <v>15662192269.18</v>
      </c>
      <c r="I1515" s="677" t="s">
        <v>1125</v>
      </c>
    </row>
    <row r="1516" spans="1:9" ht="17.100000000000001" customHeight="1">
      <c r="A1516" s="677"/>
      <c r="B1516" s="684" t="s">
        <v>3789</v>
      </c>
      <c r="C1516" s="678">
        <v>784267751028.81995</v>
      </c>
      <c r="D1516" s="678">
        <v>784267751028.81995</v>
      </c>
      <c r="E1516" s="678">
        <v>640419532176.81995</v>
      </c>
      <c r="F1516" s="678">
        <v>640419532176.81995</v>
      </c>
      <c r="G1516" s="678">
        <v>776243866759.58997</v>
      </c>
      <c r="H1516" s="678">
        <v>776243866759.58997</v>
      </c>
      <c r="I1516" s="677" t="s">
        <v>1125</v>
      </c>
    </row>
    <row r="1517" spans="1:9" ht="17.100000000000001" customHeight="1">
      <c r="A1517" s="320"/>
      <c r="B1517" s="320"/>
      <c r="C1517" s="320"/>
      <c r="D1517" s="557" t="s">
        <v>4317</v>
      </c>
      <c r="E1517" s="320" t="s">
        <v>3788</v>
      </c>
      <c r="F1517" s="320"/>
      <c r="G1517" s="320"/>
      <c r="H1517" s="320"/>
      <c r="I1517" s="320"/>
    </row>
    <row r="1518" spans="1:9" ht="17.100000000000001" customHeight="1">
      <c r="A1518" s="671"/>
      <c r="B1518" s="671"/>
      <c r="C1518" s="671"/>
      <c r="D1518" s="671"/>
      <c r="E1518" s="671"/>
      <c r="F1518" s="671"/>
      <c r="G1518" s="671"/>
      <c r="H1518" s="671"/>
      <c r="I1518" s="671"/>
    </row>
    <row r="1519" spans="1:9" ht="17.100000000000001" customHeight="1">
      <c r="A1519" s="320"/>
      <c r="B1519" s="320"/>
      <c r="C1519" s="672" t="s">
        <v>4316</v>
      </c>
      <c r="D1519" s="320"/>
      <c r="E1519" s="320"/>
      <c r="F1519" s="671"/>
      <c r="G1519" s="671"/>
      <c r="H1519" s="671"/>
      <c r="I1519" s="671"/>
    </row>
    <row r="1520" spans="1:9" ht="17.100000000000001" customHeight="1">
      <c r="A1520" s="673" t="s">
        <v>3708</v>
      </c>
      <c r="B1520" s="673"/>
      <c r="C1520" s="683">
        <v>42551</v>
      </c>
      <c r="D1520" s="673"/>
      <c r="E1520" s="557" t="s">
        <v>3709</v>
      </c>
      <c r="F1520" s="671"/>
      <c r="G1520" s="671"/>
      <c r="H1520" s="671"/>
      <c r="I1520" s="671"/>
    </row>
    <row r="1521" spans="1:9" ht="17.100000000000001" customHeight="1">
      <c r="A1521" s="676" t="s">
        <v>596</v>
      </c>
      <c r="B1521" s="676" t="s">
        <v>597</v>
      </c>
      <c r="C1521" s="676" t="s">
        <v>3710</v>
      </c>
      <c r="D1521" s="676" t="s">
        <v>3711</v>
      </c>
      <c r="E1521" s="676" t="s">
        <v>3712</v>
      </c>
      <c r="F1521" s="676" t="s">
        <v>3713</v>
      </c>
      <c r="G1521" s="676" t="s">
        <v>3714</v>
      </c>
      <c r="H1521" s="676" t="s">
        <v>3715</v>
      </c>
      <c r="I1521" s="676" t="s">
        <v>596</v>
      </c>
    </row>
    <row r="1522" spans="1:9" ht="17.100000000000001" customHeight="1">
      <c r="A1522" s="677">
        <v>9103</v>
      </c>
      <c r="B1522" s="677" t="s">
        <v>2329</v>
      </c>
      <c r="C1522" s="678">
        <v>11353445056.129999</v>
      </c>
      <c r="D1522" s="679">
        <v>0</v>
      </c>
      <c r="E1522" s="678">
        <v>29760035.629999999</v>
      </c>
      <c r="F1522" s="678">
        <v>133691103.52</v>
      </c>
      <c r="G1522" s="678">
        <v>11249513988.24</v>
      </c>
      <c r="H1522" s="679">
        <v>0</v>
      </c>
      <c r="I1522" s="677" t="s">
        <v>2330</v>
      </c>
    </row>
    <row r="1523" spans="1:9" ht="28.5" customHeight="1">
      <c r="A1523" s="677">
        <v>910301</v>
      </c>
      <c r="B1523" s="677" t="s">
        <v>450</v>
      </c>
      <c r="C1523" s="678">
        <v>11353445056.129999</v>
      </c>
      <c r="D1523" s="679">
        <v>0</v>
      </c>
      <c r="E1523" s="678">
        <v>29760035.629999999</v>
      </c>
      <c r="F1523" s="678">
        <v>133691103.52</v>
      </c>
      <c r="G1523" s="678">
        <v>11249513988.24</v>
      </c>
      <c r="H1523" s="679">
        <v>0</v>
      </c>
      <c r="I1523" s="677" t="s">
        <v>2331</v>
      </c>
    </row>
    <row r="1524" spans="1:9" ht="24">
      <c r="A1524" s="677">
        <v>91030101</v>
      </c>
      <c r="B1524" s="677" t="s">
        <v>450</v>
      </c>
      <c r="C1524" s="678">
        <v>11353445056.129999</v>
      </c>
      <c r="D1524" s="679">
        <v>0</v>
      </c>
      <c r="E1524" s="678">
        <v>29760035.629999999</v>
      </c>
      <c r="F1524" s="678">
        <v>133691103.52</v>
      </c>
      <c r="G1524" s="678">
        <v>11249513988.24</v>
      </c>
      <c r="H1524" s="679">
        <v>0</v>
      </c>
      <c r="I1524" s="677" t="s">
        <v>2332</v>
      </c>
    </row>
    <row r="1525" spans="1:9">
      <c r="A1525" s="677">
        <v>9105</v>
      </c>
      <c r="B1525" s="677" t="s">
        <v>2333</v>
      </c>
      <c r="C1525" s="678">
        <v>4776869228.5799999</v>
      </c>
      <c r="D1525" s="679">
        <v>0</v>
      </c>
      <c r="E1525" s="678">
        <v>18779291.789999999</v>
      </c>
      <c r="F1525" s="678">
        <v>171755681.66999999</v>
      </c>
      <c r="G1525" s="678">
        <v>4623892838.6999998</v>
      </c>
      <c r="H1525" s="679">
        <v>0</v>
      </c>
      <c r="I1525" s="677" t="s">
        <v>2334</v>
      </c>
    </row>
    <row r="1526" spans="1:9">
      <c r="A1526" s="677">
        <v>910501</v>
      </c>
      <c r="B1526" s="677" t="s">
        <v>2335</v>
      </c>
      <c r="C1526" s="678">
        <v>8594611.2300000004</v>
      </c>
      <c r="D1526" s="679">
        <v>0</v>
      </c>
      <c r="E1526" s="678">
        <v>18480852.920000002</v>
      </c>
      <c r="F1526" s="679">
        <v>0</v>
      </c>
      <c r="G1526" s="678">
        <v>27075464.149999999</v>
      </c>
      <c r="H1526" s="679">
        <v>0</v>
      </c>
      <c r="I1526" s="677" t="s">
        <v>2336</v>
      </c>
    </row>
    <row r="1527" spans="1:9" ht="28.5" customHeight="1">
      <c r="A1527" s="677">
        <v>91050101</v>
      </c>
      <c r="B1527" s="677" t="s">
        <v>4150</v>
      </c>
      <c r="C1527" s="679">
        <v>0</v>
      </c>
      <c r="D1527" s="679">
        <v>0</v>
      </c>
      <c r="E1527" s="678">
        <v>2000000</v>
      </c>
      <c r="F1527" s="679">
        <v>0</v>
      </c>
      <c r="G1527" s="678">
        <v>2000000</v>
      </c>
      <c r="H1527" s="679">
        <v>0</v>
      </c>
      <c r="I1527" s="677" t="s">
        <v>4151</v>
      </c>
    </row>
    <row r="1528" spans="1:9" ht="17.100000000000001" customHeight="1">
      <c r="A1528" s="677">
        <v>91050102</v>
      </c>
      <c r="B1528" s="677" t="s">
        <v>2337</v>
      </c>
      <c r="C1528" s="678">
        <v>8594611.2300000004</v>
      </c>
      <c r="D1528" s="679">
        <v>0</v>
      </c>
      <c r="E1528" s="678">
        <v>16480852.92</v>
      </c>
      <c r="F1528" s="679">
        <v>0</v>
      </c>
      <c r="G1528" s="678">
        <v>25075464.149999999</v>
      </c>
      <c r="H1528" s="679">
        <v>0</v>
      </c>
      <c r="I1528" s="677" t="s">
        <v>2338</v>
      </c>
    </row>
    <row r="1529" spans="1:9" ht="17.100000000000001" customHeight="1">
      <c r="A1529" s="677">
        <v>910502</v>
      </c>
      <c r="B1529" s="677" t="s">
        <v>2339</v>
      </c>
      <c r="C1529" s="678">
        <v>4768274617.3500004</v>
      </c>
      <c r="D1529" s="679">
        <v>0</v>
      </c>
      <c r="E1529" s="678">
        <v>298438.87</v>
      </c>
      <c r="F1529" s="678">
        <v>171755681.66999999</v>
      </c>
      <c r="G1529" s="678">
        <v>4596817374.5500002</v>
      </c>
      <c r="H1529" s="679">
        <v>0</v>
      </c>
      <c r="I1529" s="677" t="s">
        <v>2340</v>
      </c>
    </row>
    <row r="1530" spans="1:9" ht="17.100000000000001" customHeight="1">
      <c r="A1530" s="677">
        <v>91050201</v>
      </c>
      <c r="B1530" s="677" t="s">
        <v>3503</v>
      </c>
      <c r="C1530" s="678">
        <v>50000000</v>
      </c>
      <c r="D1530" s="679">
        <v>0</v>
      </c>
      <c r="E1530" s="679">
        <v>0</v>
      </c>
      <c r="F1530" s="679">
        <v>0</v>
      </c>
      <c r="G1530" s="678">
        <v>50000000</v>
      </c>
      <c r="H1530" s="679">
        <v>0</v>
      </c>
      <c r="I1530" s="677" t="s">
        <v>3504</v>
      </c>
    </row>
    <row r="1531" spans="1:9" ht="17.100000000000001" customHeight="1">
      <c r="A1531" s="677">
        <v>91050202</v>
      </c>
      <c r="B1531" s="677" t="s">
        <v>2341</v>
      </c>
      <c r="C1531" s="678">
        <v>4718274617.3500004</v>
      </c>
      <c r="D1531" s="679">
        <v>0</v>
      </c>
      <c r="E1531" s="678">
        <v>298438.87</v>
      </c>
      <c r="F1531" s="678">
        <v>171755681.66999999</v>
      </c>
      <c r="G1531" s="678">
        <v>4546817374.5500002</v>
      </c>
      <c r="H1531" s="679">
        <v>0</v>
      </c>
      <c r="I1531" s="677" t="s">
        <v>2342</v>
      </c>
    </row>
    <row r="1532" spans="1:9" ht="17.100000000000001" customHeight="1">
      <c r="A1532" s="677">
        <v>9106</v>
      </c>
      <c r="B1532" s="677" t="s">
        <v>2343</v>
      </c>
      <c r="C1532" s="678">
        <v>3995915465.1300001</v>
      </c>
      <c r="D1532" s="679">
        <v>0</v>
      </c>
      <c r="E1532" s="678">
        <v>5444074.6699999999</v>
      </c>
      <c r="F1532" s="678">
        <v>6022549.0599999996</v>
      </c>
      <c r="G1532" s="678">
        <v>3995336990.7399998</v>
      </c>
      <c r="H1532" s="679">
        <v>0</v>
      </c>
      <c r="I1532" s="677" t="s">
        <v>2344</v>
      </c>
    </row>
    <row r="1533" spans="1:9" ht="17.100000000000001" customHeight="1">
      <c r="A1533" s="677">
        <v>910601</v>
      </c>
      <c r="B1533" s="677" t="s">
        <v>2345</v>
      </c>
      <c r="C1533" s="678">
        <v>3069889579.2199998</v>
      </c>
      <c r="D1533" s="679">
        <v>0</v>
      </c>
      <c r="E1533" s="678">
        <v>5414074.6699999999</v>
      </c>
      <c r="F1533" s="678">
        <v>6022549.0599999996</v>
      </c>
      <c r="G1533" s="678">
        <v>3069281104.8299999</v>
      </c>
      <c r="H1533" s="679">
        <v>0</v>
      </c>
      <c r="I1533" s="677" t="s">
        <v>2346</v>
      </c>
    </row>
    <row r="1534" spans="1:9" ht="17.100000000000001" customHeight="1">
      <c r="A1534" s="677">
        <v>91060101</v>
      </c>
      <c r="B1534" s="677" t="s">
        <v>2345</v>
      </c>
      <c r="C1534" s="678">
        <v>3069889579.2199998</v>
      </c>
      <c r="D1534" s="679">
        <v>0</v>
      </c>
      <c r="E1534" s="678">
        <v>5414074.6699999999</v>
      </c>
      <c r="F1534" s="678">
        <v>6022549.0599999996</v>
      </c>
      <c r="G1534" s="678">
        <v>3069281104.8299999</v>
      </c>
      <c r="H1534" s="679">
        <v>0</v>
      </c>
      <c r="I1534" s="677" t="s">
        <v>2347</v>
      </c>
    </row>
    <row r="1535" spans="1:9" ht="17.100000000000001" customHeight="1">
      <c r="A1535" s="677">
        <v>910602</v>
      </c>
      <c r="B1535" s="677" t="s">
        <v>2348</v>
      </c>
      <c r="C1535" s="678">
        <v>926025885.90999997</v>
      </c>
      <c r="D1535" s="679">
        <v>0</v>
      </c>
      <c r="E1535" s="678">
        <v>30000</v>
      </c>
      <c r="F1535" s="679">
        <v>0</v>
      </c>
      <c r="G1535" s="678">
        <v>926055885.90999997</v>
      </c>
      <c r="H1535" s="679">
        <v>0</v>
      </c>
      <c r="I1535" s="677" t="s">
        <v>2349</v>
      </c>
    </row>
    <row r="1536" spans="1:9" ht="17.100000000000001" customHeight="1">
      <c r="A1536" s="677">
        <v>91060201</v>
      </c>
      <c r="B1536" s="677" t="s">
        <v>2348</v>
      </c>
      <c r="C1536" s="678">
        <v>926025885.90999997</v>
      </c>
      <c r="D1536" s="679">
        <v>0</v>
      </c>
      <c r="E1536" s="678">
        <v>30000</v>
      </c>
      <c r="F1536" s="679">
        <v>0</v>
      </c>
      <c r="G1536" s="678">
        <v>926055885.90999997</v>
      </c>
      <c r="H1536" s="679">
        <v>0</v>
      </c>
      <c r="I1536" s="677" t="s">
        <v>2350</v>
      </c>
    </row>
    <row r="1537" spans="1:9" ht="17.100000000000001" customHeight="1">
      <c r="A1537" s="677">
        <v>9107</v>
      </c>
      <c r="B1537" s="677" t="s">
        <v>2351</v>
      </c>
      <c r="C1537" s="678">
        <v>528000000</v>
      </c>
      <c r="D1537" s="679">
        <v>0</v>
      </c>
      <c r="E1537" s="679">
        <v>0</v>
      </c>
      <c r="F1537" s="679">
        <v>0</v>
      </c>
      <c r="G1537" s="678">
        <v>528000000</v>
      </c>
      <c r="H1537" s="679">
        <v>0</v>
      </c>
      <c r="I1537" s="677" t="s">
        <v>2352</v>
      </c>
    </row>
    <row r="1538" spans="1:9" ht="17.100000000000001" customHeight="1">
      <c r="A1538" s="677">
        <v>910701</v>
      </c>
      <c r="B1538" s="677" t="s">
        <v>2351</v>
      </c>
      <c r="C1538" s="678">
        <v>528000000</v>
      </c>
      <c r="D1538" s="679">
        <v>0</v>
      </c>
      <c r="E1538" s="679">
        <v>0</v>
      </c>
      <c r="F1538" s="679">
        <v>0</v>
      </c>
      <c r="G1538" s="678">
        <v>528000000</v>
      </c>
      <c r="H1538" s="679">
        <v>0</v>
      </c>
      <c r="I1538" s="677" t="s">
        <v>2353</v>
      </c>
    </row>
    <row r="1539" spans="1:9" ht="17.100000000000001" customHeight="1">
      <c r="A1539" s="677">
        <v>91070101</v>
      </c>
      <c r="B1539" s="677" t="s">
        <v>2351</v>
      </c>
      <c r="C1539" s="678">
        <v>528000000</v>
      </c>
      <c r="D1539" s="679">
        <v>0</v>
      </c>
      <c r="E1539" s="679">
        <v>0</v>
      </c>
      <c r="F1539" s="679">
        <v>0</v>
      </c>
      <c r="G1539" s="678">
        <v>528000000</v>
      </c>
      <c r="H1539" s="679">
        <v>0</v>
      </c>
      <c r="I1539" s="677" t="s">
        <v>2354</v>
      </c>
    </row>
    <row r="1540" spans="1:9" ht="17.100000000000001" customHeight="1">
      <c r="A1540" s="677">
        <v>9111</v>
      </c>
      <c r="B1540" s="677" t="s">
        <v>3380</v>
      </c>
      <c r="C1540" s="678">
        <v>3700464489.5799999</v>
      </c>
      <c r="D1540" s="679">
        <v>0</v>
      </c>
      <c r="E1540" s="678">
        <v>65489.73</v>
      </c>
      <c r="F1540" s="679">
        <v>0</v>
      </c>
      <c r="G1540" s="678">
        <v>3700529979.3099999</v>
      </c>
      <c r="H1540" s="679">
        <v>0</v>
      </c>
      <c r="I1540" s="677" t="s">
        <v>2355</v>
      </c>
    </row>
    <row r="1541" spans="1:9" ht="17.100000000000001" customHeight="1">
      <c r="A1541" s="677">
        <v>911101</v>
      </c>
      <c r="B1541" s="677" t="s">
        <v>3381</v>
      </c>
      <c r="C1541" s="678">
        <v>332428035.06999999</v>
      </c>
      <c r="D1541" s="679">
        <v>0</v>
      </c>
      <c r="E1541" s="679">
        <v>0</v>
      </c>
      <c r="F1541" s="679">
        <v>0</v>
      </c>
      <c r="G1541" s="678">
        <v>332428035.06999999</v>
      </c>
      <c r="H1541" s="679">
        <v>0</v>
      </c>
      <c r="I1541" s="677" t="s">
        <v>2357</v>
      </c>
    </row>
    <row r="1542" spans="1:9" ht="17.100000000000001" customHeight="1">
      <c r="A1542" s="677">
        <v>91110101</v>
      </c>
      <c r="B1542" s="677" t="s">
        <v>2356</v>
      </c>
      <c r="C1542" s="678">
        <v>332428035.06999999</v>
      </c>
      <c r="D1542" s="679">
        <v>0</v>
      </c>
      <c r="E1542" s="679">
        <v>0</v>
      </c>
      <c r="F1542" s="679">
        <v>0</v>
      </c>
      <c r="G1542" s="678">
        <v>332428035.06999999</v>
      </c>
      <c r="H1542" s="679">
        <v>0</v>
      </c>
      <c r="I1542" s="677" t="s">
        <v>2358</v>
      </c>
    </row>
    <row r="1543" spans="1:9" ht="17.100000000000001" customHeight="1">
      <c r="A1543" s="677">
        <v>911102</v>
      </c>
      <c r="B1543" s="677" t="s">
        <v>3381</v>
      </c>
      <c r="C1543" s="678">
        <v>3368036454.5100002</v>
      </c>
      <c r="D1543" s="679">
        <v>0</v>
      </c>
      <c r="E1543" s="678">
        <v>65489.73</v>
      </c>
      <c r="F1543" s="679">
        <v>0</v>
      </c>
      <c r="G1543" s="678">
        <v>3368101944.2399998</v>
      </c>
      <c r="H1543" s="679">
        <v>0</v>
      </c>
      <c r="I1543" s="677" t="s">
        <v>2360</v>
      </c>
    </row>
    <row r="1544" spans="1:9" ht="17.100000000000001" customHeight="1">
      <c r="A1544" s="677">
        <v>91110201</v>
      </c>
      <c r="B1544" s="677" t="s">
        <v>2359</v>
      </c>
      <c r="C1544" s="678">
        <v>3318036454.5100002</v>
      </c>
      <c r="D1544" s="679">
        <v>0</v>
      </c>
      <c r="E1544" s="678">
        <v>65489.73</v>
      </c>
      <c r="F1544" s="679">
        <v>0</v>
      </c>
      <c r="G1544" s="678">
        <v>3318101944.2399998</v>
      </c>
      <c r="H1544" s="679">
        <v>0</v>
      </c>
      <c r="I1544" s="677" t="s">
        <v>2361</v>
      </c>
    </row>
    <row r="1545" spans="1:9" ht="17.100000000000001" customHeight="1">
      <c r="A1545" s="677">
        <v>91110202</v>
      </c>
      <c r="B1545" s="677" t="s">
        <v>3505</v>
      </c>
      <c r="C1545" s="678">
        <v>50000000</v>
      </c>
      <c r="D1545" s="679">
        <v>0</v>
      </c>
      <c r="E1545" s="679">
        <v>0</v>
      </c>
      <c r="F1545" s="679">
        <v>0</v>
      </c>
      <c r="G1545" s="678">
        <v>50000000</v>
      </c>
      <c r="H1545" s="679">
        <v>0</v>
      </c>
      <c r="I1545" s="677" t="s">
        <v>3506</v>
      </c>
    </row>
    <row r="1546" spans="1:9" ht="17.100000000000001" customHeight="1">
      <c r="A1546" s="677">
        <v>9112</v>
      </c>
      <c r="B1546" s="677" t="s">
        <v>2362</v>
      </c>
      <c r="C1546" s="678">
        <v>4489706.0999999996</v>
      </c>
      <c r="D1546" s="679">
        <v>0</v>
      </c>
      <c r="E1546" s="678">
        <v>359504.63</v>
      </c>
      <c r="F1546" s="679">
        <v>0</v>
      </c>
      <c r="G1546" s="678">
        <v>4849210.7300000004</v>
      </c>
      <c r="H1546" s="679">
        <v>0</v>
      </c>
      <c r="I1546" s="677" t="s">
        <v>2363</v>
      </c>
    </row>
    <row r="1547" spans="1:9" ht="17.100000000000001" customHeight="1">
      <c r="A1547" s="677">
        <v>911201</v>
      </c>
      <c r="B1547" s="677" t="s">
        <v>2364</v>
      </c>
      <c r="C1547" s="678">
        <v>885766.29</v>
      </c>
      <c r="D1547" s="679">
        <v>0</v>
      </c>
      <c r="E1547" s="679">
        <v>0</v>
      </c>
      <c r="F1547" s="679">
        <v>0</v>
      </c>
      <c r="G1547" s="678">
        <v>885766.29</v>
      </c>
      <c r="H1547" s="679">
        <v>0</v>
      </c>
      <c r="I1547" s="677" t="s">
        <v>2365</v>
      </c>
    </row>
    <row r="1548" spans="1:9" ht="17.100000000000001" customHeight="1">
      <c r="A1548" s="677">
        <v>91120101</v>
      </c>
      <c r="B1548" s="677" t="s">
        <v>2364</v>
      </c>
      <c r="C1548" s="678">
        <v>885766.29</v>
      </c>
      <c r="D1548" s="679">
        <v>0</v>
      </c>
      <c r="E1548" s="679">
        <v>0</v>
      </c>
      <c r="F1548" s="679">
        <v>0</v>
      </c>
      <c r="G1548" s="678">
        <v>885766.29</v>
      </c>
      <c r="H1548" s="679">
        <v>0</v>
      </c>
      <c r="I1548" s="677" t="s">
        <v>2366</v>
      </c>
    </row>
    <row r="1549" spans="1:9" ht="17.100000000000001" customHeight="1">
      <c r="A1549" s="677">
        <v>911202</v>
      </c>
      <c r="B1549" s="677" t="s">
        <v>2367</v>
      </c>
      <c r="C1549" s="678">
        <v>2616758.06</v>
      </c>
      <c r="D1549" s="679">
        <v>0</v>
      </c>
      <c r="E1549" s="679">
        <v>0</v>
      </c>
      <c r="F1549" s="679">
        <v>0</v>
      </c>
      <c r="G1549" s="678">
        <v>2616758.06</v>
      </c>
      <c r="H1549" s="679">
        <v>0</v>
      </c>
      <c r="I1549" s="677" t="s">
        <v>2368</v>
      </c>
    </row>
    <row r="1550" spans="1:9" ht="17.100000000000001" customHeight="1">
      <c r="A1550" s="677">
        <v>91120201</v>
      </c>
      <c r="B1550" s="677" t="s">
        <v>2367</v>
      </c>
      <c r="C1550" s="678">
        <v>2616758.06</v>
      </c>
      <c r="D1550" s="679">
        <v>0</v>
      </c>
      <c r="E1550" s="679">
        <v>0</v>
      </c>
      <c r="F1550" s="679">
        <v>0</v>
      </c>
      <c r="G1550" s="678">
        <v>2616758.06</v>
      </c>
      <c r="H1550" s="679">
        <v>0</v>
      </c>
      <c r="I1550" s="677" t="s">
        <v>2369</v>
      </c>
    </row>
    <row r="1551" spans="1:9" ht="17.100000000000001" customHeight="1">
      <c r="A1551" s="677">
        <v>911203</v>
      </c>
      <c r="B1551" s="677" t="s">
        <v>2370</v>
      </c>
      <c r="C1551" s="678">
        <v>10570.37</v>
      </c>
      <c r="D1551" s="679">
        <v>0</v>
      </c>
      <c r="E1551" s="678">
        <v>359504.63</v>
      </c>
      <c r="F1551" s="679">
        <v>0</v>
      </c>
      <c r="G1551" s="678">
        <v>370075</v>
      </c>
      <c r="H1551" s="679">
        <v>0</v>
      </c>
      <c r="I1551" s="677" t="s">
        <v>2371</v>
      </c>
    </row>
    <row r="1552" spans="1:9" ht="17.100000000000001" customHeight="1">
      <c r="A1552" s="677">
        <v>91120301</v>
      </c>
      <c r="B1552" s="677" t="s">
        <v>2370</v>
      </c>
      <c r="C1552" s="678">
        <v>10570.37</v>
      </c>
      <c r="D1552" s="679">
        <v>0</v>
      </c>
      <c r="E1552" s="678">
        <v>359504.63</v>
      </c>
      <c r="F1552" s="679">
        <v>0</v>
      </c>
      <c r="G1552" s="678">
        <v>370075</v>
      </c>
      <c r="H1552" s="679">
        <v>0</v>
      </c>
      <c r="I1552" s="677" t="s">
        <v>2372</v>
      </c>
    </row>
    <row r="1553" spans="1:9" ht="17.100000000000001" customHeight="1">
      <c r="A1553" s="677">
        <v>911204</v>
      </c>
      <c r="B1553" s="677" t="s">
        <v>2373</v>
      </c>
      <c r="C1553" s="678">
        <v>976611.38</v>
      </c>
      <c r="D1553" s="679">
        <v>0</v>
      </c>
      <c r="E1553" s="679">
        <v>0</v>
      </c>
      <c r="F1553" s="679">
        <v>0</v>
      </c>
      <c r="G1553" s="678">
        <v>976611.38</v>
      </c>
      <c r="H1553" s="679">
        <v>0</v>
      </c>
      <c r="I1553" s="677" t="s">
        <v>2374</v>
      </c>
    </row>
    <row r="1554" spans="1:9" ht="17.100000000000001" customHeight="1">
      <c r="A1554" s="677">
        <v>91120401</v>
      </c>
      <c r="B1554" s="677" t="s">
        <v>2373</v>
      </c>
      <c r="C1554" s="678">
        <v>976611.38</v>
      </c>
      <c r="D1554" s="679">
        <v>0</v>
      </c>
      <c r="E1554" s="679">
        <v>0</v>
      </c>
      <c r="F1554" s="679">
        <v>0</v>
      </c>
      <c r="G1554" s="678">
        <v>976611.38</v>
      </c>
      <c r="H1554" s="679">
        <v>0</v>
      </c>
      <c r="I1554" s="677" t="s">
        <v>2375</v>
      </c>
    </row>
    <row r="1555" spans="1:9" ht="17.100000000000001" customHeight="1">
      <c r="A1555" s="677">
        <v>9113</v>
      </c>
      <c r="B1555" s="677" t="s">
        <v>2376</v>
      </c>
      <c r="C1555" s="678">
        <v>14948604.529999999</v>
      </c>
      <c r="D1555" s="679">
        <v>0</v>
      </c>
      <c r="E1555" s="679">
        <v>0</v>
      </c>
      <c r="F1555" s="679">
        <v>0</v>
      </c>
      <c r="G1555" s="678">
        <v>14948604.529999999</v>
      </c>
      <c r="H1555" s="679">
        <v>0</v>
      </c>
      <c r="I1555" s="677" t="s">
        <v>2377</v>
      </c>
    </row>
    <row r="1556" spans="1:9" ht="17.100000000000001" customHeight="1">
      <c r="A1556" s="320"/>
      <c r="B1556" s="320"/>
      <c r="C1556" s="320"/>
      <c r="D1556" s="557" t="s">
        <v>4317</v>
      </c>
      <c r="E1556" s="320" t="s">
        <v>3790</v>
      </c>
      <c r="F1556" s="320"/>
      <c r="G1556" s="320"/>
      <c r="H1556" s="320"/>
      <c r="I1556" s="320"/>
    </row>
    <row r="1557" spans="1:9" ht="17.100000000000001" customHeight="1">
      <c r="A1557" s="671"/>
      <c r="B1557" s="671"/>
      <c r="C1557" s="671"/>
      <c r="D1557" s="671"/>
      <c r="E1557" s="671"/>
      <c r="F1557" s="671"/>
      <c r="G1557" s="671"/>
      <c r="H1557" s="671"/>
      <c r="I1557" s="671"/>
    </row>
    <row r="1558" spans="1:9" ht="17.100000000000001" customHeight="1">
      <c r="A1558" s="320"/>
      <c r="B1558" s="320"/>
      <c r="C1558" s="672" t="s">
        <v>4316</v>
      </c>
      <c r="D1558" s="320"/>
      <c r="E1558" s="320"/>
      <c r="F1558" s="671"/>
      <c r="G1558" s="671"/>
      <c r="H1558" s="671"/>
      <c r="I1558" s="671"/>
    </row>
    <row r="1559" spans="1:9" ht="17.100000000000001" customHeight="1">
      <c r="A1559" s="673" t="s">
        <v>3708</v>
      </c>
      <c r="B1559" s="673"/>
      <c r="C1559" s="683">
        <v>42551</v>
      </c>
      <c r="D1559" s="673"/>
      <c r="E1559" s="557" t="s">
        <v>3709</v>
      </c>
      <c r="F1559" s="671"/>
      <c r="G1559" s="671"/>
      <c r="H1559" s="671"/>
      <c r="I1559" s="671"/>
    </row>
    <row r="1560" spans="1:9" ht="17.100000000000001" customHeight="1">
      <c r="A1560" s="676" t="s">
        <v>596</v>
      </c>
      <c r="B1560" s="676" t="s">
        <v>597</v>
      </c>
      <c r="C1560" s="676" t="s">
        <v>3710</v>
      </c>
      <c r="D1560" s="676" t="s">
        <v>3711</v>
      </c>
      <c r="E1560" s="676" t="s">
        <v>3712</v>
      </c>
      <c r="F1560" s="676" t="s">
        <v>3713</v>
      </c>
      <c r="G1560" s="676" t="s">
        <v>3714</v>
      </c>
      <c r="H1560" s="676" t="s">
        <v>3715</v>
      </c>
      <c r="I1560" s="676" t="s">
        <v>596</v>
      </c>
    </row>
    <row r="1561" spans="1:9" ht="17.100000000000001" customHeight="1">
      <c r="A1561" s="677">
        <v>911301</v>
      </c>
      <c r="B1561" s="677" t="s">
        <v>2378</v>
      </c>
      <c r="C1561" s="678">
        <v>14959630.529999999</v>
      </c>
      <c r="D1561" s="679">
        <v>0</v>
      </c>
      <c r="E1561" s="679">
        <v>0</v>
      </c>
      <c r="F1561" s="679">
        <v>0</v>
      </c>
      <c r="G1561" s="678">
        <v>14959630.529999999</v>
      </c>
      <c r="H1561" s="679">
        <v>0</v>
      </c>
      <c r="I1561" s="677" t="s">
        <v>2379</v>
      </c>
    </row>
    <row r="1562" spans="1:9" ht="28.5" customHeight="1">
      <c r="A1562" s="677">
        <v>91130101</v>
      </c>
      <c r="B1562" s="677" t="s">
        <v>2378</v>
      </c>
      <c r="C1562" s="678">
        <v>14959630.529999999</v>
      </c>
      <c r="D1562" s="679">
        <v>0</v>
      </c>
      <c r="E1562" s="679">
        <v>0</v>
      </c>
      <c r="F1562" s="679">
        <v>0</v>
      </c>
      <c r="G1562" s="678">
        <v>14959630.529999999</v>
      </c>
      <c r="H1562" s="679">
        <v>0</v>
      </c>
      <c r="I1562" s="677" t="s">
        <v>2380</v>
      </c>
    </row>
    <row r="1563" spans="1:9">
      <c r="A1563" s="677">
        <v>911302</v>
      </c>
      <c r="B1563" s="677" t="s">
        <v>2381</v>
      </c>
      <c r="C1563" s="678">
        <v>-11026</v>
      </c>
      <c r="D1563" s="679">
        <v>0</v>
      </c>
      <c r="E1563" s="679">
        <v>0</v>
      </c>
      <c r="F1563" s="679">
        <v>0</v>
      </c>
      <c r="G1563" s="678">
        <v>-11026</v>
      </c>
      <c r="H1563" s="679">
        <v>0</v>
      </c>
      <c r="I1563" s="677" t="s">
        <v>2382</v>
      </c>
    </row>
    <row r="1564" spans="1:9" ht="24">
      <c r="A1564" s="677">
        <v>91130201</v>
      </c>
      <c r="B1564" s="677" t="s">
        <v>2381</v>
      </c>
      <c r="C1564" s="678">
        <v>-11026</v>
      </c>
      <c r="D1564" s="679">
        <v>0</v>
      </c>
      <c r="E1564" s="679">
        <v>0</v>
      </c>
      <c r="F1564" s="679">
        <v>0</v>
      </c>
      <c r="G1564" s="678">
        <v>-11026</v>
      </c>
      <c r="H1564" s="679">
        <v>0</v>
      </c>
      <c r="I1564" s="677" t="s">
        <v>2383</v>
      </c>
    </row>
    <row r="1565" spans="1:9">
      <c r="A1565" s="677">
        <v>9114</v>
      </c>
      <c r="B1565" s="677" t="s">
        <v>3382</v>
      </c>
      <c r="C1565" s="678">
        <v>130972406.03</v>
      </c>
      <c r="D1565" s="679">
        <v>0</v>
      </c>
      <c r="E1565" s="678">
        <v>1089738.26</v>
      </c>
      <c r="F1565" s="678">
        <v>65489.73</v>
      </c>
      <c r="G1565" s="678">
        <v>131996654.56</v>
      </c>
      <c r="H1565" s="679">
        <v>0</v>
      </c>
      <c r="I1565" s="677" t="s">
        <v>2384</v>
      </c>
    </row>
    <row r="1566" spans="1:9" ht="28.5" customHeight="1">
      <c r="A1566" s="677">
        <v>911401</v>
      </c>
      <c r="B1566" s="677" t="s">
        <v>2385</v>
      </c>
      <c r="C1566" s="678">
        <v>127067896.08</v>
      </c>
      <c r="D1566" s="679">
        <v>0</v>
      </c>
      <c r="E1566" s="678">
        <v>532352.74</v>
      </c>
      <c r="F1566" s="679">
        <v>0</v>
      </c>
      <c r="G1566" s="678">
        <v>127600248.81999999</v>
      </c>
      <c r="H1566" s="679">
        <v>0</v>
      </c>
      <c r="I1566" s="677" t="s">
        <v>2386</v>
      </c>
    </row>
    <row r="1567" spans="1:9" ht="17.100000000000001" customHeight="1">
      <c r="A1567" s="677">
        <v>91140101</v>
      </c>
      <c r="B1567" s="677" t="s">
        <v>2385</v>
      </c>
      <c r="C1567" s="678">
        <v>127067896.08</v>
      </c>
      <c r="D1567" s="679">
        <v>0</v>
      </c>
      <c r="E1567" s="678">
        <v>532352.74</v>
      </c>
      <c r="F1567" s="679">
        <v>0</v>
      </c>
      <c r="G1567" s="678">
        <v>127600248.81999999</v>
      </c>
      <c r="H1567" s="679">
        <v>0</v>
      </c>
      <c r="I1567" s="677" t="s">
        <v>2387</v>
      </c>
    </row>
    <row r="1568" spans="1:9" ht="17.100000000000001" customHeight="1">
      <c r="A1568" s="677">
        <v>911402</v>
      </c>
      <c r="B1568" s="677" t="s">
        <v>2388</v>
      </c>
      <c r="C1568" s="678">
        <v>3599479.55</v>
      </c>
      <c r="D1568" s="679">
        <v>0</v>
      </c>
      <c r="E1568" s="678">
        <v>557385.52</v>
      </c>
      <c r="F1568" s="678">
        <v>65489.73</v>
      </c>
      <c r="G1568" s="678">
        <v>4091375.34</v>
      </c>
      <c r="H1568" s="679">
        <v>0</v>
      </c>
      <c r="I1568" s="677" t="s">
        <v>2389</v>
      </c>
    </row>
    <row r="1569" spans="1:9" ht="17.100000000000001" customHeight="1">
      <c r="A1569" s="677">
        <v>91140201</v>
      </c>
      <c r="B1569" s="677" t="s">
        <v>2388</v>
      </c>
      <c r="C1569" s="678">
        <v>3599479.55</v>
      </c>
      <c r="D1569" s="679">
        <v>0</v>
      </c>
      <c r="E1569" s="678">
        <v>557385.52</v>
      </c>
      <c r="F1569" s="678">
        <v>65489.73</v>
      </c>
      <c r="G1569" s="678">
        <v>4091375.34</v>
      </c>
      <c r="H1569" s="679">
        <v>0</v>
      </c>
      <c r="I1569" s="677" t="s">
        <v>2390</v>
      </c>
    </row>
    <row r="1570" spans="1:9" ht="17.100000000000001" customHeight="1">
      <c r="A1570" s="677">
        <v>911404</v>
      </c>
      <c r="B1570" s="677" t="s">
        <v>2391</v>
      </c>
      <c r="C1570" s="678">
        <v>305030.40000000002</v>
      </c>
      <c r="D1570" s="679">
        <v>0</v>
      </c>
      <c r="E1570" s="679">
        <v>0</v>
      </c>
      <c r="F1570" s="679">
        <v>0</v>
      </c>
      <c r="G1570" s="678">
        <v>305030.40000000002</v>
      </c>
      <c r="H1570" s="679">
        <v>0</v>
      </c>
      <c r="I1570" s="677" t="s">
        <v>2392</v>
      </c>
    </row>
    <row r="1571" spans="1:9" ht="17.100000000000001" customHeight="1">
      <c r="A1571" s="677">
        <v>91140401</v>
      </c>
      <c r="B1571" s="677" t="s">
        <v>2391</v>
      </c>
      <c r="C1571" s="678">
        <v>305030.40000000002</v>
      </c>
      <c r="D1571" s="679">
        <v>0</v>
      </c>
      <c r="E1571" s="679">
        <v>0</v>
      </c>
      <c r="F1571" s="679">
        <v>0</v>
      </c>
      <c r="G1571" s="678">
        <v>305030.40000000002</v>
      </c>
      <c r="H1571" s="679">
        <v>0</v>
      </c>
      <c r="I1571" s="677" t="s">
        <v>2393</v>
      </c>
    </row>
    <row r="1572" spans="1:9" ht="17.100000000000001" customHeight="1">
      <c r="A1572" s="677">
        <v>9116</v>
      </c>
      <c r="B1572" s="677" t="s">
        <v>2394</v>
      </c>
      <c r="C1572" s="678">
        <v>58582319600</v>
      </c>
      <c r="D1572" s="679">
        <v>0</v>
      </c>
      <c r="E1572" s="678">
        <v>28820340000</v>
      </c>
      <c r="F1572" s="678">
        <v>29040300000</v>
      </c>
      <c r="G1572" s="678">
        <v>58362359600</v>
      </c>
      <c r="H1572" s="679">
        <v>0</v>
      </c>
      <c r="I1572" s="677" t="s">
        <v>2395</v>
      </c>
    </row>
    <row r="1573" spans="1:9" ht="17.100000000000001" customHeight="1">
      <c r="A1573" s="677">
        <v>911601</v>
      </c>
      <c r="B1573" s="677" t="s">
        <v>2394</v>
      </c>
      <c r="C1573" s="678">
        <v>58582319600</v>
      </c>
      <c r="D1573" s="679">
        <v>0</v>
      </c>
      <c r="E1573" s="678">
        <v>28820340000</v>
      </c>
      <c r="F1573" s="678">
        <v>29040300000</v>
      </c>
      <c r="G1573" s="678">
        <v>58362359600</v>
      </c>
      <c r="H1573" s="679">
        <v>0</v>
      </c>
      <c r="I1573" s="677" t="s">
        <v>2396</v>
      </c>
    </row>
    <row r="1574" spans="1:9" ht="17.100000000000001" customHeight="1">
      <c r="A1574" s="677">
        <v>91160101</v>
      </c>
      <c r="B1574" s="677" t="s">
        <v>2394</v>
      </c>
      <c r="C1574" s="678">
        <v>58582319600</v>
      </c>
      <c r="D1574" s="679">
        <v>0</v>
      </c>
      <c r="E1574" s="678">
        <v>28820340000</v>
      </c>
      <c r="F1574" s="678">
        <v>29040300000</v>
      </c>
      <c r="G1574" s="678">
        <v>58362359600</v>
      </c>
      <c r="H1574" s="679">
        <v>0</v>
      </c>
      <c r="I1574" s="677" t="s">
        <v>2397</v>
      </c>
    </row>
    <row r="1575" spans="1:9" ht="17.100000000000001" customHeight="1">
      <c r="A1575" s="677">
        <v>9120</v>
      </c>
      <c r="B1575" s="677" t="s">
        <v>2398</v>
      </c>
      <c r="C1575" s="678">
        <v>2305671</v>
      </c>
      <c r="D1575" s="679">
        <v>0</v>
      </c>
      <c r="E1575" s="678">
        <v>162337</v>
      </c>
      <c r="F1575" s="678">
        <v>69572</v>
      </c>
      <c r="G1575" s="678">
        <v>2398436</v>
      </c>
      <c r="H1575" s="679">
        <v>0</v>
      </c>
      <c r="I1575" s="677" t="s">
        <v>2399</v>
      </c>
    </row>
    <row r="1576" spans="1:9" ht="17.100000000000001" customHeight="1">
      <c r="A1576" s="677">
        <v>912001</v>
      </c>
      <c r="B1576" s="677" t="s">
        <v>2398</v>
      </c>
      <c r="C1576" s="678">
        <v>1967483</v>
      </c>
      <c r="D1576" s="679">
        <v>0</v>
      </c>
      <c r="E1576" s="678">
        <v>142696</v>
      </c>
      <c r="F1576" s="678">
        <v>43410</v>
      </c>
      <c r="G1576" s="678">
        <v>2066769</v>
      </c>
      <c r="H1576" s="679">
        <v>0</v>
      </c>
      <c r="I1576" s="677" t="s">
        <v>2400</v>
      </c>
    </row>
    <row r="1577" spans="1:9" ht="17.100000000000001" customHeight="1">
      <c r="A1577" s="677">
        <v>91200101</v>
      </c>
      <c r="B1577" s="677" t="s">
        <v>2401</v>
      </c>
      <c r="C1577" s="678">
        <v>1967483</v>
      </c>
      <c r="D1577" s="679">
        <v>0</v>
      </c>
      <c r="E1577" s="678">
        <v>142696</v>
      </c>
      <c r="F1577" s="678">
        <v>43410</v>
      </c>
      <c r="G1577" s="678">
        <v>2066769</v>
      </c>
      <c r="H1577" s="679">
        <v>0</v>
      </c>
      <c r="I1577" s="677" t="s">
        <v>2402</v>
      </c>
    </row>
    <row r="1578" spans="1:9" ht="17.100000000000001" customHeight="1">
      <c r="A1578" s="677">
        <v>912002</v>
      </c>
      <c r="B1578" s="677" t="s">
        <v>2403</v>
      </c>
      <c r="C1578" s="678">
        <v>338188</v>
      </c>
      <c r="D1578" s="679">
        <v>0</v>
      </c>
      <c r="E1578" s="678">
        <v>19641</v>
      </c>
      <c r="F1578" s="678">
        <v>26162</v>
      </c>
      <c r="G1578" s="678">
        <v>331667</v>
      </c>
      <c r="H1578" s="679">
        <v>0</v>
      </c>
      <c r="I1578" s="677" t="s">
        <v>2404</v>
      </c>
    </row>
    <row r="1579" spans="1:9" ht="17.100000000000001" customHeight="1">
      <c r="A1579" s="677">
        <v>91200202</v>
      </c>
      <c r="B1579" s="677" t="s">
        <v>2405</v>
      </c>
      <c r="C1579" s="678">
        <v>331207</v>
      </c>
      <c r="D1579" s="679">
        <v>0</v>
      </c>
      <c r="E1579" s="678">
        <v>19033</v>
      </c>
      <c r="F1579" s="678">
        <v>25527</v>
      </c>
      <c r="G1579" s="678">
        <v>324713</v>
      </c>
      <c r="H1579" s="679">
        <v>0</v>
      </c>
      <c r="I1579" s="677" t="s">
        <v>2406</v>
      </c>
    </row>
    <row r="1580" spans="1:9" ht="17.100000000000001" customHeight="1">
      <c r="A1580" s="677">
        <v>91200204</v>
      </c>
      <c r="B1580" s="677" t="s">
        <v>2407</v>
      </c>
      <c r="C1580" s="678">
        <v>6981</v>
      </c>
      <c r="D1580" s="679">
        <v>0</v>
      </c>
      <c r="E1580" s="679">
        <v>608</v>
      </c>
      <c r="F1580" s="679">
        <v>635</v>
      </c>
      <c r="G1580" s="678">
        <v>6954</v>
      </c>
      <c r="H1580" s="679">
        <v>0</v>
      </c>
      <c r="I1580" s="677" t="s">
        <v>2408</v>
      </c>
    </row>
    <row r="1581" spans="1:9" ht="17.100000000000001" customHeight="1">
      <c r="A1581" s="677">
        <v>9121</v>
      </c>
      <c r="B1581" s="677" t="s">
        <v>2409</v>
      </c>
      <c r="C1581" s="678">
        <v>176704142.47</v>
      </c>
      <c r="D1581" s="679">
        <v>0</v>
      </c>
      <c r="E1581" s="679">
        <v>0</v>
      </c>
      <c r="F1581" s="679">
        <v>0</v>
      </c>
      <c r="G1581" s="678">
        <v>176704142.47</v>
      </c>
      <c r="H1581" s="679">
        <v>0</v>
      </c>
      <c r="I1581" s="677" t="s">
        <v>2410</v>
      </c>
    </row>
    <row r="1582" spans="1:9" ht="17.100000000000001" customHeight="1">
      <c r="A1582" s="677">
        <v>912101</v>
      </c>
      <c r="B1582" s="677" t="s">
        <v>2409</v>
      </c>
      <c r="C1582" s="678">
        <v>176704142.47</v>
      </c>
      <c r="D1582" s="679">
        <v>0</v>
      </c>
      <c r="E1582" s="679">
        <v>0</v>
      </c>
      <c r="F1582" s="679">
        <v>0</v>
      </c>
      <c r="G1582" s="678">
        <v>176704142.47</v>
      </c>
      <c r="H1582" s="679">
        <v>0</v>
      </c>
      <c r="I1582" s="677" t="s">
        <v>2411</v>
      </c>
    </row>
    <row r="1583" spans="1:9" ht="17.100000000000001" customHeight="1">
      <c r="A1583" s="677">
        <v>91210101</v>
      </c>
      <c r="B1583" s="677" t="s">
        <v>2412</v>
      </c>
      <c r="C1583" s="678">
        <v>176704142.47</v>
      </c>
      <c r="D1583" s="679">
        <v>0</v>
      </c>
      <c r="E1583" s="679">
        <v>0</v>
      </c>
      <c r="F1583" s="679">
        <v>0</v>
      </c>
      <c r="G1583" s="678">
        <v>176704142.47</v>
      </c>
      <c r="H1583" s="679">
        <v>0</v>
      </c>
      <c r="I1583" s="677" t="s">
        <v>2413</v>
      </c>
    </row>
    <row r="1584" spans="1:9" ht="17.100000000000001" customHeight="1">
      <c r="A1584" s="677">
        <v>9124</v>
      </c>
      <c r="B1584" s="677" t="s">
        <v>2414</v>
      </c>
      <c r="C1584" s="678">
        <v>10707.29</v>
      </c>
      <c r="D1584" s="679">
        <v>0</v>
      </c>
      <c r="E1584" s="679">
        <v>0</v>
      </c>
      <c r="F1584" s="679">
        <v>0</v>
      </c>
      <c r="G1584" s="678">
        <v>10707.29</v>
      </c>
      <c r="H1584" s="679">
        <v>0</v>
      </c>
      <c r="I1584" s="677" t="s">
        <v>2415</v>
      </c>
    </row>
    <row r="1585" spans="1:9" ht="17.100000000000001" customHeight="1">
      <c r="A1585" s="677">
        <v>912402</v>
      </c>
      <c r="B1585" s="677" t="s">
        <v>2416</v>
      </c>
      <c r="C1585" s="678">
        <v>10707.29</v>
      </c>
      <c r="D1585" s="679">
        <v>0</v>
      </c>
      <c r="E1585" s="679">
        <v>0</v>
      </c>
      <c r="F1585" s="679">
        <v>0</v>
      </c>
      <c r="G1585" s="678">
        <v>10707.29</v>
      </c>
      <c r="H1585" s="679">
        <v>0</v>
      </c>
      <c r="I1585" s="677" t="s">
        <v>2417</v>
      </c>
    </row>
    <row r="1586" spans="1:9" ht="17.100000000000001" customHeight="1">
      <c r="A1586" s="677">
        <v>91240201</v>
      </c>
      <c r="B1586" s="677" t="s">
        <v>2416</v>
      </c>
      <c r="C1586" s="678">
        <v>10707.29</v>
      </c>
      <c r="D1586" s="679">
        <v>0</v>
      </c>
      <c r="E1586" s="679">
        <v>0</v>
      </c>
      <c r="F1586" s="679">
        <v>0</v>
      </c>
      <c r="G1586" s="678">
        <v>10707.29</v>
      </c>
      <c r="H1586" s="679">
        <v>0</v>
      </c>
      <c r="I1586" s="677" t="s">
        <v>2418</v>
      </c>
    </row>
    <row r="1587" spans="1:9" ht="17.100000000000001" customHeight="1">
      <c r="A1587" s="677">
        <v>9125</v>
      </c>
      <c r="B1587" s="677" t="s">
        <v>2419</v>
      </c>
      <c r="C1587" s="678">
        <v>706263588897.98999</v>
      </c>
      <c r="D1587" s="679">
        <v>0</v>
      </c>
      <c r="E1587" s="678">
        <v>1412897517.8800001</v>
      </c>
      <c r="F1587" s="678">
        <v>313049724</v>
      </c>
      <c r="G1587" s="678">
        <v>707363436691.87</v>
      </c>
      <c r="H1587" s="679">
        <v>0</v>
      </c>
      <c r="I1587" s="677" t="s">
        <v>2420</v>
      </c>
    </row>
    <row r="1588" spans="1:9" ht="17.100000000000001" customHeight="1">
      <c r="A1588" s="677">
        <v>912501</v>
      </c>
      <c r="B1588" s="677" t="s">
        <v>2419</v>
      </c>
      <c r="C1588" s="678">
        <v>706263588897.98999</v>
      </c>
      <c r="D1588" s="679">
        <v>0</v>
      </c>
      <c r="E1588" s="678">
        <v>1412897517.8800001</v>
      </c>
      <c r="F1588" s="678">
        <v>313049724</v>
      </c>
      <c r="G1588" s="678">
        <v>707363436691.87</v>
      </c>
      <c r="H1588" s="679">
        <v>0</v>
      </c>
      <c r="I1588" s="677" t="s">
        <v>2421</v>
      </c>
    </row>
    <row r="1589" spans="1:9" ht="17.100000000000001" customHeight="1">
      <c r="A1589" s="677">
        <v>91250101</v>
      </c>
      <c r="B1589" s="677" t="s">
        <v>2419</v>
      </c>
      <c r="C1589" s="678">
        <v>706263588897.98999</v>
      </c>
      <c r="D1589" s="679">
        <v>0</v>
      </c>
      <c r="E1589" s="678">
        <v>1412897517.8800001</v>
      </c>
      <c r="F1589" s="678">
        <v>313049724</v>
      </c>
      <c r="G1589" s="678">
        <v>707363436691.87</v>
      </c>
      <c r="H1589" s="679">
        <v>0</v>
      </c>
      <c r="I1589" s="677" t="s">
        <v>2422</v>
      </c>
    </row>
    <row r="1590" spans="1:9" ht="17.100000000000001" customHeight="1">
      <c r="A1590" s="677">
        <v>9126</v>
      </c>
      <c r="B1590" s="677" t="s">
        <v>2423</v>
      </c>
      <c r="C1590" s="678">
        <v>13112894216.09</v>
      </c>
      <c r="D1590" s="679">
        <v>0</v>
      </c>
      <c r="E1590" s="678">
        <v>343110000</v>
      </c>
      <c r="F1590" s="678">
        <v>20645600</v>
      </c>
      <c r="G1590" s="678">
        <v>13435358616.09</v>
      </c>
      <c r="H1590" s="679">
        <v>0</v>
      </c>
      <c r="I1590" s="677" t="s">
        <v>2424</v>
      </c>
    </row>
    <row r="1591" spans="1:9" ht="17.100000000000001" customHeight="1">
      <c r="A1591" s="677">
        <v>912601</v>
      </c>
      <c r="B1591" s="677" t="s">
        <v>2423</v>
      </c>
      <c r="C1591" s="678">
        <v>13112894216.09</v>
      </c>
      <c r="D1591" s="679">
        <v>0</v>
      </c>
      <c r="E1591" s="678">
        <v>343110000</v>
      </c>
      <c r="F1591" s="678">
        <v>20645600</v>
      </c>
      <c r="G1591" s="678">
        <v>13435358616.09</v>
      </c>
      <c r="H1591" s="679">
        <v>0</v>
      </c>
      <c r="I1591" s="677" t="s">
        <v>2425</v>
      </c>
    </row>
    <row r="1592" spans="1:9" ht="17.100000000000001" customHeight="1">
      <c r="A1592" s="677">
        <v>91260101</v>
      </c>
      <c r="B1592" s="677" t="s">
        <v>2423</v>
      </c>
      <c r="C1592" s="678">
        <v>13112894216.09</v>
      </c>
      <c r="D1592" s="679">
        <v>0</v>
      </c>
      <c r="E1592" s="678">
        <v>343110000</v>
      </c>
      <c r="F1592" s="678">
        <v>20645600</v>
      </c>
      <c r="G1592" s="678">
        <v>13435358616.09</v>
      </c>
      <c r="H1592" s="679">
        <v>0</v>
      </c>
      <c r="I1592" s="677" t="s">
        <v>2426</v>
      </c>
    </row>
    <row r="1593" spans="1:9" ht="17.100000000000001" customHeight="1">
      <c r="A1593" s="677">
        <v>9127</v>
      </c>
      <c r="B1593" s="677" t="s">
        <v>3383</v>
      </c>
      <c r="C1593" s="678">
        <v>6000000000</v>
      </c>
      <c r="D1593" s="679">
        <v>0</v>
      </c>
      <c r="E1593" s="679">
        <v>0</v>
      </c>
      <c r="F1593" s="679">
        <v>0</v>
      </c>
      <c r="G1593" s="678">
        <v>6000000000</v>
      </c>
      <c r="H1593" s="679">
        <v>0</v>
      </c>
      <c r="I1593" s="677" t="s">
        <v>3384</v>
      </c>
    </row>
    <row r="1594" spans="1:9" ht="17.100000000000001" customHeight="1">
      <c r="A1594" s="677">
        <v>912701</v>
      </c>
      <c r="B1594" s="677" t="s">
        <v>3385</v>
      </c>
      <c r="C1594" s="678">
        <v>3000000000</v>
      </c>
      <c r="D1594" s="679">
        <v>0</v>
      </c>
      <c r="E1594" s="679">
        <v>0</v>
      </c>
      <c r="F1594" s="679">
        <v>0</v>
      </c>
      <c r="G1594" s="678">
        <v>3000000000</v>
      </c>
      <c r="H1594" s="679">
        <v>0</v>
      </c>
      <c r="I1594" s="677" t="s">
        <v>3386</v>
      </c>
    </row>
    <row r="1595" spans="1:9" ht="17.100000000000001" customHeight="1">
      <c r="A1595" s="320"/>
      <c r="B1595" s="320"/>
      <c r="C1595" s="320"/>
      <c r="D1595" s="557" t="s">
        <v>4317</v>
      </c>
      <c r="E1595" s="320" t="s">
        <v>3791</v>
      </c>
      <c r="F1595" s="320"/>
      <c r="G1595" s="320"/>
      <c r="H1595" s="320"/>
      <c r="I1595" s="320"/>
    </row>
    <row r="1596" spans="1:9" ht="17.100000000000001" customHeight="1">
      <c r="A1596" s="671"/>
      <c r="B1596" s="671"/>
      <c r="C1596" s="671"/>
      <c r="D1596" s="671"/>
      <c r="E1596" s="671"/>
      <c r="F1596" s="671"/>
      <c r="G1596" s="671"/>
      <c r="H1596" s="671"/>
      <c r="I1596" s="671"/>
    </row>
    <row r="1597" spans="1:9" ht="17.100000000000001" customHeight="1">
      <c r="A1597" s="320"/>
      <c r="B1597" s="320"/>
      <c r="C1597" s="672" t="s">
        <v>4316</v>
      </c>
      <c r="D1597" s="320"/>
      <c r="E1597" s="320"/>
      <c r="F1597" s="671"/>
      <c r="G1597" s="671"/>
      <c r="H1597" s="671"/>
      <c r="I1597" s="671"/>
    </row>
    <row r="1598" spans="1:9" ht="17.100000000000001" customHeight="1">
      <c r="A1598" s="673" t="s">
        <v>3708</v>
      </c>
      <c r="B1598" s="673"/>
      <c r="C1598" s="683">
        <v>42551</v>
      </c>
      <c r="D1598" s="673"/>
      <c r="E1598" s="557" t="s">
        <v>3709</v>
      </c>
      <c r="F1598" s="671"/>
      <c r="G1598" s="671"/>
      <c r="H1598" s="671"/>
      <c r="I1598" s="671"/>
    </row>
    <row r="1599" spans="1:9" ht="17.100000000000001" customHeight="1">
      <c r="A1599" s="676" t="s">
        <v>596</v>
      </c>
      <c r="B1599" s="676" t="s">
        <v>597</v>
      </c>
      <c r="C1599" s="676" t="s">
        <v>3710</v>
      </c>
      <c r="D1599" s="676" t="s">
        <v>3711</v>
      </c>
      <c r="E1599" s="676" t="s">
        <v>3712</v>
      </c>
      <c r="F1599" s="676" t="s">
        <v>3713</v>
      </c>
      <c r="G1599" s="676" t="s">
        <v>3714</v>
      </c>
      <c r="H1599" s="676" t="s">
        <v>3715</v>
      </c>
      <c r="I1599" s="676" t="s">
        <v>596</v>
      </c>
    </row>
    <row r="1600" spans="1:9" ht="17.100000000000001" customHeight="1">
      <c r="A1600" s="677">
        <v>91270101</v>
      </c>
      <c r="B1600" s="677" t="s">
        <v>3385</v>
      </c>
      <c r="C1600" s="678">
        <v>3000000000</v>
      </c>
      <c r="D1600" s="679">
        <v>0</v>
      </c>
      <c r="E1600" s="679">
        <v>0</v>
      </c>
      <c r="F1600" s="679">
        <v>0</v>
      </c>
      <c r="G1600" s="678">
        <v>3000000000</v>
      </c>
      <c r="H1600" s="679">
        <v>0</v>
      </c>
      <c r="I1600" s="677" t="s">
        <v>3387</v>
      </c>
    </row>
    <row r="1601" spans="1:9" ht="28.5" customHeight="1">
      <c r="A1601" s="677">
        <v>912704</v>
      </c>
      <c r="B1601" s="677" t="s">
        <v>3388</v>
      </c>
      <c r="C1601" s="678">
        <v>3000000000</v>
      </c>
      <c r="D1601" s="679">
        <v>0</v>
      </c>
      <c r="E1601" s="679">
        <v>0</v>
      </c>
      <c r="F1601" s="679">
        <v>0</v>
      </c>
      <c r="G1601" s="678">
        <v>3000000000</v>
      </c>
      <c r="H1601" s="679">
        <v>0</v>
      </c>
      <c r="I1601" s="677" t="s">
        <v>3389</v>
      </c>
    </row>
    <row r="1602" spans="1:9" ht="24">
      <c r="A1602" s="677">
        <v>91270401</v>
      </c>
      <c r="B1602" s="677" t="s">
        <v>3388</v>
      </c>
      <c r="C1602" s="678">
        <v>3000000000</v>
      </c>
      <c r="D1602" s="679">
        <v>0</v>
      </c>
      <c r="E1602" s="679">
        <v>0</v>
      </c>
      <c r="F1602" s="679">
        <v>0</v>
      </c>
      <c r="G1602" s="678">
        <v>3000000000</v>
      </c>
      <c r="H1602" s="679">
        <v>0</v>
      </c>
      <c r="I1602" s="677" t="s">
        <v>3390</v>
      </c>
    </row>
    <row r="1603" spans="1:9">
      <c r="A1603" s="677">
        <v>9130</v>
      </c>
      <c r="B1603" s="677" t="s">
        <v>2427</v>
      </c>
      <c r="C1603" s="678">
        <v>13560126784.16</v>
      </c>
      <c r="D1603" s="679">
        <v>0</v>
      </c>
      <c r="E1603" s="678">
        <v>-111852.99</v>
      </c>
      <c r="F1603" s="678">
        <v>896412.36</v>
      </c>
      <c r="G1603" s="678">
        <v>13559118518.809999</v>
      </c>
      <c r="H1603" s="679">
        <v>0</v>
      </c>
      <c r="I1603" s="677" t="s">
        <v>2428</v>
      </c>
    </row>
    <row r="1604" spans="1:9">
      <c r="A1604" s="677">
        <v>913001</v>
      </c>
      <c r="B1604" s="677" t="s">
        <v>2429</v>
      </c>
      <c r="C1604" s="678">
        <v>13474861129.84</v>
      </c>
      <c r="D1604" s="679">
        <v>0</v>
      </c>
      <c r="E1604" s="678">
        <v>-111852.99</v>
      </c>
      <c r="F1604" s="678">
        <v>886584.05</v>
      </c>
      <c r="G1604" s="678">
        <v>13473862692.799999</v>
      </c>
      <c r="H1604" s="679">
        <v>0</v>
      </c>
      <c r="I1604" s="677" t="s">
        <v>2430</v>
      </c>
    </row>
    <row r="1605" spans="1:9" ht="28.5" customHeight="1">
      <c r="A1605" s="677">
        <v>91300101</v>
      </c>
      <c r="B1605" s="677" t="s">
        <v>2431</v>
      </c>
      <c r="C1605" s="678">
        <v>11599539299.66</v>
      </c>
      <c r="D1605" s="679">
        <v>0</v>
      </c>
      <c r="E1605" s="678">
        <v>109279.3</v>
      </c>
      <c r="F1605" s="678">
        <v>879331.83</v>
      </c>
      <c r="G1605" s="678">
        <v>11598769247.129999</v>
      </c>
      <c r="H1605" s="679">
        <v>0</v>
      </c>
      <c r="I1605" s="677" t="s">
        <v>2432</v>
      </c>
    </row>
    <row r="1606" spans="1:9" ht="17.100000000000001" customHeight="1">
      <c r="A1606" s="677">
        <v>91300103</v>
      </c>
      <c r="B1606" s="677" t="s">
        <v>2433</v>
      </c>
      <c r="C1606" s="678">
        <v>1848110584.9000001</v>
      </c>
      <c r="D1606" s="679">
        <v>0</v>
      </c>
      <c r="E1606" s="678">
        <v>-221132.29</v>
      </c>
      <c r="F1606" s="679">
        <v>100.19</v>
      </c>
      <c r="G1606" s="678">
        <v>1847889352.4200001</v>
      </c>
      <c r="H1606" s="679">
        <v>0</v>
      </c>
      <c r="I1606" s="677" t="s">
        <v>2434</v>
      </c>
    </row>
    <row r="1607" spans="1:9" ht="17.100000000000001" customHeight="1">
      <c r="A1607" s="677">
        <v>91300105</v>
      </c>
      <c r="B1607" s="677" t="s">
        <v>2435</v>
      </c>
      <c r="C1607" s="678">
        <v>27211245.280000001</v>
      </c>
      <c r="D1607" s="679">
        <v>0</v>
      </c>
      <c r="E1607" s="679">
        <v>0</v>
      </c>
      <c r="F1607" s="678">
        <v>7152.03</v>
      </c>
      <c r="G1607" s="678">
        <v>27204093.25</v>
      </c>
      <c r="H1607" s="679">
        <v>0</v>
      </c>
      <c r="I1607" s="677" t="s">
        <v>2436</v>
      </c>
    </row>
    <row r="1608" spans="1:9" ht="17.100000000000001" customHeight="1">
      <c r="A1608" s="677">
        <v>913002</v>
      </c>
      <c r="B1608" s="677" t="s">
        <v>2437</v>
      </c>
      <c r="C1608" s="678">
        <v>85265654.319999993</v>
      </c>
      <c r="D1608" s="679">
        <v>0</v>
      </c>
      <c r="E1608" s="679">
        <v>0</v>
      </c>
      <c r="F1608" s="678">
        <v>9828.31</v>
      </c>
      <c r="G1608" s="678">
        <v>85255826.010000005</v>
      </c>
      <c r="H1608" s="679">
        <v>0</v>
      </c>
      <c r="I1608" s="677" t="s">
        <v>2438</v>
      </c>
    </row>
    <row r="1609" spans="1:9" ht="17.100000000000001" customHeight="1">
      <c r="A1609" s="677">
        <v>91300201</v>
      </c>
      <c r="B1609" s="677" t="s">
        <v>2439</v>
      </c>
      <c r="C1609" s="678">
        <v>85265654.319999993</v>
      </c>
      <c r="D1609" s="679">
        <v>0</v>
      </c>
      <c r="E1609" s="679">
        <v>0</v>
      </c>
      <c r="F1609" s="678">
        <v>9828.31</v>
      </c>
      <c r="G1609" s="678">
        <v>85255826.010000005</v>
      </c>
      <c r="H1609" s="679">
        <v>0</v>
      </c>
      <c r="I1609" s="677" t="s">
        <v>2440</v>
      </c>
    </row>
    <row r="1610" spans="1:9" ht="17.100000000000001" customHeight="1">
      <c r="A1610" s="677">
        <v>9131</v>
      </c>
      <c r="B1610" s="677" t="s">
        <v>2441</v>
      </c>
      <c r="C1610" s="678">
        <v>15523286765.299999</v>
      </c>
      <c r="D1610" s="679">
        <v>0</v>
      </c>
      <c r="E1610" s="679">
        <v>0</v>
      </c>
      <c r="F1610" s="678">
        <v>16963002.260000002</v>
      </c>
      <c r="G1610" s="678">
        <v>15506323763.040001</v>
      </c>
      <c r="H1610" s="679">
        <v>0</v>
      </c>
      <c r="I1610" s="677" t="s">
        <v>2442</v>
      </c>
    </row>
    <row r="1611" spans="1:9" ht="17.100000000000001" customHeight="1">
      <c r="A1611" s="677">
        <v>913101</v>
      </c>
      <c r="B1611" s="677" t="s">
        <v>2443</v>
      </c>
      <c r="C1611" s="678">
        <v>14484286767.190001</v>
      </c>
      <c r="D1611" s="679">
        <v>0</v>
      </c>
      <c r="E1611" s="679">
        <v>0</v>
      </c>
      <c r="F1611" s="678">
        <v>16886866.370000001</v>
      </c>
      <c r="G1611" s="678">
        <v>14467399900.82</v>
      </c>
      <c r="H1611" s="679">
        <v>0</v>
      </c>
      <c r="I1611" s="677" t="s">
        <v>2444</v>
      </c>
    </row>
    <row r="1612" spans="1:9" ht="17.100000000000001" customHeight="1">
      <c r="A1612" s="677">
        <v>91310101</v>
      </c>
      <c r="B1612" s="677" t="s">
        <v>2445</v>
      </c>
      <c r="C1612" s="678">
        <v>6007830530.5900002</v>
      </c>
      <c r="D1612" s="679">
        <v>0</v>
      </c>
      <c r="E1612" s="679">
        <v>0</v>
      </c>
      <c r="F1612" s="678">
        <v>16875334.32</v>
      </c>
      <c r="G1612" s="678">
        <v>5990955196.2700005</v>
      </c>
      <c r="H1612" s="679">
        <v>0</v>
      </c>
      <c r="I1612" s="677" t="s">
        <v>2446</v>
      </c>
    </row>
    <row r="1613" spans="1:9" ht="17.100000000000001" customHeight="1">
      <c r="A1613" s="677">
        <v>91310103</v>
      </c>
      <c r="B1613" s="677" t="s">
        <v>2447</v>
      </c>
      <c r="C1613" s="678">
        <v>8219091589.6199999</v>
      </c>
      <c r="D1613" s="679">
        <v>0</v>
      </c>
      <c r="E1613" s="679">
        <v>0</v>
      </c>
      <c r="F1613" s="679">
        <v>0</v>
      </c>
      <c r="G1613" s="678">
        <v>8219091589.6199999</v>
      </c>
      <c r="H1613" s="679">
        <v>0</v>
      </c>
      <c r="I1613" s="677" t="s">
        <v>2448</v>
      </c>
    </row>
    <row r="1614" spans="1:9" ht="17.100000000000001" customHeight="1">
      <c r="A1614" s="677">
        <v>91310106</v>
      </c>
      <c r="B1614" s="677" t="s">
        <v>2449</v>
      </c>
      <c r="C1614" s="678">
        <v>63567147.270000003</v>
      </c>
      <c r="D1614" s="679">
        <v>0</v>
      </c>
      <c r="E1614" s="679">
        <v>0</v>
      </c>
      <c r="F1614" s="678">
        <v>8555</v>
      </c>
      <c r="G1614" s="678">
        <v>63558592.270000003</v>
      </c>
      <c r="H1614" s="679">
        <v>0</v>
      </c>
      <c r="I1614" s="677" t="s">
        <v>2450</v>
      </c>
    </row>
    <row r="1615" spans="1:9" ht="17.100000000000001" customHeight="1">
      <c r="A1615" s="677">
        <v>91310108</v>
      </c>
      <c r="B1615" s="677" t="s">
        <v>2451</v>
      </c>
      <c r="C1615" s="678">
        <v>193797499.71000001</v>
      </c>
      <c r="D1615" s="679">
        <v>0</v>
      </c>
      <c r="E1615" s="679">
        <v>0</v>
      </c>
      <c r="F1615" s="678">
        <v>2977.05</v>
      </c>
      <c r="G1615" s="678">
        <v>193794522.66</v>
      </c>
      <c r="H1615" s="679">
        <v>0</v>
      </c>
      <c r="I1615" s="677" t="s">
        <v>2452</v>
      </c>
    </row>
    <row r="1616" spans="1:9" ht="17.100000000000001" customHeight="1">
      <c r="A1616" s="677">
        <v>913102</v>
      </c>
      <c r="B1616" s="677" t="s">
        <v>2453</v>
      </c>
      <c r="C1616" s="678">
        <v>1038999998.11</v>
      </c>
      <c r="D1616" s="679">
        <v>0</v>
      </c>
      <c r="E1616" s="679">
        <v>0</v>
      </c>
      <c r="F1616" s="678">
        <v>76135.89</v>
      </c>
      <c r="G1616" s="678">
        <v>1038923862.22</v>
      </c>
      <c r="H1616" s="679">
        <v>0</v>
      </c>
      <c r="I1616" s="677" t="s">
        <v>2454</v>
      </c>
    </row>
    <row r="1617" spans="1:9" ht="17.100000000000001" customHeight="1">
      <c r="A1617" s="677">
        <v>91310201</v>
      </c>
      <c r="B1617" s="677" t="s">
        <v>2455</v>
      </c>
      <c r="C1617" s="678">
        <v>1004267284.24</v>
      </c>
      <c r="D1617" s="679">
        <v>0</v>
      </c>
      <c r="E1617" s="679">
        <v>0</v>
      </c>
      <c r="F1617" s="678">
        <v>75412.94</v>
      </c>
      <c r="G1617" s="678">
        <v>1004191871.3</v>
      </c>
      <c r="H1617" s="679">
        <v>0</v>
      </c>
      <c r="I1617" s="677" t="s">
        <v>2456</v>
      </c>
    </row>
    <row r="1618" spans="1:9" ht="17.100000000000001" customHeight="1">
      <c r="A1618" s="677">
        <v>91310202</v>
      </c>
      <c r="B1618" s="677" t="s">
        <v>2457</v>
      </c>
      <c r="C1618" s="678">
        <v>34732713.869999997</v>
      </c>
      <c r="D1618" s="679">
        <v>0</v>
      </c>
      <c r="E1618" s="679">
        <v>0</v>
      </c>
      <c r="F1618" s="679">
        <v>722.95</v>
      </c>
      <c r="G1618" s="678">
        <v>34731990.920000002</v>
      </c>
      <c r="H1618" s="679">
        <v>0</v>
      </c>
      <c r="I1618" s="677" t="s">
        <v>2458</v>
      </c>
    </row>
    <row r="1619" spans="1:9" ht="17.100000000000001" customHeight="1">
      <c r="A1619" s="677">
        <v>9132</v>
      </c>
      <c r="B1619" s="677" t="s">
        <v>2869</v>
      </c>
      <c r="C1619" s="678">
        <v>1258276875.53</v>
      </c>
      <c r="D1619" s="679">
        <v>0</v>
      </c>
      <c r="E1619" s="679">
        <v>0</v>
      </c>
      <c r="F1619" s="679">
        <v>0</v>
      </c>
      <c r="G1619" s="678">
        <v>1258276875.53</v>
      </c>
      <c r="H1619" s="679">
        <v>0</v>
      </c>
      <c r="I1619" s="677" t="s">
        <v>2459</v>
      </c>
    </row>
    <row r="1620" spans="1:9" ht="17.100000000000001" customHeight="1">
      <c r="A1620" s="677">
        <v>913201</v>
      </c>
      <c r="B1620" s="677" t="s">
        <v>2460</v>
      </c>
      <c r="C1620" s="678">
        <v>1257484625.53</v>
      </c>
      <c r="D1620" s="679">
        <v>0</v>
      </c>
      <c r="E1620" s="679">
        <v>0</v>
      </c>
      <c r="F1620" s="679">
        <v>0</v>
      </c>
      <c r="G1620" s="678">
        <v>1257484625.53</v>
      </c>
      <c r="H1620" s="679">
        <v>0</v>
      </c>
      <c r="I1620" s="677" t="s">
        <v>2461</v>
      </c>
    </row>
    <row r="1621" spans="1:9" ht="17.100000000000001" customHeight="1">
      <c r="A1621" s="677">
        <v>91320101</v>
      </c>
      <c r="B1621" s="677" t="s">
        <v>2462</v>
      </c>
      <c r="C1621" s="678">
        <v>1257484625.53</v>
      </c>
      <c r="D1621" s="679">
        <v>0</v>
      </c>
      <c r="E1621" s="679">
        <v>0</v>
      </c>
      <c r="F1621" s="679">
        <v>0</v>
      </c>
      <c r="G1621" s="678">
        <v>1257484625.53</v>
      </c>
      <c r="H1621" s="679">
        <v>0</v>
      </c>
      <c r="I1621" s="677" t="s">
        <v>2463</v>
      </c>
    </row>
    <row r="1622" spans="1:9" ht="17.100000000000001" customHeight="1">
      <c r="A1622" s="677">
        <v>913202</v>
      </c>
      <c r="B1622" s="677" t="s">
        <v>2464</v>
      </c>
      <c r="C1622" s="678">
        <v>792250</v>
      </c>
      <c r="D1622" s="679">
        <v>0</v>
      </c>
      <c r="E1622" s="679">
        <v>0</v>
      </c>
      <c r="F1622" s="679">
        <v>0</v>
      </c>
      <c r="G1622" s="678">
        <v>792250</v>
      </c>
      <c r="H1622" s="679">
        <v>0</v>
      </c>
      <c r="I1622" s="677" t="s">
        <v>2465</v>
      </c>
    </row>
    <row r="1623" spans="1:9" ht="17.100000000000001" customHeight="1">
      <c r="A1623" s="677">
        <v>91320201</v>
      </c>
      <c r="B1623" s="677" t="s">
        <v>2464</v>
      </c>
      <c r="C1623" s="678">
        <v>792250</v>
      </c>
      <c r="D1623" s="679">
        <v>0</v>
      </c>
      <c r="E1623" s="679">
        <v>0</v>
      </c>
      <c r="F1623" s="679">
        <v>0</v>
      </c>
      <c r="G1623" s="678">
        <v>792250</v>
      </c>
      <c r="H1623" s="679">
        <v>0</v>
      </c>
      <c r="I1623" s="677" t="s">
        <v>2466</v>
      </c>
    </row>
    <row r="1624" spans="1:9" ht="17.100000000000001" customHeight="1">
      <c r="A1624" s="677">
        <v>9133</v>
      </c>
      <c r="B1624" s="677" t="s">
        <v>2467</v>
      </c>
      <c r="C1624" s="678">
        <v>1729312.36</v>
      </c>
      <c r="D1624" s="679">
        <v>0</v>
      </c>
      <c r="E1624" s="679">
        <v>0</v>
      </c>
      <c r="F1624" s="679">
        <v>0</v>
      </c>
      <c r="G1624" s="678">
        <v>1729312.36</v>
      </c>
      <c r="H1624" s="679">
        <v>0</v>
      </c>
      <c r="I1624" s="677" t="s">
        <v>2468</v>
      </c>
    </row>
    <row r="1625" spans="1:9" ht="17.100000000000001" customHeight="1">
      <c r="A1625" s="677">
        <v>913301</v>
      </c>
      <c r="B1625" s="677" t="s">
        <v>2467</v>
      </c>
      <c r="C1625" s="678">
        <v>1729312.36</v>
      </c>
      <c r="D1625" s="679">
        <v>0</v>
      </c>
      <c r="E1625" s="679">
        <v>0</v>
      </c>
      <c r="F1625" s="679">
        <v>0</v>
      </c>
      <c r="G1625" s="678">
        <v>1729312.36</v>
      </c>
      <c r="H1625" s="679">
        <v>0</v>
      </c>
      <c r="I1625" s="677" t="s">
        <v>2469</v>
      </c>
    </row>
    <row r="1626" spans="1:9" ht="17.100000000000001" customHeight="1">
      <c r="A1626" s="677">
        <v>91330101</v>
      </c>
      <c r="B1626" s="677" t="s">
        <v>2467</v>
      </c>
      <c r="C1626" s="678">
        <v>1729312.36</v>
      </c>
      <c r="D1626" s="679">
        <v>0</v>
      </c>
      <c r="E1626" s="679">
        <v>0</v>
      </c>
      <c r="F1626" s="679">
        <v>0</v>
      </c>
      <c r="G1626" s="678">
        <v>1729312.36</v>
      </c>
      <c r="H1626" s="679">
        <v>0</v>
      </c>
      <c r="I1626" s="677" t="s">
        <v>2470</v>
      </c>
    </row>
    <row r="1627" spans="1:9" ht="17.100000000000001" customHeight="1">
      <c r="A1627" s="677">
        <v>9134</v>
      </c>
      <c r="B1627" s="677" t="s">
        <v>2471</v>
      </c>
      <c r="C1627" s="678">
        <v>3748488</v>
      </c>
      <c r="D1627" s="679">
        <v>0</v>
      </c>
      <c r="E1627" s="679">
        <v>0</v>
      </c>
      <c r="F1627" s="679">
        <v>0</v>
      </c>
      <c r="G1627" s="678">
        <v>3748488</v>
      </c>
      <c r="H1627" s="679">
        <v>0</v>
      </c>
      <c r="I1627" s="677" t="s">
        <v>2472</v>
      </c>
    </row>
    <row r="1628" spans="1:9" ht="17.100000000000001" customHeight="1">
      <c r="A1628" s="677">
        <v>913401</v>
      </c>
      <c r="B1628" s="677" t="s">
        <v>2471</v>
      </c>
      <c r="C1628" s="678">
        <v>3748488</v>
      </c>
      <c r="D1628" s="679">
        <v>0</v>
      </c>
      <c r="E1628" s="679">
        <v>0</v>
      </c>
      <c r="F1628" s="679">
        <v>0</v>
      </c>
      <c r="G1628" s="678">
        <v>3748488</v>
      </c>
      <c r="H1628" s="679">
        <v>0</v>
      </c>
      <c r="I1628" s="677" t="s">
        <v>2473</v>
      </c>
    </row>
    <row r="1629" spans="1:9" ht="17.100000000000001" customHeight="1">
      <c r="A1629" s="677">
        <v>91340101</v>
      </c>
      <c r="B1629" s="677" t="s">
        <v>2471</v>
      </c>
      <c r="C1629" s="678">
        <v>3748488</v>
      </c>
      <c r="D1629" s="679">
        <v>0</v>
      </c>
      <c r="E1629" s="679">
        <v>0</v>
      </c>
      <c r="F1629" s="679">
        <v>0</v>
      </c>
      <c r="G1629" s="678">
        <v>3748488</v>
      </c>
      <c r="H1629" s="679">
        <v>0</v>
      </c>
      <c r="I1629" s="677" t="s">
        <v>2474</v>
      </c>
    </row>
    <row r="1630" spans="1:9" ht="17.100000000000001" customHeight="1">
      <c r="A1630" s="677">
        <v>9140</v>
      </c>
      <c r="B1630" s="677" t="s">
        <v>2475</v>
      </c>
      <c r="C1630" s="678">
        <v>149320050.31999999</v>
      </c>
      <c r="D1630" s="679">
        <v>0</v>
      </c>
      <c r="E1630" s="678">
        <v>788482.44</v>
      </c>
      <c r="F1630" s="678">
        <v>344410</v>
      </c>
      <c r="G1630" s="678">
        <v>149764122.75999999</v>
      </c>
      <c r="H1630" s="679">
        <v>0</v>
      </c>
      <c r="I1630" s="677" t="s">
        <v>2476</v>
      </c>
    </row>
    <row r="1631" spans="1:9" ht="17.100000000000001" customHeight="1">
      <c r="A1631" s="677">
        <v>914001</v>
      </c>
      <c r="B1631" s="677" t="s">
        <v>2475</v>
      </c>
      <c r="C1631" s="678">
        <v>149320050.31999999</v>
      </c>
      <c r="D1631" s="679">
        <v>0</v>
      </c>
      <c r="E1631" s="678">
        <v>788482.44</v>
      </c>
      <c r="F1631" s="678">
        <v>344410</v>
      </c>
      <c r="G1631" s="678">
        <v>149764122.75999999</v>
      </c>
      <c r="H1631" s="679">
        <v>0</v>
      </c>
      <c r="I1631" s="677" t="s">
        <v>2477</v>
      </c>
    </row>
    <row r="1632" spans="1:9" ht="17.100000000000001" customHeight="1">
      <c r="A1632" s="677">
        <v>91400101</v>
      </c>
      <c r="B1632" s="677" t="s">
        <v>2475</v>
      </c>
      <c r="C1632" s="678">
        <v>149320050.31999999</v>
      </c>
      <c r="D1632" s="679">
        <v>0</v>
      </c>
      <c r="E1632" s="678">
        <v>788482.44</v>
      </c>
      <c r="F1632" s="678">
        <v>344410</v>
      </c>
      <c r="G1632" s="678">
        <v>149764122.75999999</v>
      </c>
      <c r="H1632" s="679">
        <v>0</v>
      </c>
      <c r="I1632" s="677" t="s">
        <v>2478</v>
      </c>
    </row>
    <row r="1633" spans="1:9" ht="17.100000000000001" customHeight="1">
      <c r="A1633" s="677">
        <v>9601</v>
      </c>
      <c r="B1633" s="677" t="s">
        <v>2479</v>
      </c>
      <c r="C1633" s="678">
        <v>680575.7</v>
      </c>
      <c r="D1633" s="679">
        <v>0</v>
      </c>
      <c r="E1633" s="679">
        <v>0</v>
      </c>
      <c r="F1633" s="679">
        <v>0</v>
      </c>
      <c r="G1633" s="678">
        <v>680575.7</v>
      </c>
      <c r="H1633" s="679">
        <v>0</v>
      </c>
      <c r="I1633" s="677" t="s">
        <v>2480</v>
      </c>
    </row>
    <row r="1634" spans="1:9" ht="17.100000000000001" customHeight="1">
      <c r="A1634" s="320"/>
      <c r="B1634" s="320"/>
      <c r="C1634" s="320"/>
      <c r="D1634" s="557" t="s">
        <v>4317</v>
      </c>
      <c r="E1634" s="320" t="s">
        <v>3792</v>
      </c>
      <c r="F1634" s="320"/>
      <c r="G1634" s="320"/>
      <c r="H1634" s="320"/>
      <c r="I1634" s="320"/>
    </row>
    <row r="1635" spans="1:9" ht="17.100000000000001" customHeight="1">
      <c r="A1635" s="671"/>
      <c r="B1635" s="671"/>
      <c r="C1635" s="671"/>
      <c r="D1635" s="671"/>
      <c r="E1635" s="671"/>
      <c r="F1635" s="671"/>
      <c r="G1635" s="671"/>
      <c r="H1635" s="671"/>
      <c r="I1635" s="671"/>
    </row>
    <row r="1636" spans="1:9" ht="17.100000000000001" customHeight="1">
      <c r="A1636" s="320"/>
      <c r="B1636" s="320"/>
      <c r="C1636" s="672" t="s">
        <v>4316</v>
      </c>
      <c r="D1636" s="320"/>
      <c r="E1636" s="320"/>
      <c r="F1636" s="671"/>
      <c r="G1636" s="671"/>
      <c r="H1636" s="671"/>
      <c r="I1636" s="671"/>
    </row>
    <row r="1637" spans="1:9" ht="17.100000000000001" customHeight="1">
      <c r="A1637" s="673" t="s">
        <v>3708</v>
      </c>
      <c r="B1637" s="673"/>
      <c r="C1637" s="683">
        <v>42551</v>
      </c>
      <c r="D1637" s="673"/>
      <c r="E1637" s="557" t="s">
        <v>3709</v>
      </c>
      <c r="F1637" s="671"/>
      <c r="G1637" s="671"/>
      <c r="H1637" s="671"/>
      <c r="I1637" s="671"/>
    </row>
    <row r="1638" spans="1:9" ht="17.100000000000001" customHeight="1">
      <c r="A1638" s="676" t="s">
        <v>596</v>
      </c>
      <c r="B1638" s="676" t="s">
        <v>597</v>
      </c>
      <c r="C1638" s="676" t="s">
        <v>3710</v>
      </c>
      <c r="D1638" s="676" t="s">
        <v>3711</v>
      </c>
      <c r="E1638" s="676" t="s">
        <v>3712</v>
      </c>
      <c r="F1638" s="676" t="s">
        <v>3713</v>
      </c>
      <c r="G1638" s="676" t="s">
        <v>3714</v>
      </c>
      <c r="H1638" s="676" t="s">
        <v>3715</v>
      </c>
      <c r="I1638" s="676" t="s">
        <v>596</v>
      </c>
    </row>
    <row r="1639" spans="1:9" ht="17.100000000000001" customHeight="1">
      <c r="A1639" s="677">
        <v>960101</v>
      </c>
      <c r="B1639" s="677" t="s">
        <v>2479</v>
      </c>
      <c r="C1639" s="678">
        <v>680575.7</v>
      </c>
      <c r="D1639" s="679">
        <v>0</v>
      </c>
      <c r="E1639" s="679">
        <v>0</v>
      </c>
      <c r="F1639" s="679">
        <v>0</v>
      </c>
      <c r="G1639" s="678">
        <v>680575.7</v>
      </c>
      <c r="H1639" s="679">
        <v>0</v>
      </c>
      <c r="I1639" s="677" t="s">
        <v>2481</v>
      </c>
    </row>
    <row r="1640" spans="1:9" ht="28.5" customHeight="1">
      <c r="A1640" s="677">
        <v>96010101</v>
      </c>
      <c r="B1640" s="677" t="s">
        <v>2479</v>
      </c>
      <c r="C1640" s="678">
        <v>680575.7</v>
      </c>
      <c r="D1640" s="679">
        <v>0</v>
      </c>
      <c r="E1640" s="679">
        <v>0</v>
      </c>
      <c r="F1640" s="679">
        <v>0</v>
      </c>
      <c r="G1640" s="678">
        <v>680575.7</v>
      </c>
      <c r="H1640" s="679">
        <v>0</v>
      </c>
      <c r="I1640" s="677" t="s">
        <v>2482</v>
      </c>
    </row>
    <row r="1641" spans="1:9">
      <c r="A1641" s="677">
        <v>9606</v>
      </c>
      <c r="B1641" s="677" t="s">
        <v>2483</v>
      </c>
      <c r="C1641" s="678">
        <v>314887500</v>
      </c>
      <c r="D1641" s="679">
        <v>0</v>
      </c>
      <c r="E1641" s="679">
        <v>0</v>
      </c>
      <c r="F1641" s="679">
        <v>0</v>
      </c>
      <c r="G1641" s="678">
        <v>314887500</v>
      </c>
      <c r="H1641" s="679">
        <v>0</v>
      </c>
      <c r="I1641" s="677" t="s">
        <v>2484</v>
      </c>
    </row>
    <row r="1642" spans="1:9">
      <c r="A1642" s="677">
        <v>960601</v>
      </c>
      <c r="B1642" s="677" t="s">
        <v>2483</v>
      </c>
      <c r="C1642" s="678">
        <v>314887500</v>
      </c>
      <c r="D1642" s="679">
        <v>0</v>
      </c>
      <c r="E1642" s="679">
        <v>0</v>
      </c>
      <c r="F1642" s="679">
        <v>0</v>
      </c>
      <c r="G1642" s="678">
        <v>314887500</v>
      </c>
      <c r="H1642" s="679">
        <v>0</v>
      </c>
      <c r="I1642" s="677" t="s">
        <v>2485</v>
      </c>
    </row>
    <row r="1643" spans="1:9" ht="24">
      <c r="A1643" s="677">
        <v>96060102</v>
      </c>
      <c r="B1643" s="677" t="s">
        <v>2486</v>
      </c>
      <c r="C1643" s="678">
        <v>314887500</v>
      </c>
      <c r="D1643" s="679">
        <v>0</v>
      </c>
      <c r="E1643" s="679">
        <v>0</v>
      </c>
      <c r="F1643" s="679">
        <v>0</v>
      </c>
      <c r="G1643" s="678">
        <v>314887500</v>
      </c>
      <c r="H1643" s="679">
        <v>0</v>
      </c>
      <c r="I1643" s="677" t="s">
        <v>2487</v>
      </c>
    </row>
    <row r="1644" spans="1:9" ht="28.5" customHeight="1">
      <c r="A1644" s="677">
        <v>9609</v>
      </c>
      <c r="B1644" s="677" t="s">
        <v>2488</v>
      </c>
      <c r="C1644" s="678">
        <v>2357628476.71</v>
      </c>
      <c r="D1644" s="679">
        <v>0</v>
      </c>
      <c r="E1644" s="679">
        <v>0</v>
      </c>
      <c r="F1644" s="678">
        <v>4754047</v>
      </c>
      <c r="G1644" s="678">
        <v>2352874429.71</v>
      </c>
      <c r="H1644" s="679">
        <v>0</v>
      </c>
      <c r="I1644" s="677" t="s">
        <v>2489</v>
      </c>
    </row>
    <row r="1645" spans="1:9" ht="17.100000000000001" customHeight="1">
      <c r="A1645" s="677">
        <v>960903</v>
      </c>
      <c r="B1645" s="677" t="s">
        <v>2490</v>
      </c>
      <c r="C1645" s="678">
        <v>2351429215.6500001</v>
      </c>
      <c r="D1645" s="679">
        <v>0</v>
      </c>
      <c r="E1645" s="679">
        <v>0</v>
      </c>
      <c r="F1645" s="678">
        <v>4754047</v>
      </c>
      <c r="G1645" s="678">
        <v>2346675168.6500001</v>
      </c>
      <c r="H1645" s="679">
        <v>0</v>
      </c>
      <c r="I1645" s="677" t="s">
        <v>2491</v>
      </c>
    </row>
    <row r="1646" spans="1:9" ht="17.100000000000001" customHeight="1">
      <c r="A1646" s="677">
        <v>96090301</v>
      </c>
      <c r="B1646" s="677" t="s">
        <v>2490</v>
      </c>
      <c r="C1646" s="678">
        <v>2351429215.6500001</v>
      </c>
      <c r="D1646" s="679">
        <v>0</v>
      </c>
      <c r="E1646" s="679">
        <v>0</v>
      </c>
      <c r="F1646" s="678">
        <v>4754047</v>
      </c>
      <c r="G1646" s="678">
        <v>2346675168.6500001</v>
      </c>
      <c r="H1646" s="679">
        <v>0</v>
      </c>
      <c r="I1646" s="677" t="s">
        <v>2492</v>
      </c>
    </row>
    <row r="1647" spans="1:9">
      <c r="A1647" s="677">
        <v>960904</v>
      </c>
      <c r="B1647" s="677" t="s">
        <v>2493</v>
      </c>
      <c r="C1647" s="678">
        <v>6199261.0599999996</v>
      </c>
      <c r="D1647" s="679">
        <v>0</v>
      </c>
      <c r="E1647" s="679">
        <v>0</v>
      </c>
      <c r="F1647" s="679">
        <v>0</v>
      </c>
      <c r="G1647" s="678">
        <v>6199261.0599999996</v>
      </c>
      <c r="H1647" s="679">
        <v>0</v>
      </c>
      <c r="I1647" s="677" t="s">
        <v>2494</v>
      </c>
    </row>
    <row r="1648" spans="1:9" ht="28.5" customHeight="1">
      <c r="A1648" s="677">
        <v>96090401</v>
      </c>
      <c r="B1648" s="677" t="s">
        <v>2493</v>
      </c>
      <c r="C1648" s="678">
        <v>6199261.0599999996</v>
      </c>
      <c r="D1648" s="679">
        <v>0</v>
      </c>
      <c r="E1648" s="679">
        <v>0</v>
      </c>
      <c r="F1648" s="679">
        <v>0</v>
      </c>
      <c r="G1648" s="678">
        <v>6199261.0599999996</v>
      </c>
      <c r="H1648" s="679">
        <v>0</v>
      </c>
      <c r="I1648" s="677" t="s">
        <v>2495</v>
      </c>
    </row>
    <row r="1649" spans="1:9">
      <c r="A1649" s="677">
        <v>9610</v>
      </c>
      <c r="B1649" s="677" t="s">
        <v>2496</v>
      </c>
      <c r="C1649" s="678">
        <v>375455917.95999998</v>
      </c>
      <c r="D1649" s="679">
        <v>0</v>
      </c>
      <c r="E1649" s="679">
        <v>0</v>
      </c>
      <c r="F1649" s="678">
        <v>4970</v>
      </c>
      <c r="G1649" s="678">
        <v>375450947.95999998</v>
      </c>
      <c r="H1649" s="679">
        <v>0</v>
      </c>
      <c r="I1649" s="677" t="s">
        <v>2497</v>
      </c>
    </row>
    <row r="1650" spans="1:9">
      <c r="A1650" s="677">
        <v>961001</v>
      </c>
      <c r="B1650" s="677" t="s">
        <v>2496</v>
      </c>
      <c r="C1650" s="678">
        <v>375455917.95999998</v>
      </c>
      <c r="D1650" s="679">
        <v>0</v>
      </c>
      <c r="E1650" s="679">
        <v>0</v>
      </c>
      <c r="F1650" s="678">
        <v>4970</v>
      </c>
      <c r="G1650" s="678">
        <v>375450947.95999998</v>
      </c>
      <c r="H1650" s="679">
        <v>0</v>
      </c>
      <c r="I1650" s="677" t="s">
        <v>2498</v>
      </c>
    </row>
    <row r="1651" spans="1:9" ht="24">
      <c r="A1651" s="677">
        <v>96100101</v>
      </c>
      <c r="B1651" s="677" t="s">
        <v>2496</v>
      </c>
      <c r="C1651" s="678">
        <v>375455917.95999998</v>
      </c>
      <c r="D1651" s="679">
        <v>0</v>
      </c>
      <c r="E1651" s="679">
        <v>0</v>
      </c>
      <c r="F1651" s="678">
        <v>4970</v>
      </c>
      <c r="G1651" s="678">
        <v>375450947.95999998</v>
      </c>
      <c r="H1651" s="679">
        <v>0</v>
      </c>
      <c r="I1651" s="677" t="s">
        <v>2499</v>
      </c>
    </row>
    <row r="1652" spans="1:9">
      <c r="A1652" s="677">
        <v>9611</v>
      </c>
      <c r="B1652" s="677" t="s">
        <v>2500</v>
      </c>
      <c r="C1652" s="678">
        <v>14206053587.76</v>
      </c>
      <c r="D1652" s="679">
        <v>0</v>
      </c>
      <c r="E1652" s="679">
        <v>0</v>
      </c>
      <c r="F1652" s="679">
        <v>0</v>
      </c>
      <c r="G1652" s="678">
        <v>14206053587.76</v>
      </c>
      <c r="H1652" s="679">
        <v>0</v>
      </c>
      <c r="I1652" s="677" t="s">
        <v>2501</v>
      </c>
    </row>
    <row r="1653" spans="1:9">
      <c r="A1653" s="677">
        <v>961102</v>
      </c>
      <c r="B1653" s="677" t="s">
        <v>2502</v>
      </c>
      <c r="C1653" s="678">
        <v>14206053587.76</v>
      </c>
      <c r="D1653" s="679">
        <v>0</v>
      </c>
      <c r="E1653" s="679">
        <v>0</v>
      </c>
      <c r="F1653" s="679">
        <v>0</v>
      </c>
      <c r="G1653" s="678">
        <v>14206053587.76</v>
      </c>
      <c r="H1653" s="679">
        <v>0</v>
      </c>
      <c r="I1653" s="677" t="s">
        <v>2503</v>
      </c>
    </row>
    <row r="1654" spans="1:9" ht="24">
      <c r="A1654" s="677">
        <v>96110201</v>
      </c>
      <c r="B1654" s="677" t="s">
        <v>2502</v>
      </c>
      <c r="C1654" s="678">
        <v>14206053587.76</v>
      </c>
      <c r="D1654" s="679">
        <v>0</v>
      </c>
      <c r="E1654" s="679">
        <v>0</v>
      </c>
      <c r="F1654" s="679">
        <v>0</v>
      </c>
      <c r="G1654" s="678">
        <v>14206053587.76</v>
      </c>
      <c r="H1654" s="679">
        <v>0</v>
      </c>
      <c r="I1654" s="677" t="s">
        <v>2504</v>
      </c>
    </row>
    <row r="1655" spans="1:9">
      <c r="A1655" s="677">
        <v>9612</v>
      </c>
      <c r="B1655" s="677" t="s">
        <v>2505</v>
      </c>
      <c r="C1655" s="678">
        <v>9881837.8399999999</v>
      </c>
      <c r="D1655" s="679">
        <v>0</v>
      </c>
      <c r="E1655" s="679">
        <v>0</v>
      </c>
      <c r="F1655" s="679">
        <v>0</v>
      </c>
      <c r="G1655" s="678">
        <v>9881837.8399999999</v>
      </c>
      <c r="H1655" s="679">
        <v>0</v>
      </c>
      <c r="I1655" s="677" t="s">
        <v>2506</v>
      </c>
    </row>
    <row r="1656" spans="1:9">
      <c r="A1656" s="677">
        <v>961201</v>
      </c>
      <c r="B1656" s="677" t="s">
        <v>2505</v>
      </c>
      <c r="C1656" s="678">
        <v>9881837.8399999999</v>
      </c>
      <c r="D1656" s="679">
        <v>0</v>
      </c>
      <c r="E1656" s="679">
        <v>0</v>
      </c>
      <c r="F1656" s="679">
        <v>0</v>
      </c>
      <c r="G1656" s="678">
        <v>9881837.8399999999</v>
      </c>
      <c r="H1656" s="679">
        <v>0</v>
      </c>
      <c r="I1656" s="677" t="s">
        <v>2507</v>
      </c>
    </row>
    <row r="1657" spans="1:9" ht="24">
      <c r="A1657" s="677">
        <v>96120101</v>
      </c>
      <c r="B1657" s="677" t="s">
        <v>2505</v>
      </c>
      <c r="C1657" s="678">
        <v>9881837.8399999999</v>
      </c>
      <c r="D1657" s="679">
        <v>0</v>
      </c>
      <c r="E1657" s="679">
        <v>0</v>
      </c>
      <c r="F1657" s="679">
        <v>0</v>
      </c>
      <c r="G1657" s="678">
        <v>9881837.8399999999</v>
      </c>
      <c r="H1657" s="679">
        <v>0</v>
      </c>
      <c r="I1657" s="677" t="s">
        <v>2508</v>
      </c>
    </row>
    <row r="1658" spans="1:9">
      <c r="A1658" s="677">
        <v>9615</v>
      </c>
      <c r="B1658" s="677" t="s">
        <v>2509</v>
      </c>
      <c r="C1658" s="678">
        <v>970000000</v>
      </c>
      <c r="D1658" s="679">
        <v>0</v>
      </c>
      <c r="E1658" s="679">
        <v>0</v>
      </c>
      <c r="F1658" s="679">
        <v>0</v>
      </c>
      <c r="G1658" s="678">
        <v>970000000</v>
      </c>
      <c r="H1658" s="679">
        <v>0</v>
      </c>
      <c r="I1658" s="677" t="s">
        <v>2510</v>
      </c>
    </row>
    <row r="1659" spans="1:9">
      <c r="A1659" s="677">
        <v>961501</v>
      </c>
      <c r="B1659" s="677" t="s">
        <v>2509</v>
      </c>
      <c r="C1659" s="678">
        <v>970000000</v>
      </c>
      <c r="D1659" s="679">
        <v>0</v>
      </c>
      <c r="E1659" s="679">
        <v>0</v>
      </c>
      <c r="F1659" s="679">
        <v>0</v>
      </c>
      <c r="G1659" s="678">
        <v>970000000</v>
      </c>
      <c r="H1659" s="679">
        <v>0</v>
      </c>
      <c r="I1659" s="677" t="s">
        <v>2511</v>
      </c>
    </row>
    <row r="1660" spans="1:9" ht="24">
      <c r="A1660" s="677">
        <v>96150101</v>
      </c>
      <c r="B1660" s="677" t="s">
        <v>2509</v>
      </c>
      <c r="C1660" s="678">
        <v>970000000</v>
      </c>
      <c r="D1660" s="679">
        <v>0</v>
      </c>
      <c r="E1660" s="679">
        <v>0</v>
      </c>
      <c r="F1660" s="679">
        <v>0</v>
      </c>
      <c r="G1660" s="678">
        <v>970000000</v>
      </c>
      <c r="H1660" s="679">
        <v>0</v>
      </c>
      <c r="I1660" s="677" t="s">
        <v>2512</v>
      </c>
    </row>
    <row r="1661" spans="1:9">
      <c r="A1661" s="677">
        <v>9616</v>
      </c>
      <c r="B1661" s="677" t="s">
        <v>2513</v>
      </c>
      <c r="C1661" s="678">
        <v>954367.04</v>
      </c>
      <c r="D1661" s="679">
        <v>0</v>
      </c>
      <c r="E1661" s="679">
        <v>0</v>
      </c>
      <c r="F1661" s="679">
        <v>0</v>
      </c>
      <c r="G1661" s="678">
        <v>954367.04</v>
      </c>
      <c r="H1661" s="679">
        <v>0</v>
      </c>
      <c r="I1661" s="677" t="s">
        <v>2514</v>
      </c>
    </row>
    <row r="1662" spans="1:9">
      <c r="A1662" s="677">
        <v>961601</v>
      </c>
      <c r="B1662" s="677" t="s">
        <v>2513</v>
      </c>
      <c r="C1662" s="678">
        <v>954367.04</v>
      </c>
      <c r="D1662" s="679">
        <v>0</v>
      </c>
      <c r="E1662" s="679">
        <v>0</v>
      </c>
      <c r="F1662" s="679">
        <v>0</v>
      </c>
      <c r="G1662" s="678">
        <v>954367.04</v>
      </c>
      <c r="H1662" s="679">
        <v>0</v>
      </c>
      <c r="I1662" s="677" t="s">
        <v>2515</v>
      </c>
    </row>
    <row r="1663" spans="1:9" ht="24">
      <c r="A1663" s="677">
        <v>96160101</v>
      </c>
      <c r="B1663" s="677" t="s">
        <v>2516</v>
      </c>
      <c r="C1663" s="678">
        <v>603203.27</v>
      </c>
      <c r="D1663" s="679">
        <v>0</v>
      </c>
      <c r="E1663" s="679">
        <v>0</v>
      </c>
      <c r="F1663" s="679">
        <v>0</v>
      </c>
      <c r="G1663" s="678">
        <v>603203.27</v>
      </c>
      <c r="H1663" s="679">
        <v>0</v>
      </c>
      <c r="I1663" s="677" t="s">
        <v>2517</v>
      </c>
    </row>
    <row r="1664" spans="1:9" ht="24">
      <c r="A1664" s="677">
        <v>96160102</v>
      </c>
      <c r="B1664" s="677" t="s">
        <v>2518</v>
      </c>
      <c r="C1664" s="678">
        <v>351163.77</v>
      </c>
      <c r="D1664" s="679">
        <v>0</v>
      </c>
      <c r="E1664" s="679">
        <v>0</v>
      </c>
      <c r="F1664" s="679">
        <v>0</v>
      </c>
      <c r="G1664" s="678">
        <v>351163.77</v>
      </c>
      <c r="H1664" s="679">
        <v>0</v>
      </c>
      <c r="I1664" s="677" t="s">
        <v>2519</v>
      </c>
    </row>
    <row r="1665" spans="1:9">
      <c r="A1665" s="677">
        <v>9617</v>
      </c>
      <c r="B1665" s="677" t="s">
        <v>3507</v>
      </c>
      <c r="C1665" s="678">
        <v>3523060000</v>
      </c>
      <c r="D1665" s="679">
        <v>0</v>
      </c>
      <c r="E1665" s="679">
        <v>0</v>
      </c>
      <c r="F1665" s="679">
        <v>0</v>
      </c>
      <c r="G1665" s="678">
        <v>3523060000</v>
      </c>
      <c r="H1665" s="679">
        <v>0</v>
      </c>
      <c r="I1665" s="677" t="s">
        <v>3508</v>
      </c>
    </row>
    <row r="1666" spans="1:9">
      <c r="A1666" s="677">
        <v>961701</v>
      </c>
      <c r="B1666" s="677" t="s">
        <v>3507</v>
      </c>
      <c r="C1666" s="678">
        <v>3523060000</v>
      </c>
      <c r="D1666" s="679">
        <v>0</v>
      </c>
      <c r="E1666" s="679">
        <v>0</v>
      </c>
      <c r="F1666" s="679">
        <v>0</v>
      </c>
      <c r="G1666" s="678">
        <v>3523060000</v>
      </c>
      <c r="H1666" s="679">
        <v>0</v>
      </c>
      <c r="I1666" s="677" t="s">
        <v>3509</v>
      </c>
    </row>
    <row r="1667" spans="1:9" ht="24">
      <c r="A1667" s="677">
        <v>96170101</v>
      </c>
      <c r="B1667" s="677" t="s">
        <v>3507</v>
      </c>
      <c r="C1667" s="678">
        <v>3523060000</v>
      </c>
      <c r="D1667" s="679">
        <v>0</v>
      </c>
      <c r="E1667" s="679">
        <v>0</v>
      </c>
      <c r="F1667" s="679">
        <v>0</v>
      </c>
      <c r="G1667" s="678">
        <v>3523060000</v>
      </c>
      <c r="H1667" s="679">
        <v>0</v>
      </c>
      <c r="I1667" s="677" t="s">
        <v>3510</v>
      </c>
    </row>
    <row r="1668" spans="1:9">
      <c r="A1668" s="677">
        <v>9999</v>
      </c>
      <c r="B1668" s="677" t="s">
        <v>2520</v>
      </c>
      <c r="C1668" s="679">
        <v>0</v>
      </c>
      <c r="D1668" s="678">
        <v>860667930612.5</v>
      </c>
      <c r="E1668" s="678">
        <v>29708213181.599998</v>
      </c>
      <c r="F1668" s="678">
        <v>30631896136.599998</v>
      </c>
      <c r="G1668" s="679">
        <v>0</v>
      </c>
      <c r="H1668" s="678">
        <v>861591613567.5</v>
      </c>
      <c r="I1668" s="677" t="s">
        <v>2521</v>
      </c>
    </row>
    <row r="1669" spans="1:9">
      <c r="A1669" s="677">
        <v>999901</v>
      </c>
      <c r="B1669" s="677" t="s">
        <v>2520</v>
      </c>
      <c r="C1669" s="679">
        <v>0</v>
      </c>
      <c r="D1669" s="678">
        <v>860667930612.5</v>
      </c>
      <c r="E1669" s="678">
        <v>29708213181.599998</v>
      </c>
      <c r="F1669" s="678">
        <v>30631896136.599998</v>
      </c>
      <c r="G1669" s="679">
        <v>0</v>
      </c>
      <c r="H1669" s="678">
        <v>861591613567.5</v>
      </c>
      <c r="I1669" s="677" t="s">
        <v>2522</v>
      </c>
    </row>
    <row r="1670" spans="1:9" ht="24">
      <c r="A1670" s="677">
        <v>99990101</v>
      </c>
      <c r="B1670" s="677" t="s">
        <v>2520</v>
      </c>
      <c r="C1670" s="679">
        <v>0</v>
      </c>
      <c r="D1670" s="678">
        <v>860667930612.5</v>
      </c>
      <c r="E1670" s="678">
        <v>29708213181.599998</v>
      </c>
      <c r="F1670" s="678">
        <v>30631896136.599998</v>
      </c>
      <c r="G1670" s="679">
        <v>0</v>
      </c>
      <c r="H1670" s="678">
        <v>861591613567.5</v>
      </c>
      <c r="I1670" s="677" t="s">
        <v>2523</v>
      </c>
    </row>
    <row r="1671" spans="1:9">
      <c r="A1671" s="677" t="s">
        <v>2524</v>
      </c>
      <c r="B1671" s="677" t="s">
        <v>2525</v>
      </c>
      <c r="C1671" s="679">
        <v>0</v>
      </c>
      <c r="D1671" s="678">
        <v>149320050.31999999</v>
      </c>
      <c r="E1671" s="678">
        <v>344410</v>
      </c>
      <c r="F1671" s="678">
        <v>788482.44</v>
      </c>
      <c r="G1671" s="679">
        <v>0</v>
      </c>
      <c r="H1671" s="678">
        <v>149764122.75999999</v>
      </c>
      <c r="I1671" s="677" t="s">
        <v>2526</v>
      </c>
    </row>
    <row r="1672" spans="1:9">
      <c r="A1672" s="677" t="s">
        <v>2527</v>
      </c>
      <c r="B1672" s="677" t="s">
        <v>2525</v>
      </c>
      <c r="C1672" s="678">
        <v>-149320050.31999999</v>
      </c>
      <c r="D1672" s="679">
        <v>0</v>
      </c>
      <c r="E1672" s="678">
        <v>344410</v>
      </c>
      <c r="F1672" s="678">
        <v>788482.44</v>
      </c>
      <c r="G1672" s="678">
        <v>-149764122.75999999</v>
      </c>
      <c r="H1672" s="679">
        <v>0</v>
      </c>
      <c r="I1672" s="677" t="s">
        <v>2528</v>
      </c>
    </row>
    <row r="1673" spans="1:9">
      <c r="A1673" s="320"/>
      <c r="B1673" s="320"/>
      <c r="C1673" s="320"/>
      <c r="D1673" s="557" t="s">
        <v>4317</v>
      </c>
      <c r="E1673" s="320" t="s">
        <v>3793</v>
      </c>
      <c r="F1673" s="320"/>
      <c r="G1673" s="320"/>
      <c r="H1673" s="320"/>
      <c r="I1673" s="320"/>
    </row>
    <row r="1674" spans="1:9">
      <c r="A1674" s="671"/>
      <c r="B1674" s="671"/>
      <c r="C1674" s="671"/>
      <c r="D1674" s="671"/>
      <c r="E1674" s="671"/>
      <c r="F1674" s="671"/>
      <c r="G1674" s="671"/>
      <c r="H1674" s="671"/>
      <c r="I1674" s="671"/>
    </row>
    <row r="1675" spans="1:9" ht="22.5">
      <c r="A1675" s="320"/>
      <c r="B1675" s="320"/>
      <c r="C1675" s="672" t="s">
        <v>4316</v>
      </c>
      <c r="D1675" s="320"/>
      <c r="E1675" s="320"/>
      <c r="F1675" s="671"/>
      <c r="G1675" s="671"/>
      <c r="H1675" s="671"/>
      <c r="I1675" s="671"/>
    </row>
    <row r="1676" spans="1:9" ht="14.25">
      <c r="A1676" s="673" t="s">
        <v>3708</v>
      </c>
      <c r="B1676" s="673"/>
      <c r="C1676" s="683">
        <v>42551</v>
      </c>
      <c r="D1676" s="673"/>
      <c r="E1676" s="557" t="s">
        <v>3709</v>
      </c>
      <c r="F1676" s="671"/>
      <c r="G1676" s="671"/>
      <c r="H1676" s="671"/>
      <c r="I1676" s="671"/>
    </row>
    <row r="1677" spans="1:9">
      <c r="A1677" s="676" t="s">
        <v>596</v>
      </c>
      <c r="B1677" s="676" t="s">
        <v>597</v>
      </c>
      <c r="C1677" s="676" t="s">
        <v>3710</v>
      </c>
      <c r="D1677" s="676" t="s">
        <v>3711</v>
      </c>
      <c r="E1677" s="676" t="s">
        <v>3712</v>
      </c>
      <c r="F1677" s="676" t="s">
        <v>3713</v>
      </c>
      <c r="G1677" s="676" t="s">
        <v>3714</v>
      </c>
      <c r="H1677" s="676" t="s">
        <v>3715</v>
      </c>
      <c r="I1677" s="676" t="s">
        <v>596</v>
      </c>
    </row>
    <row r="1678" spans="1:9" ht="24">
      <c r="A1678" s="677" t="s">
        <v>2529</v>
      </c>
      <c r="B1678" s="677" t="s">
        <v>2525</v>
      </c>
      <c r="C1678" s="679">
        <v>0</v>
      </c>
      <c r="D1678" s="678">
        <v>149320050.31999999</v>
      </c>
      <c r="E1678" s="678">
        <v>344410</v>
      </c>
      <c r="F1678" s="678">
        <v>788482.44</v>
      </c>
      <c r="G1678" s="679">
        <v>0</v>
      </c>
      <c r="H1678" s="678">
        <v>149764122.75999999</v>
      </c>
      <c r="I1678" s="677" t="s">
        <v>2530</v>
      </c>
    </row>
    <row r="1679" spans="1:9">
      <c r="A1679" s="677" t="s">
        <v>2531</v>
      </c>
      <c r="B1679" s="677" t="s">
        <v>2532</v>
      </c>
      <c r="C1679" s="679">
        <v>0</v>
      </c>
      <c r="D1679" s="678">
        <v>80768066.780000001</v>
      </c>
      <c r="E1679" s="678">
        <v>4970</v>
      </c>
      <c r="F1679" s="679">
        <v>0</v>
      </c>
      <c r="G1679" s="679">
        <v>0</v>
      </c>
      <c r="H1679" s="678">
        <v>80763096.780000001</v>
      </c>
      <c r="I1679" s="677" t="s">
        <v>2533</v>
      </c>
    </row>
    <row r="1680" spans="1:9">
      <c r="A1680" s="677" t="s">
        <v>2534</v>
      </c>
      <c r="B1680" s="677" t="s">
        <v>2532</v>
      </c>
      <c r="C1680" s="679">
        <v>0</v>
      </c>
      <c r="D1680" s="678">
        <v>80768066.780000001</v>
      </c>
      <c r="E1680" s="678">
        <v>4970</v>
      </c>
      <c r="F1680" s="679">
        <v>0</v>
      </c>
      <c r="G1680" s="679">
        <v>0</v>
      </c>
      <c r="H1680" s="678">
        <v>80763096.780000001</v>
      </c>
      <c r="I1680" s="677" t="s">
        <v>2535</v>
      </c>
    </row>
    <row r="1681" spans="1:9" ht="24">
      <c r="A1681" s="677" t="s">
        <v>2536</v>
      </c>
      <c r="B1681" s="677" t="s">
        <v>2532</v>
      </c>
      <c r="C1681" s="679">
        <v>0</v>
      </c>
      <c r="D1681" s="678">
        <v>80768066.780000001</v>
      </c>
      <c r="E1681" s="678">
        <v>4970</v>
      </c>
      <c r="F1681" s="679">
        <v>0</v>
      </c>
      <c r="G1681" s="679">
        <v>0</v>
      </c>
      <c r="H1681" s="678">
        <v>80763096.780000001</v>
      </c>
      <c r="I1681" s="677" t="s">
        <v>2537</v>
      </c>
    </row>
    <row r="1682" spans="1:9">
      <c r="A1682" s="677"/>
      <c r="B1682" s="684" t="s">
        <v>3794</v>
      </c>
      <c r="C1682" s="678">
        <v>860898018729.59998</v>
      </c>
      <c r="D1682" s="678">
        <v>860898018729.59998</v>
      </c>
      <c r="E1682" s="678">
        <v>60341247180.639999</v>
      </c>
      <c r="F1682" s="678">
        <v>60341247180.639999</v>
      </c>
      <c r="G1682" s="678">
        <v>861822140787.04004</v>
      </c>
      <c r="H1682" s="678">
        <v>861822140787.04004</v>
      </c>
      <c r="I1682" s="677" t="s">
        <v>1125</v>
      </c>
    </row>
    <row r="1683" spans="1:9">
      <c r="A1683" s="677"/>
      <c r="B1683" s="684" t="s">
        <v>3795</v>
      </c>
      <c r="C1683" s="678">
        <v>860748698679.28003</v>
      </c>
      <c r="D1683" s="678">
        <v>860748698679.28003</v>
      </c>
      <c r="E1683" s="678">
        <v>60341247180.639999</v>
      </c>
      <c r="F1683" s="678">
        <v>60341247180.639999</v>
      </c>
      <c r="G1683" s="678">
        <v>861672376664.28003</v>
      </c>
      <c r="H1683" s="678">
        <v>861672376664.28003</v>
      </c>
      <c r="I1683" s="677" t="s">
        <v>1125</v>
      </c>
    </row>
    <row r="1684" spans="1:9">
      <c r="A1684" s="673" t="s">
        <v>3796</v>
      </c>
      <c r="B1684" s="673" t="s">
        <v>3797</v>
      </c>
      <c r="C1684" s="673" t="s">
        <v>3798</v>
      </c>
      <c r="D1684" s="673"/>
      <c r="E1684" s="557" t="s">
        <v>4348</v>
      </c>
      <c r="F1684" s="671"/>
      <c r="G1684" s="671"/>
      <c r="H1684" s="671"/>
      <c r="I1684" s="671"/>
    </row>
    <row r="1685" spans="1:9">
      <c r="A1685" s="320"/>
      <c r="B1685" s="558" t="s">
        <v>4349</v>
      </c>
      <c r="C1685" s="320"/>
      <c r="D1685" s="671"/>
      <c r="E1685" s="671"/>
      <c r="F1685" s="671"/>
      <c r="G1685" s="671"/>
      <c r="H1685" s="671"/>
      <c r="I1685" s="671"/>
    </row>
    <row r="1686" spans="1:9">
      <c r="A1686" s="671"/>
      <c r="B1686" s="671"/>
      <c r="C1686" s="671"/>
      <c r="D1686" s="671"/>
      <c r="E1686" s="671"/>
      <c r="F1686" s="671"/>
      <c r="G1686" s="671"/>
      <c r="H1686" s="671"/>
      <c r="I1686" s="671"/>
    </row>
    <row r="1687" spans="1:9">
      <c r="A1687" s="671"/>
      <c r="B1687" s="671"/>
      <c r="C1687" s="671"/>
      <c r="D1687" s="671"/>
      <c r="E1687" s="671"/>
      <c r="F1687" s="671"/>
      <c r="G1687" s="671"/>
      <c r="H1687" s="671"/>
      <c r="I1687" s="671"/>
    </row>
    <row r="1688" spans="1:9">
      <c r="A1688" s="671"/>
      <c r="B1688" s="671"/>
      <c r="C1688" s="671"/>
      <c r="D1688" s="671"/>
      <c r="E1688" s="671"/>
      <c r="F1688" s="671"/>
      <c r="G1688" s="671"/>
      <c r="H1688" s="671"/>
      <c r="I1688" s="671"/>
    </row>
    <row r="1689" spans="1:9">
      <c r="A1689" s="671"/>
      <c r="B1689" s="671"/>
      <c r="C1689" s="671"/>
      <c r="D1689" s="671"/>
      <c r="E1689" s="671"/>
      <c r="F1689" s="671"/>
      <c r="G1689" s="671"/>
      <c r="H1689" s="671"/>
      <c r="I1689" s="671"/>
    </row>
    <row r="1690" spans="1:9">
      <c r="A1690" s="671"/>
      <c r="B1690" s="671"/>
      <c r="C1690" s="671"/>
      <c r="D1690" s="671"/>
      <c r="E1690" s="671"/>
      <c r="F1690" s="671"/>
      <c r="G1690" s="671"/>
      <c r="H1690" s="671"/>
      <c r="I1690" s="671"/>
    </row>
    <row r="1691" spans="1:9">
      <c r="A1691" s="671"/>
      <c r="B1691" s="671"/>
      <c r="C1691" s="671"/>
      <c r="D1691" s="671"/>
      <c r="E1691" s="671"/>
      <c r="F1691" s="671"/>
      <c r="G1691" s="671"/>
      <c r="H1691" s="671"/>
      <c r="I1691" s="671"/>
    </row>
    <row r="1692" spans="1:9">
      <c r="A1692" s="671"/>
      <c r="B1692" s="671"/>
      <c r="C1692" s="671"/>
      <c r="D1692" s="671"/>
      <c r="E1692" s="671"/>
      <c r="F1692" s="671"/>
      <c r="G1692" s="671"/>
      <c r="H1692" s="671"/>
      <c r="I1692" s="671"/>
    </row>
    <row r="1693" spans="1:9">
      <c r="A1693" s="671"/>
      <c r="B1693" s="671"/>
      <c r="C1693" s="671"/>
      <c r="D1693" s="671"/>
      <c r="E1693" s="671"/>
      <c r="F1693" s="671"/>
      <c r="G1693" s="671"/>
      <c r="H1693" s="671"/>
      <c r="I1693" s="671"/>
    </row>
    <row r="1694" spans="1:9">
      <c r="A1694" s="671"/>
      <c r="B1694" s="671"/>
      <c r="C1694" s="671"/>
      <c r="D1694" s="671"/>
      <c r="E1694" s="671"/>
      <c r="F1694" s="671"/>
      <c r="G1694" s="671"/>
      <c r="H1694" s="671"/>
      <c r="I1694" s="671"/>
    </row>
    <row r="1695" spans="1:9">
      <c r="A1695" s="671"/>
      <c r="B1695" s="671"/>
      <c r="C1695" s="671"/>
      <c r="D1695" s="671"/>
      <c r="E1695" s="671"/>
      <c r="F1695" s="671"/>
      <c r="G1695" s="671"/>
      <c r="H1695" s="671"/>
      <c r="I1695" s="671"/>
    </row>
    <row r="1696" spans="1:9">
      <c r="A1696" s="671"/>
      <c r="B1696" s="671"/>
      <c r="C1696" s="671"/>
      <c r="D1696" s="671"/>
      <c r="E1696" s="671"/>
      <c r="F1696" s="671"/>
      <c r="G1696" s="671"/>
      <c r="H1696" s="671"/>
      <c r="I1696" s="671"/>
    </row>
    <row r="1697" spans="1:9">
      <c r="A1697" s="671"/>
      <c r="B1697" s="671"/>
      <c r="C1697" s="671"/>
      <c r="D1697" s="671"/>
      <c r="E1697" s="671"/>
      <c r="F1697" s="671"/>
      <c r="G1697" s="671"/>
      <c r="H1697" s="671"/>
      <c r="I1697" s="671"/>
    </row>
    <row r="1698" spans="1:9">
      <c r="A1698" s="671"/>
      <c r="B1698" s="671"/>
      <c r="C1698" s="671"/>
      <c r="D1698" s="671"/>
      <c r="E1698" s="671"/>
      <c r="F1698" s="671"/>
      <c r="G1698" s="671"/>
      <c r="H1698" s="671"/>
      <c r="I1698" s="671"/>
    </row>
    <row r="1699" spans="1:9">
      <c r="A1699" s="671"/>
      <c r="B1699" s="671"/>
      <c r="C1699" s="671"/>
      <c r="D1699" s="671"/>
      <c r="E1699" s="671"/>
      <c r="F1699" s="671"/>
      <c r="G1699" s="671"/>
      <c r="H1699" s="671"/>
      <c r="I1699" s="671"/>
    </row>
    <row r="1700" spans="1:9">
      <c r="A1700" s="671"/>
      <c r="B1700" s="671"/>
      <c r="C1700" s="671"/>
      <c r="D1700" s="671"/>
      <c r="E1700" s="671"/>
      <c r="F1700" s="671"/>
      <c r="G1700" s="671"/>
      <c r="H1700" s="671"/>
      <c r="I1700" s="671"/>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0"/>
  <sheetViews>
    <sheetView showGridLines="0" workbookViewId="0">
      <pane xSplit="2" ySplit="3" topLeftCell="C1344" activePane="bottomRight" state="frozen"/>
      <selection pane="topRight" activeCell="C1" sqref="C1"/>
      <selection pane="bottomLeft" activeCell="A4" sqref="A4"/>
      <selection pane="bottomRight" activeCell="C1353" sqref="C1353"/>
    </sheetView>
  </sheetViews>
  <sheetFormatPr defaultRowHeight="13.5"/>
  <cols>
    <col min="1" max="2" width="32" style="660" bestFit="1" customWidth="1"/>
    <col min="3" max="3" width="29" style="660" bestFit="1" customWidth="1"/>
    <col min="4" max="4" width="14.125" style="660" bestFit="1" customWidth="1"/>
    <col min="5" max="5" width="24.25" style="660" bestFit="1" customWidth="1"/>
    <col min="6" max="6" width="16.125" style="660" bestFit="1" customWidth="1"/>
    <col min="7" max="8" width="14.125" style="660" bestFit="1" customWidth="1"/>
    <col min="9" max="9" width="9.625" style="660" bestFit="1" customWidth="1"/>
    <col min="10" max="16384" width="9" style="660"/>
  </cols>
  <sheetData>
    <row r="1" spans="1:9" ht="24.75">
      <c r="A1" s="320"/>
      <c r="B1" s="320"/>
      <c r="C1" s="589" t="s">
        <v>3707</v>
      </c>
      <c r="D1" s="320"/>
      <c r="E1" s="320"/>
      <c r="F1" s="671"/>
      <c r="G1" s="671"/>
      <c r="H1" s="671"/>
      <c r="I1" s="671"/>
    </row>
    <row r="2" spans="1:9" ht="16.5">
      <c r="A2" s="590" t="s">
        <v>3708</v>
      </c>
      <c r="B2" s="590"/>
      <c r="C2" s="591">
        <v>42887</v>
      </c>
      <c r="D2" s="590"/>
      <c r="E2" s="592" t="s">
        <v>3709</v>
      </c>
      <c r="F2" s="671"/>
      <c r="G2" s="671"/>
      <c r="H2" s="671"/>
      <c r="I2" s="671"/>
    </row>
    <row r="3" spans="1:9" ht="28.5" customHeight="1">
      <c r="A3" s="593" t="s">
        <v>596</v>
      </c>
      <c r="B3" s="593" t="s">
        <v>597</v>
      </c>
      <c r="C3" s="593" t="s">
        <v>3710</v>
      </c>
      <c r="D3" s="593" t="s">
        <v>3711</v>
      </c>
      <c r="E3" s="593" t="s">
        <v>3712</v>
      </c>
      <c r="F3" s="593" t="s">
        <v>3713</v>
      </c>
      <c r="G3" s="593" t="s">
        <v>3714</v>
      </c>
      <c r="H3" s="593" t="s">
        <v>3715</v>
      </c>
      <c r="I3" s="593" t="s">
        <v>596</v>
      </c>
    </row>
    <row r="4" spans="1:9" ht="17.100000000000001" customHeight="1">
      <c r="A4" s="594">
        <v>1001</v>
      </c>
      <c r="B4" s="594" t="s">
        <v>598</v>
      </c>
      <c r="C4" s="595">
        <v>2616354260.0500002</v>
      </c>
      <c r="D4" s="596">
        <v>0</v>
      </c>
      <c r="E4" s="595">
        <v>93086875266.419998</v>
      </c>
      <c r="F4" s="595">
        <v>93501503660.490005</v>
      </c>
      <c r="G4" s="595">
        <v>2201725865.98</v>
      </c>
      <c r="H4" s="596">
        <v>0</v>
      </c>
      <c r="I4" s="594" t="s">
        <v>599</v>
      </c>
    </row>
    <row r="5" spans="1:9" ht="17.100000000000001" customHeight="1">
      <c r="A5" s="594">
        <v>100101</v>
      </c>
      <c r="B5" s="594" t="s">
        <v>3813</v>
      </c>
      <c r="C5" s="595">
        <v>228446169.88999999</v>
      </c>
      <c r="D5" s="596">
        <v>0</v>
      </c>
      <c r="E5" s="595">
        <v>11883176551.110001</v>
      </c>
      <c r="F5" s="595">
        <v>11988745976.75</v>
      </c>
      <c r="G5" s="595">
        <v>122876744.25</v>
      </c>
      <c r="H5" s="596">
        <v>0</v>
      </c>
      <c r="I5" s="594" t="s">
        <v>3814</v>
      </c>
    </row>
    <row r="6" spans="1:9" ht="17.100000000000001" customHeight="1">
      <c r="A6" s="594">
        <v>10010101</v>
      </c>
      <c r="B6" s="594" t="s">
        <v>3813</v>
      </c>
      <c r="C6" s="595">
        <v>228446169.88999999</v>
      </c>
      <c r="D6" s="596">
        <v>0</v>
      </c>
      <c r="E6" s="595">
        <v>11883176551.110001</v>
      </c>
      <c r="F6" s="595">
        <v>11988745976.75</v>
      </c>
      <c r="G6" s="595">
        <v>122876744.25</v>
      </c>
      <c r="H6" s="596">
        <v>0</v>
      </c>
      <c r="I6" s="594" t="s">
        <v>3815</v>
      </c>
    </row>
    <row r="7" spans="1:9" ht="17.100000000000001" customHeight="1">
      <c r="A7" s="594">
        <v>100102</v>
      </c>
      <c r="B7" s="594" t="s">
        <v>600</v>
      </c>
      <c r="C7" s="595">
        <v>11195950.720000001</v>
      </c>
      <c r="D7" s="596">
        <v>0</v>
      </c>
      <c r="E7" s="595">
        <v>35742089749.489998</v>
      </c>
      <c r="F7" s="595">
        <v>35743085842.349998</v>
      </c>
      <c r="G7" s="595">
        <v>10199857.859999999</v>
      </c>
      <c r="H7" s="596">
        <v>0</v>
      </c>
      <c r="I7" s="594" t="s">
        <v>601</v>
      </c>
    </row>
    <row r="8" spans="1:9" ht="17.100000000000001" customHeight="1">
      <c r="A8" s="594">
        <v>10010201</v>
      </c>
      <c r="B8" s="594" t="s">
        <v>600</v>
      </c>
      <c r="C8" s="595">
        <v>11195950.720000001</v>
      </c>
      <c r="D8" s="596">
        <v>0</v>
      </c>
      <c r="E8" s="595">
        <v>35742089749.489998</v>
      </c>
      <c r="F8" s="595">
        <v>35743085842.349998</v>
      </c>
      <c r="G8" s="595">
        <v>10199857.859999999</v>
      </c>
      <c r="H8" s="596">
        <v>0</v>
      </c>
      <c r="I8" s="594" t="s">
        <v>602</v>
      </c>
    </row>
    <row r="9" spans="1:9" ht="17.100000000000001" customHeight="1">
      <c r="A9" s="594">
        <v>100103</v>
      </c>
      <c r="B9" s="594" t="s">
        <v>603</v>
      </c>
      <c r="C9" s="595">
        <v>592618380</v>
      </c>
      <c r="D9" s="596">
        <v>0</v>
      </c>
      <c r="E9" s="595">
        <v>8521473060</v>
      </c>
      <c r="F9" s="595">
        <v>8536550590</v>
      </c>
      <c r="G9" s="595">
        <v>577540850</v>
      </c>
      <c r="H9" s="596">
        <v>0</v>
      </c>
      <c r="I9" s="594" t="s">
        <v>604</v>
      </c>
    </row>
    <row r="10" spans="1:9" ht="17.100000000000001" customHeight="1">
      <c r="A10" s="594">
        <v>10010301</v>
      </c>
      <c r="B10" s="594" t="s">
        <v>603</v>
      </c>
      <c r="C10" s="595">
        <v>592618380</v>
      </c>
      <c r="D10" s="596">
        <v>0</v>
      </c>
      <c r="E10" s="595">
        <v>8521473060</v>
      </c>
      <c r="F10" s="595">
        <v>8536550590</v>
      </c>
      <c r="G10" s="595">
        <v>577540850</v>
      </c>
      <c r="H10" s="596">
        <v>0</v>
      </c>
      <c r="I10" s="594" t="s">
        <v>605</v>
      </c>
    </row>
    <row r="11" spans="1:9" ht="17.100000000000001" customHeight="1">
      <c r="A11" s="594">
        <v>100104</v>
      </c>
      <c r="B11" s="594" t="s">
        <v>606</v>
      </c>
      <c r="C11" s="595">
        <v>1784091095.4400001</v>
      </c>
      <c r="D11" s="596">
        <v>0</v>
      </c>
      <c r="E11" s="595">
        <v>36613174151.809998</v>
      </c>
      <c r="F11" s="595">
        <v>36906162493.879997</v>
      </c>
      <c r="G11" s="595">
        <v>1491102753.3699999</v>
      </c>
      <c r="H11" s="596">
        <v>0</v>
      </c>
      <c r="I11" s="594" t="s">
        <v>607</v>
      </c>
    </row>
    <row r="12" spans="1:9" ht="17.100000000000001" customHeight="1">
      <c r="A12" s="594">
        <v>10010401</v>
      </c>
      <c r="B12" s="594" t="s">
        <v>606</v>
      </c>
      <c r="C12" s="595">
        <v>1784091095.4400001</v>
      </c>
      <c r="D12" s="596">
        <v>0</v>
      </c>
      <c r="E12" s="595">
        <v>36613174151.809998</v>
      </c>
      <c r="F12" s="595">
        <v>36906162493.879997</v>
      </c>
      <c r="G12" s="595">
        <v>1491102753.3699999</v>
      </c>
      <c r="H12" s="596">
        <v>0</v>
      </c>
      <c r="I12" s="594" t="s">
        <v>608</v>
      </c>
    </row>
    <row r="13" spans="1:9" ht="17.100000000000001" customHeight="1">
      <c r="A13" s="594">
        <v>100105</v>
      </c>
      <c r="B13" s="594" t="s">
        <v>3816</v>
      </c>
      <c r="C13" s="596">
        <v>0</v>
      </c>
      <c r="D13" s="596">
        <v>0</v>
      </c>
      <c r="E13" s="595">
        <v>326840587.50999999</v>
      </c>
      <c r="F13" s="595">
        <v>326840587.50999999</v>
      </c>
      <c r="G13" s="596">
        <v>0</v>
      </c>
      <c r="H13" s="596">
        <v>0</v>
      </c>
      <c r="I13" s="594" t="s">
        <v>3817</v>
      </c>
    </row>
    <row r="14" spans="1:9" ht="17.100000000000001" customHeight="1">
      <c r="A14" s="594">
        <v>10010501</v>
      </c>
      <c r="B14" s="594" t="s">
        <v>3816</v>
      </c>
      <c r="C14" s="596">
        <v>0</v>
      </c>
      <c r="D14" s="596">
        <v>0</v>
      </c>
      <c r="E14" s="595">
        <v>326840587.50999999</v>
      </c>
      <c r="F14" s="595">
        <v>326840587.50999999</v>
      </c>
      <c r="G14" s="596">
        <v>0</v>
      </c>
      <c r="H14" s="596">
        <v>0</v>
      </c>
      <c r="I14" s="594" t="s">
        <v>3818</v>
      </c>
    </row>
    <row r="15" spans="1:9" ht="17.100000000000001" customHeight="1">
      <c r="A15" s="594">
        <v>100106</v>
      </c>
      <c r="B15" s="594" t="s">
        <v>3819</v>
      </c>
      <c r="C15" s="595">
        <v>2664</v>
      </c>
      <c r="D15" s="596">
        <v>0</v>
      </c>
      <c r="E15" s="595">
        <v>121166.5</v>
      </c>
      <c r="F15" s="595">
        <v>118170</v>
      </c>
      <c r="G15" s="595">
        <v>5660.5</v>
      </c>
      <c r="H15" s="596">
        <v>0</v>
      </c>
      <c r="I15" s="594" t="s">
        <v>3820</v>
      </c>
    </row>
    <row r="16" spans="1:9" ht="17.100000000000001" customHeight="1">
      <c r="A16" s="594">
        <v>10010601</v>
      </c>
      <c r="B16" s="594" t="s">
        <v>3819</v>
      </c>
      <c r="C16" s="595">
        <v>2664</v>
      </c>
      <c r="D16" s="596">
        <v>0</v>
      </c>
      <c r="E16" s="595">
        <v>121166.5</v>
      </c>
      <c r="F16" s="595">
        <v>118170</v>
      </c>
      <c r="G16" s="595">
        <v>5660.5</v>
      </c>
      <c r="H16" s="596">
        <v>0</v>
      </c>
      <c r="I16" s="594" t="s">
        <v>3821</v>
      </c>
    </row>
    <row r="17" spans="1:9" ht="17.100000000000001" customHeight="1">
      <c r="A17" s="594">
        <v>1002</v>
      </c>
      <c r="B17" s="594" t="s">
        <v>609</v>
      </c>
      <c r="C17" s="595">
        <v>73702541457.25</v>
      </c>
      <c r="D17" s="596">
        <v>0</v>
      </c>
      <c r="E17" s="595">
        <v>39251038293.07</v>
      </c>
      <c r="F17" s="595">
        <v>36904658466.589996</v>
      </c>
      <c r="G17" s="595">
        <v>76048921283.729996</v>
      </c>
      <c r="H17" s="596">
        <v>0</v>
      </c>
      <c r="I17" s="594" t="s">
        <v>610</v>
      </c>
    </row>
    <row r="18" spans="1:9" ht="17.100000000000001" customHeight="1">
      <c r="A18" s="594">
        <v>100201</v>
      </c>
      <c r="B18" s="594" t="s">
        <v>611</v>
      </c>
      <c r="C18" s="595">
        <v>72833330586.309998</v>
      </c>
      <c r="D18" s="596">
        <v>0</v>
      </c>
      <c r="E18" s="595">
        <v>38701258818.830002</v>
      </c>
      <c r="F18" s="595">
        <v>36871851466.589996</v>
      </c>
      <c r="G18" s="595">
        <v>74662737938.550003</v>
      </c>
      <c r="H18" s="596">
        <v>0</v>
      </c>
      <c r="I18" s="594" t="s">
        <v>612</v>
      </c>
    </row>
    <row r="19" spans="1:9" ht="17.100000000000001" customHeight="1">
      <c r="A19" s="594">
        <v>10020101</v>
      </c>
      <c r="B19" s="594" t="s">
        <v>611</v>
      </c>
      <c r="C19" s="595">
        <v>72833330586.309998</v>
      </c>
      <c r="D19" s="596">
        <v>0</v>
      </c>
      <c r="E19" s="595">
        <v>38701258818.830002</v>
      </c>
      <c r="F19" s="595">
        <v>36871851466.589996</v>
      </c>
      <c r="G19" s="595">
        <v>74662737938.550003</v>
      </c>
      <c r="H19" s="596">
        <v>0</v>
      </c>
      <c r="I19" s="594" t="s">
        <v>613</v>
      </c>
    </row>
    <row r="20" spans="1:9" ht="17.100000000000001" customHeight="1">
      <c r="A20" s="594">
        <v>100202</v>
      </c>
      <c r="B20" s="594" t="s">
        <v>614</v>
      </c>
      <c r="C20" s="595">
        <v>767249000</v>
      </c>
      <c r="D20" s="596">
        <v>0</v>
      </c>
      <c r="E20" s="595">
        <v>549189000</v>
      </c>
      <c r="F20" s="595">
        <v>29767000</v>
      </c>
      <c r="G20" s="595">
        <v>1286671000</v>
      </c>
      <c r="H20" s="596">
        <v>0</v>
      </c>
      <c r="I20" s="594" t="s">
        <v>615</v>
      </c>
    </row>
    <row r="21" spans="1:9" ht="17.100000000000001" customHeight="1">
      <c r="A21" s="594">
        <v>10020201</v>
      </c>
      <c r="B21" s="594" t="s">
        <v>614</v>
      </c>
      <c r="C21" s="595">
        <v>767249000</v>
      </c>
      <c r="D21" s="596">
        <v>0</v>
      </c>
      <c r="E21" s="595">
        <v>549189000</v>
      </c>
      <c r="F21" s="595">
        <v>29767000</v>
      </c>
      <c r="G21" s="595">
        <v>1286671000</v>
      </c>
      <c r="H21" s="596">
        <v>0</v>
      </c>
      <c r="I21" s="594" t="s">
        <v>616</v>
      </c>
    </row>
    <row r="22" spans="1:9" ht="17.100000000000001" customHeight="1">
      <c r="A22" s="594">
        <v>100299</v>
      </c>
      <c r="B22" s="594" t="s">
        <v>617</v>
      </c>
      <c r="C22" s="595">
        <v>101961870.94</v>
      </c>
      <c r="D22" s="596">
        <v>0</v>
      </c>
      <c r="E22" s="595">
        <v>590474.23999999999</v>
      </c>
      <c r="F22" s="595">
        <v>3040000</v>
      </c>
      <c r="G22" s="595">
        <v>99512345.180000007</v>
      </c>
      <c r="H22" s="596">
        <v>0</v>
      </c>
      <c r="I22" s="594" t="s">
        <v>618</v>
      </c>
    </row>
    <row r="23" spans="1:9" ht="17.100000000000001" customHeight="1">
      <c r="A23" s="594">
        <v>10029999</v>
      </c>
      <c r="B23" s="594" t="s">
        <v>617</v>
      </c>
      <c r="C23" s="595">
        <v>101961870.94</v>
      </c>
      <c r="D23" s="596">
        <v>0</v>
      </c>
      <c r="E23" s="595">
        <v>590474.23999999999</v>
      </c>
      <c r="F23" s="595">
        <v>3040000</v>
      </c>
      <c r="G23" s="595">
        <v>99512345.180000007</v>
      </c>
      <c r="H23" s="596">
        <v>0</v>
      </c>
      <c r="I23" s="594" t="s">
        <v>619</v>
      </c>
    </row>
    <row r="24" spans="1:9" ht="17.100000000000001" customHeight="1">
      <c r="A24" s="594">
        <v>1004</v>
      </c>
      <c r="B24" s="594" t="s">
        <v>620</v>
      </c>
      <c r="C24" s="595">
        <v>2187881000</v>
      </c>
      <c r="D24" s="596">
        <v>0</v>
      </c>
      <c r="E24" s="596">
        <v>0</v>
      </c>
      <c r="F24" s="596">
        <v>0</v>
      </c>
      <c r="G24" s="595">
        <v>2187881000</v>
      </c>
      <c r="H24" s="596">
        <v>0</v>
      </c>
      <c r="I24" s="594" t="s">
        <v>621</v>
      </c>
    </row>
    <row r="25" spans="1:9" ht="17.100000000000001" customHeight="1">
      <c r="A25" s="594">
        <v>100401</v>
      </c>
      <c r="B25" s="594" t="s">
        <v>620</v>
      </c>
      <c r="C25" s="595">
        <v>2187881000</v>
      </c>
      <c r="D25" s="596">
        <v>0</v>
      </c>
      <c r="E25" s="596">
        <v>0</v>
      </c>
      <c r="F25" s="596">
        <v>0</v>
      </c>
      <c r="G25" s="595">
        <v>2187881000</v>
      </c>
      <c r="H25" s="596">
        <v>0</v>
      </c>
      <c r="I25" s="594" t="s">
        <v>622</v>
      </c>
    </row>
    <row r="26" spans="1:9" ht="17.100000000000001" customHeight="1">
      <c r="A26" s="594">
        <v>10040101</v>
      </c>
      <c r="B26" s="594" t="s">
        <v>620</v>
      </c>
      <c r="C26" s="595">
        <v>2187881000</v>
      </c>
      <c r="D26" s="596">
        <v>0</v>
      </c>
      <c r="E26" s="596">
        <v>0</v>
      </c>
      <c r="F26" s="596">
        <v>0</v>
      </c>
      <c r="G26" s="595">
        <v>2187881000</v>
      </c>
      <c r="H26" s="596">
        <v>0</v>
      </c>
      <c r="I26" s="594" t="s">
        <v>623</v>
      </c>
    </row>
    <row r="27" spans="1:9" ht="17.100000000000001" customHeight="1">
      <c r="A27" s="594">
        <v>1011</v>
      </c>
      <c r="B27" s="594" t="s">
        <v>624</v>
      </c>
      <c r="C27" s="595">
        <v>6938572063.4300003</v>
      </c>
      <c r="D27" s="596">
        <v>0</v>
      </c>
      <c r="E27" s="595">
        <v>193200345789.63</v>
      </c>
      <c r="F27" s="595">
        <v>188791925011.17999</v>
      </c>
      <c r="G27" s="595">
        <v>11346992841.879999</v>
      </c>
      <c r="H27" s="596">
        <v>0</v>
      </c>
      <c r="I27" s="594" t="s">
        <v>625</v>
      </c>
    </row>
    <row r="28" spans="1:9" ht="17.100000000000001" customHeight="1">
      <c r="A28" s="594">
        <v>101102</v>
      </c>
      <c r="B28" s="594" t="s">
        <v>626</v>
      </c>
      <c r="C28" s="595">
        <v>6504000750.6999998</v>
      </c>
      <c r="D28" s="596">
        <v>0</v>
      </c>
      <c r="E28" s="595">
        <v>177044038468.03</v>
      </c>
      <c r="F28" s="595">
        <v>177623635256.48001</v>
      </c>
      <c r="G28" s="595">
        <v>5924403962.25</v>
      </c>
      <c r="H28" s="596">
        <v>0</v>
      </c>
      <c r="I28" s="594" t="s">
        <v>627</v>
      </c>
    </row>
    <row r="29" spans="1:9" ht="17.100000000000001" customHeight="1">
      <c r="A29" s="594">
        <v>10110201</v>
      </c>
      <c r="B29" s="594" t="s">
        <v>2583</v>
      </c>
      <c r="C29" s="595">
        <v>4379151699.6499996</v>
      </c>
      <c r="D29" s="596">
        <v>0</v>
      </c>
      <c r="E29" s="595">
        <v>176743650366.07999</v>
      </c>
      <c r="F29" s="595">
        <v>176622418394.78</v>
      </c>
      <c r="G29" s="595">
        <v>4500383670.9499998</v>
      </c>
      <c r="H29" s="596">
        <v>0</v>
      </c>
      <c r="I29" s="594" t="s">
        <v>628</v>
      </c>
    </row>
    <row r="30" spans="1:9" ht="17.100000000000001" customHeight="1">
      <c r="A30" s="594">
        <v>10110202</v>
      </c>
      <c r="B30" s="594" t="s">
        <v>2584</v>
      </c>
      <c r="C30" s="595">
        <v>2010000000</v>
      </c>
      <c r="D30" s="596">
        <v>0</v>
      </c>
      <c r="E30" s="595">
        <v>300000000</v>
      </c>
      <c r="F30" s="595">
        <v>1000000000</v>
      </c>
      <c r="G30" s="595">
        <v>1310000000</v>
      </c>
      <c r="H30" s="596">
        <v>0</v>
      </c>
      <c r="I30" s="594" t="s">
        <v>629</v>
      </c>
    </row>
    <row r="31" spans="1:9" ht="17.100000000000001" customHeight="1">
      <c r="A31" s="594">
        <v>10110299</v>
      </c>
      <c r="B31" s="594" t="s">
        <v>630</v>
      </c>
      <c r="C31" s="595">
        <v>114849051.05</v>
      </c>
      <c r="D31" s="596">
        <v>0</v>
      </c>
      <c r="E31" s="595">
        <v>388101.95</v>
      </c>
      <c r="F31" s="595">
        <v>1216861.7</v>
      </c>
      <c r="G31" s="595">
        <v>114020291.3</v>
      </c>
      <c r="H31" s="596">
        <v>0</v>
      </c>
      <c r="I31" s="594" t="s">
        <v>631</v>
      </c>
    </row>
    <row r="32" spans="1:9" ht="17.100000000000001" customHeight="1">
      <c r="A32" s="594">
        <v>101103</v>
      </c>
      <c r="B32" s="594" t="s">
        <v>3822</v>
      </c>
      <c r="C32" s="595">
        <v>201531</v>
      </c>
      <c r="D32" s="596">
        <v>0</v>
      </c>
      <c r="E32" s="596">
        <v>0</v>
      </c>
      <c r="F32" s="595">
        <v>5973</v>
      </c>
      <c r="G32" s="595">
        <v>195558</v>
      </c>
      <c r="H32" s="596">
        <v>0</v>
      </c>
      <c r="I32" s="594" t="s">
        <v>3823</v>
      </c>
    </row>
    <row r="33" spans="1:9" ht="17.100000000000001" customHeight="1">
      <c r="A33" s="594">
        <v>10110301</v>
      </c>
      <c r="B33" s="594" t="s">
        <v>3824</v>
      </c>
      <c r="C33" s="595">
        <v>201531</v>
      </c>
      <c r="D33" s="596">
        <v>0</v>
      </c>
      <c r="E33" s="596">
        <v>0</v>
      </c>
      <c r="F33" s="595">
        <v>5973</v>
      </c>
      <c r="G33" s="595">
        <v>195558</v>
      </c>
      <c r="H33" s="596">
        <v>0</v>
      </c>
      <c r="I33" s="594" t="s">
        <v>3825</v>
      </c>
    </row>
    <row r="34" spans="1:9" ht="17.100000000000001" customHeight="1">
      <c r="A34" s="594">
        <v>101104</v>
      </c>
      <c r="B34" s="594" t="s">
        <v>2759</v>
      </c>
      <c r="C34" s="595">
        <v>434069781.73000002</v>
      </c>
      <c r="D34" s="596">
        <v>0</v>
      </c>
      <c r="E34" s="595">
        <v>16156307321.6</v>
      </c>
      <c r="F34" s="595">
        <v>11168283781.700001</v>
      </c>
      <c r="G34" s="595">
        <v>5422093321.6300001</v>
      </c>
      <c r="H34" s="596">
        <v>0</v>
      </c>
      <c r="I34" s="594" t="s">
        <v>632</v>
      </c>
    </row>
    <row r="35" spans="1:9" ht="17.100000000000001" customHeight="1">
      <c r="A35" s="594">
        <v>10110401</v>
      </c>
      <c r="B35" s="594" t="s">
        <v>2760</v>
      </c>
      <c r="C35" s="595">
        <v>434069781.73000002</v>
      </c>
      <c r="D35" s="596">
        <v>0</v>
      </c>
      <c r="E35" s="595">
        <v>16156307321.6</v>
      </c>
      <c r="F35" s="595">
        <v>11168283781.700001</v>
      </c>
      <c r="G35" s="595">
        <v>5422093321.6300001</v>
      </c>
      <c r="H35" s="596">
        <v>0</v>
      </c>
      <c r="I35" s="594" t="s">
        <v>633</v>
      </c>
    </row>
    <row r="36" spans="1:9" ht="17.100000000000001" customHeight="1">
      <c r="A36" s="594">
        <v>101115</v>
      </c>
      <c r="B36" s="594" t="s">
        <v>2761</v>
      </c>
      <c r="C36" s="595">
        <v>300000</v>
      </c>
      <c r="D36" s="596">
        <v>0</v>
      </c>
      <c r="E36" s="596">
        <v>0</v>
      </c>
      <c r="F36" s="596">
        <v>0</v>
      </c>
      <c r="G36" s="595">
        <v>300000</v>
      </c>
      <c r="H36" s="596">
        <v>0</v>
      </c>
      <c r="I36" s="594" t="s">
        <v>2762</v>
      </c>
    </row>
    <row r="37" spans="1:9" ht="28.5" customHeight="1">
      <c r="A37" s="320"/>
      <c r="B37" s="320"/>
      <c r="C37" s="320"/>
      <c r="D37" s="557" t="s">
        <v>4198</v>
      </c>
      <c r="E37" s="320" t="s">
        <v>3716</v>
      </c>
      <c r="F37" s="320"/>
      <c r="G37" s="320"/>
      <c r="H37" s="320"/>
      <c r="I37" s="320"/>
    </row>
    <row r="38" spans="1:9">
      <c r="A38" s="671"/>
      <c r="B38" s="671"/>
      <c r="C38" s="671"/>
      <c r="D38" s="671"/>
      <c r="E38" s="671"/>
      <c r="F38" s="671"/>
      <c r="G38" s="671"/>
      <c r="H38" s="671"/>
      <c r="I38" s="671"/>
    </row>
    <row r="39" spans="1:9" ht="24.75">
      <c r="A39" s="320"/>
      <c r="B39" s="320"/>
      <c r="C39" s="589" t="s">
        <v>3707</v>
      </c>
      <c r="D39" s="320"/>
      <c r="E39" s="320"/>
      <c r="F39" s="671"/>
      <c r="G39" s="671"/>
      <c r="H39" s="671"/>
      <c r="I39" s="671"/>
    </row>
    <row r="40" spans="1:9" ht="17.25">
      <c r="A40" s="590" t="s">
        <v>3708</v>
      </c>
      <c r="B40" s="590"/>
      <c r="C40" s="597">
        <v>42887</v>
      </c>
      <c r="D40" s="590"/>
      <c r="E40" s="557" t="s">
        <v>3709</v>
      </c>
      <c r="F40" s="671"/>
      <c r="G40" s="671"/>
      <c r="H40" s="671"/>
      <c r="I40" s="671"/>
    </row>
    <row r="41" spans="1:9" ht="28.5" customHeight="1">
      <c r="A41" s="593" t="s">
        <v>596</v>
      </c>
      <c r="B41" s="593" t="s">
        <v>597</v>
      </c>
      <c r="C41" s="593" t="s">
        <v>3710</v>
      </c>
      <c r="D41" s="593" t="s">
        <v>3711</v>
      </c>
      <c r="E41" s="593" t="s">
        <v>3712</v>
      </c>
      <c r="F41" s="593" t="s">
        <v>3713</v>
      </c>
      <c r="G41" s="593" t="s">
        <v>3714</v>
      </c>
      <c r="H41" s="593" t="s">
        <v>3715</v>
      </c>
      <c r="I41" s="593" t="s">
        <v>596</v>
      </c>
    </row>
    <row r="42" spans="1:9" ht="17.100000000000001" customHeight="1">
      <c r="A42" s="594">
        <v>10111501</v>
      </c>
      <c r="B42" s="594" t="s">
        <v>3363</v>
      </c>
      <c r="C42" s="595">
        <v>300000</v>
      </c>
      <c r="D42" s="596">
        <v>0</v>
      </c>
      <c r="E42" s="596">
        <v>0</v>
      </c>
      <c r="F42" s="596">
        <v>0</v>
      </c>
      <c r="G42" s="595">
        <v>300000</v>
      </c>
      <c r="H42" s="596">
        <v>0</v>
      </c>
      <c r="I42" s="594" t="s">
        <v>3364</v>
      </c>
    </row>
    <row r="43" spans="1:9" ht="17.100000000000001" customHeight="1">
      <c r="A43" s="594">
        <v>1012</v>
      </c>
      <c r="B43" s="594" t="s">
        <v>634</v>
      </c>
      <c r="C43" s="595">
        <v>914446004.12</v>
      </c>
      <c r="D43" s="596">
        <v>0</v>
      </c>
      <c r="E43" s="595">
        <v>11893507131.299999</v>
      </c>
      <c r="F43" s="595">
        <v>9522480625.3999996</v>
      </c>
      <c r="G43" s="595">
        <v>3285472510.02</v>
      </c>
      <c r="H43" s="596">
        <v>0</v>
      </c>
      <c r="I43" s="594" t="s">
        <v>635</v>
      </c>
    </row>
    <row r="44" spans="1:9" ht="17.100000000000001" customHeight="1">
      <c r="A44" s="594">
        <v>101201</v>
      </c>
      <c r="B44" s="594" t="s">
        <v>636</v>
      </c>
      <c r="C44" s="595">
        <v>896629405.24000001</v>
      </c>
      <c r="D44" s="596">
        <v>0</v>
      </c>
      <c r="E44" s="595">
        <v>5052359304.6000004</v>
      </c>
      <c r="F44" s="595">
        <v>5480000000</v>
      </c>
      <c r="G44" s="595">
        <v>468988709.83999997</v>
      </c>
      <c r="H44" s="596">
        <v>0</v>
      </c>
      <c r="I44" s="594" t="s">
        <v>637</v>
      </c>
    </row>
    <row r="45" spans="1:9" ht="17.100000000000001" customHeight="1">
      <c r="A45" s="594">
        <v>10120101</v>
      </c>
      <c r="B45" s="594" t="s">
        <v>638</v>
      </c>
      <c r="C45" s="595">
        <v>896629405.24000001</v>
      </c>
      <c r="D45" s="596">
        <v>0</v>
      </c>
      <c r="E45" s="595">
        <v>5052359304.6000004</v>
      </c>
      <c r="F45" s="595">
        <v>5480000000</v>
      </c>
      <c r="G45" s="595">
        <v>468988709.83999997</v>
      </c>
      <c r="H45" s="596">
        <v>0</v>
      </c>
      <c r="I45" s="594" t="s">
        <v>639</v>
      </c>
    </row>
    <row r="46" spans="1:9" ht="17.100000000000001" customHeight="1">
      <c r="A46" s="594">
        <v>101204</v>
      </c>
      <c r="B46" s="594" t="s">
        <v>3826</v>
      </c>
      <c r="C46" s="595">
        <v>17816598.879999999</v>
      </c>
      <c r="D46" s="596">
        <v>0</v>
      </c>
      <c r="E46" s="595">
        <v>6841147826.6999998</v>
      </c>
      <c r="F46" s="595">
        <v>4042480625.4000001</v>
      </c>
      <c r="G46" s="595">
        <v>2816483800.1799998</v>
      </c>
      <c r="H46" s="596">
        <v>0</v>
      </c>
      <c r="I46" s="594" t="s">
        <v>3827</v>
      </c>
    </row>
    <row r="47" spans="1:9" ht="17.100000000000001" customHeight="1">
      <c r="A47" s="594">
        <v>10120401</v>
      </c>
      <c r="B47" s="594" t="s">
        <v>3826</v>
      </c>
      <c r="C47" s="595">
        <v>17816598.879999999</v>
      </c>
      <c r="D47" s="596">
        <v>0</v>
      </c>
      <c r="E47" s="595">
        <v>6841147826.6999998</v>
      </c>
      <c r="F47" s="595">
        <v>4042480625.4000001</v>
      </c>
      <c r="G47" s="595">
        <v>2816483800.1799998</v>
      </c>
      <c r="H47" s="596">
        <v>0</v>
      </c>
      <c r="I47" s="594" t="s">
        <v>3828</v>
      </c>
    </row>
    <row r="48" spans="1:9" ht="17.100000000000001" customHeight="1">
      <c r="A48" s="594">
        <v>1013</v>
      </c>
      <c r="B48" s="594" t="s">
        <v>640</v>
      </c>
      <c r="C48" s="595">
        <v>6958174900</v>
      </c>
      <c r="D48" s="596">
        <v>0</v>
      </c>
      <c r="E48" s="595">
        <v>7679510917.0299997</v>
      </c>
      <c r="F48" s="595">
        <v>4961729348.6300001</v>
      </c>
      <c r="G48" s="595">
        <v>9675956468.3999996</v>
      </c>
      <c r="H48" s="596">
        <v>0</v>
      </c>
      <c r="I48" s="594" t="s">
        <v>641</v>
      </c>
    </row>
    <row r="49" spans="1:9" ht="17.100000000000001" customHeight="1">
      <c r="A49" s="594">
        <v>101302</v>
      </c>
      <c r="B49" s="594" t="s">
        <v>2738</v>
      </c>
      <c r="C49" s="595">
        <v>274532000</v>
      </c>
      <c r="D49" s="596">
        <v>0</v>
      </c>
      <c r="E49" s="595">
        <v>4820082395.8299999</v>
      </c>
      <c r="F49" s="595">
        <v>2653838395.8299999</v>
      </c>
      <c r="G49" s="595">
        <v>2440776000</v>
      </c>
      <c r="H49" s="596">
        <v>0</v>
      </c>
      <c r="I49" s="594" t="s">
        <v>2763</v>
      </c>
    </row>
    <row r="50" spans="1:9" ht="17.100000000000001" customHeight="1">
      <c r="A50" s="594">
        <v>10130201</v>
      </c>
      <c r="B50" s="594" t="s">
        <v>2738</v>
      </c>
      <c r="C50" s="595">
        <v>274532000</v>
      </c>
      <c r="D50" s="596">
        <v>0</v>
      </c>
      <c r="E50" s="595">
        <v>4820082395.8299999</v>
      </c>
      <c r="F50" s="595">
        <v>2653838395.8299999</v>
      </c>
      <c r="G50" s="595">
        <v>2440776000</v>
      </c>
      <c r="H50" s="596">
        <v>0</v>
      </c>
      <c r="I50" s="594" t="s">
        <v>2764</v>
      </c>
    </row>
    <row r="51" spans="1:9" ht="17.100000000000001" customHeight="1">
      <c r="A51" s="594">
        <v>101312</v>
      </c>
      <c r="B51" s="594" t="s">
        <v>4123</v>
      </c>
      <c r="C51" s="596">
        <v>0</v>
      </c>
      <c r="D51" s="596">
        <v>0</v>
      </c>
      <c r="E51" s="595">
        <v>180000000</v>
      </c>
      <c r="F51" s="595">
        <v>180000000</v>
      </c>
      <c r="G51" s="596">
        <v>0</v>
      </c>
      <c r="H51" s="596">
        <v>0</v>
      </c>
      <c r="I51" s="594" t="s">
        <v>4124</v>
      </c>
    </row>
    <row r="52" spans="1:9" ht="17.100000000000001" customHeight="1">
      <c r="A52" s="594">
        <v>10131203</v>
      </c>
      <c r="B52" s="594" t="s">
        <v>4125</v>
      </c>
      <c r="C52" s="596">
        <v>0</v>
      </c>
      <c r="D52" s="596">
        <v>0</v>
      </c>
      <c r="E52" s="595">
        <v>180000000</v>
      </c>
      <c r="F52" s="595">
        <v>180000000</v>
      </c>
      <c r="G52" s="596">
        <v>0</v>
      </c>
      <c r="H52" s="596">
        <v>0</v>
      </c>
      <c r="I52" s="594" t="s">
        <v>4126</v>
      </c>
    </row>
    <row r="53" spans="1:9" ht="17.100000000000001" customHeight="1">
      <c r="A53" s="594">
        <v>101317</v>
      </c>
      <c r="B53" s="594" t="s">
        <v>3420</v>
      </c>
      <c r="C53" s="595">
        <v>5883642900</v>
      </c>
      <c r="D53" s="596">
        <v>0</v>
      </c>
      <c r="E53" s="595">
        <v>2479428521.1999998</v>
      </c>
      <c r="F53" s="595">
        <v>2127890952.8</v>
      </c>
      <c r="G53" s="595">
        <v>6235180468.3999996</v>
      </c>
      <c r="H53" s="596">
        <v>0</v>
      </c>
      <c r="I53" s="594" t="s">
        <v>3421</v>
      </c>
    </row>
    <row r="54" spans="1:9" ht="17.100000000000001" customHeight="1">
      <c r="A54" s="594">
        <v>10131703</v>
      </c>
      <c r="B54" s="594" t="s">
        <v>3422</v>
      </c>
      <c r="C54" s="595">
        <v>5883642900</v>
      </c>
      <c r="D54" s="596">
        <v>0</v>
      </c>
      <c r="E54" s="595">
        <v>2479428521.1999998</v>
      </c>
      <c r="F54" s="595">
        <v>2127890952.8</v>
      </c>
      <c r="G54" s="595">
        <v>6235180468.3999996</v>
      </c>
      <c r="H54" s="596">
        <v>0</v>
      </c>
      <c r="I54" s="594" t="s">
        <v>3423</v>
      </c>
    </row>
    <row r="55" spans="1:9" ht="17.100000000000001" customHeight="1">
      <c r="A55" s="594">
        <v>101318</v>
      </c>
      <c r="B55" s="594" t="s">
        <v>4199</v>
      </c>
      <c r="C55" s="596">
        <v>0</v>
      </c>
      <c r="D55" s="596">
        <v>0</v>
      </c>
      <c r="E55" s="595">
        <v>200000000</v>
      </c>
      <c r="F55" s="596">
        <v>0</v>
      </c>
      <c r="G55" s="595">
        <v>200000000</v>
      </c>
      <c r="H55" s="596">
        <v>0</v>
      </c>
      <c r="I55" s="594" t="s">
        <v>4200</v>
      </c>
    </row>
    <row r="56" spans="1:9" ht="17.100000000000001" customHeight="1">
      <c r="A56" s="594">
        <v>10131801</v>
      </c>
      <c r="B56" s="594" t="s">
        <v>4199</v>
      </c>
      <c r="C56" s="596">
        <v>0</v>
      </c>
      <c r="D56" s="596">
        <v>0</v>
      </c>
      <c r="E56" s="595">
        <v>200000000</v>
      </c>
      <c r="F56" s="596">
        <v>0</v>
      </c>
      <c r="G56" s="595">
        <v>200000000</v>
      </c>
      <c r="H56" s="596">
        <v>0</v>
      </c>
      <c r="I56" s="594" t="s">
        <v>4201</v>
      </c>
    </row>
    <row r="57" spans="1:9" ht="17.100000000000001" customHeight="1">
      <c r="A57" s="594">
        <v>101399</v>
      </c>
      <c r="B57" s="594" t="s">
        <v>2765</v>
      </c>
      <c r="C57" s="595">
        <v>800000000</v>
      </c>
      <c r="D57" s="596">
        <v>0</v>
      </c>
      <c r="E57" s="596">
        <v>0</v>
      </c>
      <c r="F57" s="596">
        <v>0</v>
      </c>
      <c r="G57" s="595">
        <v>800000000</v>
      </c>
      <c r="H57" s="596">
        <v>0</v>
      </c>
      <c r="I57" s="594" t="s">
        <v>642</v>
      </c>
    </row>
    <row r="58" spans="1:9" ht="17.100000000000001" customHeight="1">
      <c r="A58" s="594">
        <v>10139999</v>
      </c>
      <c r="B58" s="594" t="s">
        <v>2765</v>
      </c>
      <c r="C58" s="595">
        <v>800000000</v>
      </c>
      <c r="D58" s="596">
        <v>0</v>
      </c>
      <c r="E58" s="596">
        <v>0</v>
      </c>
      <c r="F58" s="596">
        <v>0</v>
      </c>
      <c r="G58" s="595">
        <v>800000000</v>
      </c>
      <c r="H58" s="596">
        <v>0</v>
      </c>
      <c r="I58" s="594" t="s">
        <v>643</v>
      </c>
    </row>
    <row r="59" spans="1:9" ht="17.100000000000001" customHeight="1">
      <c r="A59" s="594">
        <v>1031</v>
      </c>
      <c r="B59" s="594" t="s">
        <v>644</v>
      </c>
      <c r="C59" s="595">
        <v>1500000</v>
      </c>
      <c r="D59" s="596">
        <v>0</v>
      </c>
      <c r="E59" s="596">
        <v>0</v>
      </c>
      <c r="F59" s="596">
        <v>0</v>
      </c>
      <c r="G59" s="595">
        <v>1500000</v>
      </c>
      <c r="H59" s="596">
        <v>0</v>
      </c>
      <c r="I59" s="594" t="s">
        <v>645</v>
      </c>
    </row>
    <row r="60" spans="1:9" ht="17.100000000000001" customHeight="1">
      <c r="A60" s="594">
        <v>103101</v>
      </c>
      <c r="B60" s="594" t="s">
        <v>644</v>
      </c>
      <c r="C60" s="595">
        <v>1500000</v>
      </c>
      <c r="D60" s="596">
        <v>0</v>
      </c>
      <c r="E60" s="596">
        <v>0</v>
      </c>
      <c r="F60" s="596">
        <v>0</v>
      </c>
      <c r="G60" s="595">
        <v>1500000</v>
      </c>
      <c r="H60" s="596">
        <v>0</v>
      </c>
      <c r="I60" s="594" t="s">
        <v>646</v>
      </c>
    </row>
    <row r="61" spans="1:9" ht="17.100000000000001" customHeight="1">
      <c r="A61" s="594">
        <v>10310101</v>
      </c>
      <c r="B61" s="594" t="s">
        <v>644</v>
      </c>
      <c r="C61" s="595">
        <v>1500000</v>
      </c>
      <c r="D61" s="596">
        <v>0</v>
      </c>
      <c r="E61" s="596">
        <v>0</v>
      </c>
      <c r="F61" s="596">
        <v>0</v>
      </c>
      <c r="G61" s="595">
        <v>1500000</v>
      </c>
      <c r="H61" s="596">
        <v>0</v>
      </c>
      <c r="I61" s="594" t="s">
        <v>647</v>
      </c>
    </row>
    <row r="62" spans="1:9" ht="17.100000000000001" customHeight="1">
      <c r="A62" s="594">
        <v>1101</v>
      </c>
      <c r="B62" s="594" t="s">
        <v>648</v>
      </c>
      <c r="C62" s="595">
        <v>23084268586</v>
      </c>
      <c r="D62" s="596">
        <v>0</v>
      </c>
      <c r="E62" s="595">
        <v>1873625113.1600001</v>
      </c>
      <c r="F62" s="595">
        <v>2650456663.1599998</v>
      </c>
      <c r="G62" s="595">
        <v>22307437036</v>
      </c>
      <c r="H62" s="596">
        <v>0</v>
      </c>
      <c r="I62" s="594" t="s">
        <v>649</v>
      </c>
    </row>
    <row r="63" spans="1:9" ht="17.100000000000001" customHeight="1">
      <c r="A63" s="594">
        <v>110101</v>
      </c>
      <c r="B63" s="594" t="s">
        <v>650</v>
      </c>
      <c r="C63" s="595">
        <v>3732233286</v>
      </c>
      <c r="D63" s="596">
        <v>0</v>
      </c>
      <c r="E63" s="595">
        <v>1664109043.1600001</v>
      </c>
      <c r="F63" s="595">
        <v>2631224933.1599998</v>
      </c>
      <c r="G63" s="595">
        <v>2765117396</v>
      </c>
      <c r="H63" s="596">
        <v>0</v>
      </c>
      <c r="I63" s="594" t="s">
        <v>651</v>
      </c>
    </row>
    <row r="64" spans="1:9" ht="17.100000000000001" customHeight="1">
      <c r="A64" s="594">
        <v>11010101</v>
      </c>
      <c r="B64" s="594" t="s">
        <v>652</v>
      </c>
      <c r="C64" s="595">
        <v>3979534459.96</v>
      </c>
      <c r="D64" s="596">
        <v>0</v>
      </c>
      <c r="E64" s="595">
        <v>1625349122.5999999</v>
      </c>
      <c r="F64" s="595">
        <v>2608505222.0500002</v>
      </c>
      <c r="G64" s="595">
        <v>2996378360.5100002</v>
      </c>
      <c r="H64" s="596">
        <v>0</v>
      </c>
      <c r="I64" s="594" t="s">
        <v>653</v>
      </c>
    </row>
    <row r="65" spans="1:9" ht="17.100000000000001" customHeight="1">
      <c r="A65" s="594">
        <v>11010102</v>
      </c>
      <c r="B65" s="594" t="s">
        <v>654</v>
      </c>
      <c r="C65" s="596">
        <v>0</v>
      </c>
      <c r="D65" s="595">
        <v>247301173.96000001</v>
      </c>
      <c r="E65" s="595">
        <v>38759920.560000002</v>
      </c>
      <c r="F65" s="595">
        <v>22719711.109999999</v>
      </c>
      <c r="G65" s="596">
        <v>0</v>
      </c>
      <c r="H65" s="595">
        <v>231260964.50999999</v>
      </c>
      <c r="I65" s="594" t="s">
        <v>655</v>
      </c>
    </row>
    <row r="66" spans="1:9" ht="17.100000000000001" customHeight="1">
      <c r="A66" s="594">
        <v>110199</v>
      </c>
      <c r="B66" s="594" t="s">
        <v>656</v>
      </c>
      <c r="C66" s="595">
        <v>19352035300</v>
      </c>
      <c r="D66" s="596">
        <v>0</v>
      </c>
      <c r="E66" s="595">
        <v>209516070</v>
      </c>
      <c r="F66" s="595">
        <v>19231730</v>
      </c>
      <c r="G66" s="595">
        <v>19542319640</v>
      </c>
      <c r="H66" s="596">
        <v>0</v>
      </c>
      <c r="I66" s="594" t="s">
        <v>657</v>
      </c>
    </row>
    <row r="67" spans="1:9" ht="17.100000000000001" customHeight="1">
      <c r="A67" s="594">
        <v>11019901</v>
      </c>
      <c r="B67" s="594" t="s">
        <v>658</v>
      </c>
      <c r="C67" s="595">
        <v>19395641880</v>
      </c>
      <c r="D67" s="596">
        <v>0</v>
      </c>
      <c r="E67" s="595">
        <v>148220100</v>
      </c>
      <c r="F67" s="596">
        <v>0</v>
      </c>
      <c r="G67" s="595">
        <v>19543861980</v>
      </c>
      <c r="H67" s="596">
        <v>0</v>
      </c>
      <c r="I67" s="594" t="s">
        <v>659</v>
      </c>
    </row>
    <row r="68" spans="1:9" ht="17.100000000000001" customHeight="1">
      <c r="A68" s="594">
        <v>11019902</v>
      </c>
      <c r="B68" s="594" t="s">
        <v>2766</v>
      </c>
      <c r="C68" s="596">
        <v>0</v>
      </c>
      <c r="D68" s="595">
        <v>43606580</v>
      </c>
      <c r="E68" s="595">
        <v>61295970</v>
      </c>
      <c r="F68" s="595">
        <v>19231730</v>
      </c>
      <c r="G68" s="596">
        <v>0</v>
      </c>
      <c r="H68" s="595">
        <v>1542340</v>
      </c>
      <c r="I68" s="594" t="s">
        <v>2767</v>
      </c>
    </row>
    <row r="69" spans="1:9" ht="17.100000000000001" customHeight="1">
      <c r="A69" s="594">
        <v>1111</v>
      </c>
      <c r="B69" s="594" t="s">
        <v>660</v>
      </c>
      <c r="C69" s="595">
        <v>43535279467.389999</v>
      </c>
      <c r="D69" s="596">
        <v>0</v>
      </c>
      <c r="E69" s="595">
        <v>630146227668.18994</v>
      </c>
      <c r="F69" s="595">
        <v>633679727986.08997</v>
      </c>
      <c r="G69" s="595">
        <v>40001779149.489998</v>
      </c>
      <c r="H69" s="596">
        <v>0</v>
      </c>
      <c r="I69" s="594" t="s">
        <v>661</v>
      </c>
    </row>
    <row r="70" spans="1:9" ht="17.100000000000001" customHeight="1">
      <c r="A70" s="594">
        <v>111102</v>
      </c>
      <c r="B70" s="594" t="s">
        <v>662</v>
      </c>
      <c r="C70" s="595">
        <v>30965837500</v>
      </c>
      <c r="D70" s="596">
        <v>0</v>
      </c>
      <c r="E70" s="595">
        <v>575231388933.82996</v>
      </c>
      <c r="F70" s="595">
        <v>587509987433.82996</v>
      </c>
      <c r="G70" s="595">
        <v>18687239000</v>
      </c>
      <c r="H70" s="596">
        <v>0</v>
      </c>
      <c r="I70" s="594" t="s">
        <v>663</v>
      </c>
    </row>
    <row r="71" spans="1:9" ht="17.100000000000001" customHeight="1">
      <c r="A71" s="594">
        <v>11110201</v>
      </c>
      <c r="B71" s="594" t="s">
        <v>664</v>
      </c>
      <c r="C71" s="595">
        <v>30965837500</v>
      </c>
      <c r="D71" s="596">
        <v>0</v>
      </c>
      <c r="E71" s="595">
        <v>575231388933.82996</v>
      </c>
      <c r="F71" s="595">
        <v>587509987433.82996</v>
      </c>
      <c r="G71" s="595">
        <v>18687239000</v>
      </c>
      <c r="H71" s="596">
        <v>0</v>
      </c>
      <c r="I71" s="594" t="s">
        <v>665</v>
      </c>
    </row>
    <row r="72" spans="1:9" ht="17.100000000000001" customHeight="1">
      <c r="A72" s="594">
        <v>111103</v>
      </c>
      <c r="B72" s="594" t="s">
        <v>666</v>
      </c>
      <c r="C72" s="595">
        <v>11484587262.459999</v>
      </c>
      <c r="D72" s="596">
        <v>0</v>
      </c>
      <c r="E72" s="595">
        <v>8273443985.9899998</v>
      </c>
      <c r="F72" s="595">
        <v>692074017.65999997</v>
      </c>
      <c r="G72" s="595">
        <v>19065957230.790001</v>
      </c>
      <c r="H72" s="596">
        <v>0</v>
      </c>
      <c r="I72" s="594" t="s">
        <v>667</v>
      </c>
    </row>
    <row r="73" spans="1:9" ht="17.100000000000001" customHeight="1">
      <c r="A73" s="594">
        <v>11110301</v>
      </c>
      <c r="B73" s="594" t="s">
        <v>668</v>
      </c>
      <c r="C73" s="595">
        <v>11655624530.780001</v>
      </c>
      <c r="D73" s="596">
        <v>0</v>
      </c>
      <c r="E73" s="595">
        <v>8222432995.3500004</v>
      </c>
      <c r="F73" s="595">
        <v>574710000</v>
      </c>
      <c r="G73" s="595">
        <v>19303347526.130001</v>
      </c>
      <c r="H73" s="596">
        <v>0</v>
      </c>
      <c r="I73" s="594" t="s">
        <v>669</v>
      </c>
    </row>
    <row r="74" spans="1:9" ht="17.100000000000001" customHeight="1">
      <c r="A74" s="594">
        <v>11110302</v>
      </c>
      <c r="B74" s="594" t="s">
        <v>670</v>
      </c>
      <c r="C74" s="596">
        <v>0</v>
      </c>
      <c r="D74" s="595">
        <v>171037268.31999999</v>
      </c>
      <c r="E74" s="595">
        <v>51010990.640000001</v>
      </c>
      <c r="F74" s="595">
        <v>117364017.66</v>
      </c>
      <c r="G74" s="596">
        <v>0</v>
      </c>
      <c r="H74" s="595">
        <v>237390295.34</v>
      </c>
      <c r="I74" s="594" t="s">
        <v>671</v>
      </c>
    </row>
    <row r="75" spans="1:9" ht="17.100000000000001" customHeight="1">
      <c r="A75" s="594">
        <v>111104</v>
      </c>
      <c r="B75" s="594" t="s">
        <v>672</v>
      </c>
      <c r="C75" s="595">
        <v>1084854704.9300001</v>
      </c>
      <c r="D75" s="596">
        <v>0</v>
      </c>
      <c r="E75" s="595">
        <v>46641394748.370003</v>
      </c>
      <c r="F75" s="595">
        <v>45477666534.599998</v>
      </c>
      <c r="G75" s="595">
        <v>2248582918.6999998</v>
      </c>
      <c r="H75" s="596">
        <v>0</v>
      </c>
      <c r="I75" s="594" t="s">
        <v>673</v>
      </c>
    </row>
    <row r="76" spans="1:9" ht="28.5" customHeight="1">
      <c r="A76" s="320"/>
      <c r="B76" s="320"/>
      <c r="C76" s="320"/>
      <c r="D76" s="557" t="s">
        <v>4198</v>
      </c>
      <c r="E76" s="320" t="s">
        <v>3717</v>
      </c>
      <c r="F76" s="320"/>
      <c r="G76" s="320"/>
      <c r="H76" s="320"/>
      <c r="I76" s="320"/>
    </row>
    <row r="77" spans="1:9">
      <c r="A77" s="671"/>
      <c r="B77" s="671"/>
      <c r="C77" s="671"/>
      <c r="D77" s="671"/>
      <c r="E77" s="671"/>
      <c r="F77" s="671"/>
      <c r="G77" s="671"/>
      <c r="H77" s="671"/>
      <c r="I77" s="671"/>
    </row>
    <row r="78" spans="1:9" ht="24.75">
      <c r="A78" s="320"/>
      <c r="B78" s="320"/>
      <c r="C78" s="589" t="s">
        <v>3707</v>
      </c>
      <c r="D78" s="320"/>
      <c r="E78" s="320"/>
      <c r="F78" s="671"/>
      <c r="G78" s="671"/>
      <c r="H78" s="671"/>
      <c r="I78" s="671"/>
    </row>
    <row r="79" spans="1:9" ht="17.25">
      <c r="A79" s="590" t="s">
        <v>3708</v>
      </c>
      <c r="B79" s="590"/>
      <c r="C79" s="597">
        <v>42887</v>
      </c>
      <c r="D79" s="590"/>
      <c r="E79" s="557" t="s">
        <v>3709</v>
      </c>
      <c r="F79" s="671"/>
      <c r="G79" s="671"/>
      <c r="H79" s="671"/>
      <c r="I79" s="671"/>
    </row>
    <row r="80" spans="1:9" ht="28.5" customHeight="1">
      <c r="A80" s="593" t="s">
        <v>596</v>
      </c>
      <c r="B80" s="593" t="s">
        <v>597</v>
      </c>
      <c r="C80" s="593" t="s">
        <v>3710</v>
      </c>
      <c r="D80" s="593" t="s">
        <v>3711</v>
      </c>
      <c r="E80" s="593" t="s">
        <v>3712</v>
      </c>
      <c r="F80" s="593" t="s">
        <v>3713</v>
      </c>
      <c r="G80" s="593" t="s">
        <v>3714</v>
      </c>
      <c r="H80" s="593" t="s">
        <v>3715</v>
      </c>
      <c r="I80" s="593" t="s">
        <v>596</v>
      </c>
    </row>
    <row r="81" spans="1:9" ht="17.100000000000001" customHeight="1">
      <c r="A81" s="594">
        <v>11110401</v>
      </c>
      <c r="B81" s="594" t="s">
        <v>2768</v>
      </c>
      <c r="C81" s="595">
        <v>206703000</v>
      </c>
      <c r="D81" s="596">
        <v>0</v>
      </c>
      <c r="E81" s="595">
        <v>6577492999.5699997</v>
      </c>
      <c r="F81" s="595">
        <v>5789263865.0200005</v>
      </c>
      <c r="G81" s="595">
        <v>994932134.54999995</v>
      </c>
      <c r="H81" s="596">
        <v>0</v>
      </c>
      <c r="I81" s="594" t="s">
        <v>2769</v>
      </c>
    </row>
    <row r="82" spans="1:9" ht="17.100000000000001" customHeight="1">
      <c r="A82" s="594">
        <v>11110402</v>
      </c>
      <c r="B82" s="594" t="s">
        <v>2770</v>
      </c>
      <c r="C82" s="595">
        <v>878151704.92999995</v>
      </c>
      <c r="D82" s="596">
        <v>0</v>
      </c>
      <c r="E82" s="595">
        <v>9438692814.3299999</v>
      </c>
      <c r="F82" s="595">
        <v>9063193735.1100006</v>
      </c>
      <c r="G82" s="595">
        <v>1253650784.1500001</v>
      </c>
      <c r="H82" s="596">
        <v>0</v>
      </c>
      <c r="I82" s="594" t="s">
        <v>2771</v>
      </c>
    </row>
    <row r="83" spans="1:9" ht="17.100000000000001" customHeight="1">
      <c r="A83" s="594">
        <v>11110403</v>
      </c>
      <c r="B83" s="594" t="s">
        <v>3829</v>
      </c>
      <c r="C83" s="596">
        <v>0</v>
      </c>
      <c r="D83" s="596">
        <v>0</v>
      </c>
      <c r="E83" s="595">
        <v>12338000090.280001</v>
      </c>
      <c r="F83" s="595">
        <v>12338000090.280001</v>
      </c>
      <c r="G83" s="596">
        <v>0</v>
      </c>
      <c r="H83" s="596">
        <v>0</v>
      </c>
      <c r="I83" s="594" t="s">
        <v>3830</v>
      </c>
    </row>
    <row r="84" spans="1:9" ht="17.100000000000001" customHeight="1">
      <c r="A84" s="594">
        <v>11110406</v>
      </c>
      <c r="B84" s="594" t="s">
        <v>3831</v>
      </c>
      <c r="C84" s="596">
        <v>0</v>
      </c>
      <c r="D84" s="596">
        <v>0</v>
      </c>
      <c r="E84" s="595">
        <v>18287208844.189999</v>
      </c>
      <c r="F84" s="595">
        <v>18287208844.189999</v>
      </c>
      <c r="G84" s="596">
        <v>0</v>
      </c>
      <c r="H84" s="596">
        <v>0</v>
      </c>
      <c r="I84" s="594" t="s">
        <v>3832</v>
      </c>
    </row>
    <row r="85" spans="1:9" ht="17.100000000000001" customHeight="1">
      <c r="A85" s="594">
        <v>1132</v>
      </c>
      <c r="B85" s="594" t="s">
        <v>674</v>
      </c>
      <c r="C85" s="595">
        <v>5193326559.3199997</v>
      </c>
      <c r="D85" s="596">
        <v>0</v>
      </c>
      <c r="E85" s="595">
        <v>3039460454.2600002</v>
      </c>
      <c r="F85" s="595">
        <v>3511302022.3800001</v>
      </c>
      <c r="G85" s="595">
        <v>4721484991.1999998</v>
      </c>
      <c r="H85" s="596">
        <v>0</v>
      </c>
      <c r="I85" s="594" t="s">
        <v>675</v>
      </c>
    </row>
    <row r="86" spans="1:9" ht="17.100000000000001" customHeight="1">
      <c r="A86" s="594">
        <v>113201</v>
      </c>
      <c r="B86" s="594" t="s">
        <v>676</v>
      </c>
      <c r="C86" s="595">
        <v>201579235.71000001</v>
      </c>
      <c r="D86" s="596">
        <v>0</v>
      </c>
      <c r="E86" s="595">
        <v>28381228.050000001</v>
      </c>
      <c r="F86" s="595">
        <v>201676362.78</v>
      </c>
      <c r="G86" s="595">
        <v>28284100.98</v>
      </c>
      <c r="H86" s="596">
        <v>0</v>
      </c>
      <c r="I86" s="594" t="s">
        <v>677</v>
      </c>
    </row>
    <row r="87" spans="1:9" ht="17.100000000000001" customHeight="1">
      <c r="A87" s="594">
        <v>11320101</v>
      </c>
      <c r="B87" s="594" t="s">
        <v>678</v>
      </c>
      <c r="C87" s="595">
        <v>201028816.62</v>
      </c>
      <c r="D87" s="596">
        <v>0</v>
      </c>
      <c r="E87" s="595">
        <v>28321270.43</v>
      </c>
      <c r="F87" s="595">
        <v>201085888.53999999</v>
      </c>
      <c r="G87" s="595">
        <v>28264198.510000002</v>
      </c>
      <c r="H87" s="596">
        <v>0</v>
      </c>
      <c r="I87" s="594" t="s">
        <v>679</v>
      </c>
    </row>
    <row r="88" spans="1:9" ht="17.100000000000001" customHeight="1">
      <c r="A88" s="594">
        <v>11320199</v>
      </c>
      <c r="B88" s="594" t="s">
        <v>680</v>
      </c>
      <c r="C88" s="595">
        <v>550419.09</v>
      </c>
      <c r="D88" s="596">
        <v>0</v>
      </c>
      <c r="E88" s="595">
        <v>59957.62</v>
      </c>
      <c r="F88" s="595">
        <v>590474.23999999999</v>
      </c>
      <c r="G88" s="595">
        <v>19902.47</v>
      </c>
      <c r="H88" s="596">
        <v>0</v>
      </c>
      <c r="I88" s="594" t="s">
        <v>681</v>
      </c>
    </row>
    <row r="89" spans="1:9" ht="17.100000000000001" customHeight="1">
      <c r="A89" s="594">
        <v>113202</v>
      </c>
      <c r="B89" s="594" t="s">
        <v>682</v>
      </c>
      <c r="C89" s="595">
        <v>882137.88</v>
      </c>
      <c r="D89" s="596">
        <v>0</v>
      </c>
      <c r="E89" s="595">
        <v>294258.15000000002</v>
      </c>
      <c r="F89" s="595">
        <v>1070192.02</v>
      </c>
      <c r="G89" s="595">
        <v>106204.01</v>
      </c>
      <c r="H89" s="596">
        <v>0</v>
      </c>
      <c r="I89" s="594" t="s">
        <v>683</v>
      </c>
    </row>
    <row r="90" spans="1:9" ht="17.100000000000001" customHeight="1">
      <c r="A90" s="594">
        <v>11320201</v>
      </c>
      <c r="B90" s="594" t="s">
        <v>684</v>
      </c>
      <c r="C90" s="595">
        <v>882137.88</v>
      </c>
      <c r="D90" s="596">
        <v>0</v>
      </c>
      <c r="E90" s="595">
        <v>294258.15000000002</v>
      </c>
      <c r="F90" s="595">
        <v>1070192.02</v>
      </c>
      <c r="G90" s="595">
        <v>106204.01</v>
      </c>
      <c r="H90" s="596">
        <v>0</v>
      </c>
      <c r="I90" s="594" t="s">
        <v>685</v>
      </c>
    </row>
    <row r="91" spans="1:9" ht="17.100000000000001" customHeight="1">
      <c r="A91" s="594">
        <v>113203</v>
      </c>
      <c r="B91" s="594" t="s">
        <v>686</v>
      </c>
      <c r="C91" s="595">
        <v>57648770.75</v>
      </c>
      <c r="D91" s="596">
        <v>0</v>
      </c>
      <c r="E91" s="595">
        <v>4807392.79</v>
      </c>
      <c r="F91" s="595">
        <v>43446891.119999997</v>
      </c>
      <c r="G91" s="595">
        <v>19009272.420000002</v>
      </c>
      <c r="H91" s="596">
        <v>0</v>
      </c>
      <c r="I91" s="594" t="s">
        <v>687</v>
      </c>
    </row>
    <row r="92" spans="1:9" ht="17.100000000000001" customHeight="1">
      <c r="A92" s="594">
        <v>11320302</v>
      </c>
      <c r="B92" s="594" t="s">
        <v>2586</v>
      </c>
      <c r="C92" s="595">
        <v>624265.19999999995</v>
      </c>
      <c r="D92" s="596">
        <v>0</v>
      </c>
      <c r="E92" s="595">
        <v>254142.79</v>
      </c>
      <c r="F92" s="595">
        <v>870224.46</v>
      </c>
      <c r="G92" s="595">
        <v>8183.53</v>
      </c>
      <c r="H92" s="596">
        <v>0</v>
      </c>
      <c r="I92" s="594" t="s">
        <v>688</v>
      </c>
    </row>
    <row r="93" spans="1:9" ht="17.100000000000001" customHeight="1">
      <c r="A93" s="594">
        <v>11320304</v>
      </c>
      <c r="B93" s="594" t="s">
        <v>2587</v>
      </c>
      <c r="C93" s="595">
        <v>57024505.549999997</v>
      </c>
      <c r="D93" s="596">
        <v>0</v>
      </c>
      <c r="E93" s="595">
        <v>4553250</v>
      </c>
      <c r="F93" s="595">
        <v>42576666.659999996</v>
      </c>
      <c r="G93" s="595">
        <v>19001088.890000001</v>
      </c>
      <c r="H93" s="596">
        <v>0</v>
      </c>
      <c r="I93" s="594" t="s">
        <v>2588</v>
      </c>
    </row>
    <row r="94" spans="1:9" ht="17.100000000000001" customHeight="1">
      <c r="A94" s="594">
        <v>113205</v>
      </c>
      <c r="B94" s="594" t="s">
        <v>2589</v>
      </c>
      <c r="C94" s="595">
        <v>71516673.670000002</v>
      </c>
      <c r="D94" s="596">
        <v>0</v>
      </c>
      <c r="E94" s="595">
        <v>23860748.600000001</v>
      </c>
      <c r="F94" s="595">
        <v>29162445</v>
      </c>
      <c r="G94" s="595">
        <v>66214977.270000003</v>
      </c>
      <c r="H94" s="596">
        <v>0</v>
      </c>
      <c r="I94" s="594" t="s">
        <v>689</v>
      </c>
    </row>
    <row r="95" spans="1:9" ht="17.100000000000001" customHeight="1">
      <c r="A95" s="594">
        <v>11320502</v>
      </c>
      <c r="B95" s="594" t="s">
        <v>3833</v>
      </c>
      <c r="C95" s="595">
        <v>219625.60000000001</v>
      </c>
      <c r="D95" s="596">
        <v>0</v>
      </c>
      <c r="E95" s="595">
        <v>564990.93000000005</v>
      </c>
      <c r="F95" s="595">
        <v>155427.07</v>
      </c>
      <c r="G95" s="595">
        <v>629189.46</v>
      </c>
      <c r="H95" s="596">
        <v>0</v>
      </c>
      <c r="I95" s="594" t="s">
        <v>3834</v>
      </c>
    </row>
    <row r="96" spans="1:9" ht="17.100000000000001" customHeight="1">
      <c r="A96" s="594">
        <v>11320514</v>
      </c>
      <c r="B96" s="594" t="s">
        <v>4127</v>
      </c>
      <c r="C96" s="596">
        <v>0</v>
      </c>
      <c r="D96" s="596">
        <v>0</v>
      </c>
      <c r="E96" s="595">
        <v>96000</v>
      </c>
      <c r="F96" s="595">
        <v>96000</v>
      </c>
      <c r="G96" s="596">
        <v>0</v>
      </c>
      <c r="H96" s="596">
        <v>0</v>
      </c>
      <c r="I96" s="594" t="s">
        <v>4128</v>
      </c>
    </row>
    <row r="97" spans="1:9" ht="17.100000000000001" customHeight="1">
      <c r="A97" s="594">
        <v>11320531</v>
      </c>
      <c r="B97" s="594" t="s">
        <v>3424</v>
      </c>
      <c r="C97" s="595">
        <v>71297048.069999993</v>
      </c>
      <c r="D97" s="596">
        <v>0</v>
      </c>
      <c r="E97" s="595">
        <v>22241146.559999999</v>
      </c>
      <c r="F97" s="595">
        <v>28911017.93</v>
      </c>
      <c r="G97" s="595">
        <v>64627176.700000003</v>
      </c>
      <c r="H97" s="596">
        <v>0</v>
      </c>
      <c r="I97" s="594" t="s">
        <v>3425</v>
      </c>
    </row>
    <row r="98" spans="1:9" ht="17.100000000000001" customHeight="1">
      <c r="A98" s="594">
        <v>11320532</v>
      </c>
      <c r="B98" s="594" t="s">
        <v>4202</v>
      </c>
      <c r="C98" s="596">
        <v>0</v>
      </c>
      <c r="D98" s="596">
        <v>0</v>
      </c>
      <c r="E98" s="595">
        <v>958611.11</v>
      </c>
      <c r="F98" s="596">
        <v>0</v>
      </c>
      <c r="G98" s="595">
        <v>958611.11</v>
      </c>
      <c r="H98" s="596">
        <v>0</v>
      </c>
      <c r="I98" s="594" t="s">
        <v>4203</v>
      </c>
    </row>
    <row r="99" spans="1:9" ht="17.100000000000001" customHeight="1">
      <c r="A99" s="594">
        <v>113207</v>
      </c>
      <c r="B99" s="594" t="s">
        <v>690</v>
      </c>
      <c r="C99" s="595">
        <v>254370397.66</v>
      </c>
      <c r="D99" s="596">
        <v>0</v>
      </c>
      <c r="E99" s="595">
        <v>97052040.530000001</v>
      </c>
      <c r="F99" s="595">
        <v>28328838.780000001</v>
      </c>
      <c r="G99" s="595">
        <v>323093599.41000003</v>
      </c>
      <c r="H99" s="596">
        <v>0</v>
      </c>
      <c r="I99" s="594" t="s">
        <v>691</v>
      </c>
    </row>
    <row r="100" spans="1:9" ht="17.100000000000001" customHeight="1">
      <c r="A100" s="594">
        <v>11320701</v>
      </c>
      <c r="B100" s="594" t="s">
        <v>692</v>
      </c>
      <c r="C100" s="595">
        <v>62632097.450000003</v>
      </c>
      <c r="D100" s="596">
        <v>0</v>
      </c>
      <c r="E100" s="595">
        <v>23228152.260000002</v>
      </c>
      <c r="F100" s="595">
        <v>28328838.780000001</v>
      </c>
      <c r="G100" s="595">
        <v>57531410.93</v>
      </c>
      <c r="H100" s="596">
        <v>0</v>
      </c>
      <c r="I100" s="594" t="s">
        <v>693</v>
      </c>
    </row>
    <row r="101" spans="1:9" ht="17.100000000000001" customHeight="1">
      <c r="A101" s="594">
        <v>11320799</v>
      </c>
      <c r="B101" s="594" t="s">
        <v>694</v>
      </c>
      <c r="C101" s="595">
        <v>191738300.21000001</v>
      </c>
      <c r="D101" s="596">
        <v>0</v>
      </c>
      <c r="E101" s="595">
        <v>73823888.269999996</v>
      </c>
      <c r="F101" s="596">
        <v>0</v>
      </c>
      <c r="G101" s="595">
        <v>265562188.47999999</v>
      </c>
      <c r="H101" s="596">
        <v>0</v>
      </c>
      <c r="I101" s="594" t="s">
        <v>695</v>
      </c>
    </row>
    <row r="102" spans="1:9" ht="17.100000000000001" customHeight="1">
      <c r="A102" s="594">
        <v>113208</v>
      </c>
      <c r="B102" s="594" t="s">
        <v>696</v>
      </c>
      <c r="C102" s="595">
        <v>25903046.02</v>
      </c>
      <c r="D102" s="596">
        <v>0</v>
      </c>
      <c r="E102" s="595">
        <v>129976337.06999999</v>
      </c>
      <c r="F102" s="595">
        <v>124810038.63</v>
      </c>
      <c r="G102" s="595">
        <v>31069344.460000001</v>
      </c>
      <c r="H102" s="596">
        <v>0</v>
      </c>
      <c r="I102" s="594" t="s">
        <v>697</v>
      </c>
    </row>
    <row r="103" spans="1:9" ht="17.100000000000001" customHeight="1">
      <c r="A103" s="594">
        <v>11320801</v>
      </c>
      <c r="B103" s="594" t="s">
        <v>698</v>
      </c>
      <c r="C103" s="595">
        <v>25000132.260000002</v>
      </c>
      <c r="D103" s="596">
        <v>0</v>
      </c>
      <c r="E103" s="595">
        <v>121032103.15000001</v>
      </c>
      <c r="F103" s="595">
        <v>115366864.34</v>
      </c>
      <c r="G103" s="595">
        <v>30665371.07</v>
      </c>
      <c r="H103" s="596">
        <v>0</v>
      </c>
      <c r="I103" s="594" t="s">
        <v>699</v>
      </c>
    </row>
    <row r="104" spans="1:9" ht="17.100000000000001" customHeight="1">
      <c r="A104" s="594">
        <v>11320802</v>
      </c>
      <c r="B104" s="594" t="s">
        <v>700</v>
      </c>
      <c r="C104" s="595">
        <v>902913.76</v>
      </c>
      <c r="D104" s="596">
        <v>0</v>
      </c>
      <c r="E104" s="595">
        <v>8944233.9199999999</v>
      </c>
      <c r="F104" s="595">
        <v>9443174.2899999991</v>
      </c>
      <c r="G104" s="595">
        <v>403973.39</v>
      </c>
      <c r="H104" s="596">
        <v>0</v>
      </c>
      <c r="I104" s="594" t="s">
        <v>701</v>
      </c>
    </row>
    <row r="105" spans="1:9" ht="17.100000000000001" customHeight="1">
      <c r="A105" s="594">
        <v>113209</v>
      </c>
      <c r="B105" s="594" t="s">
        <v>3426</v>
      </c>
      <c r="C105" s="595">
        <v>653104.78</v>
      </c>
      <c r="D105" s="596">
        <v>0</v>
      </c>
      <c r="E105" s="595">
        <v>122562.05</v>
      </c>
      <c r="F105" s="595">
        <v>8652.8799999999992</v>
      </c>
      <c r="G105" s="595">
        <v>767013.95</v>
      </c>
      <c r="H105" s="596">
        <v>0</v>
      </c>
      <c r="I105" s="594" t="s">
        <v>3427</v>
      </c>
    </row>
    <row r="106" spans="1:9" ht="17.100000000000001" customHeight="1">
      <c r="A106" s="594">
        <v>11320901</v>
      </c>
      <c r="B106" s="594" t="s">
        <v>3426</v>
      </c>
      <c r="C106" s="595">
        <v>653104.78</v>
      </c>
      <c r="D106" s="596">
        <v>0</v>
      </c>
      <c r="E106" s="595">
        <v>122562.05</v>
      </c>
      <c r="F106" s="595">
        <v>8652.8799999999992</v>
      </c>
      <c r="G106" s="595">
        <v>767013.95</v>
      </c>
      <c r="H106" s="596">
        <v>0</v>
      </c>
      <c r="I106" s="594" t="s">
        <v>3428</v>
      </c>
    </row>
    <row r="107" spans="1:9" ht="17.100000000000001" customHeight="1">
      <c r="A107" s="594">
        <v>113210</v>
      </c>
      <c r="B107" s="594" t="s">
        <v>702</v>
      </c>
      <c r="C107" s="595">
        <v>845828700.65999997</v>
      </c>
      <c r="D107" s="596">
        <v>0</v>
      </c>
      <c r="E107" s="595">
        <v>1063617643.55</v>
      </c>
      <c r="F107" s="595">
        <v>1185540807.46</v>
      </c>
      <c r="G107" s="595">
        <v>723905536.75</v>
      </c>
      <c r="H107" s="596">
        <v>0</v>
      </c>
      <c r="I107" s="594" t="s">
        <v>703</v>
      </c>
    </row>
    <row r="108" spans="1:9" ht="17.100000000000001" customHeight="1">
      <c r="A108" s="594">
        <v>11321001</v>
      </c>
      <c r="B108" s="594" t="s">
        <v>2656</v>
      </c>
      <c r="C108" s="595">
        <v>3009.59</v>
      </c>
      <c r="D108" s="596">
        <v>0</v>
      </c>
      <c r="E108" s="595">
        <v>6059.72</v>
      </c>
      <c r="F108" s="595">
        <v>5117.1899999999996</v>
      </c>
      <c r="G108" s="595">
        <v>3952.12</v>
      </c>
      <c r="H108" s="596">
        <v>0</v>
      </c>
      <c r="I108" s="594" t="s">
        <v>2657</v>
      </c>
    </row>
    <row r="109" spans="1:9" ht="17.100000000000001" customHeight="1">
      <c r="A109" s="594">
        <v>11321002</v>
      </c>
      <c r="B109" s="594" t="s">
        <v>704</v>
      </c>
      <c r="C109" s="595">
        <v>129414.49</v>
      </c>
      <c r="D109" s="596">
        <v>0</v>
      </c>
      <c r="E109" s="595">
        <v>232544.16</v>
      </c>
      <c r="F109" s="595">
        <v>238769.79</v>
      </c>
      <c r="G109" s="595">
        <v>123188.86</v>
      </c>
      <c r="H109" s="596">
        <v>0</v>
      </c>
      <c r="I109" s="594" t="s">
        <v>705</v>
      </c>
    </row>
    <row r="110" spans="1:9" ht="17.100000000000001" customHeight="1">
      <c r="A110" s="594">
        <v>11321003</v>
      </c>
      <c r="B110" s="594" t="s">
        <v>706</v>
      </c>
      <c r="C110" s="595">
        <v>3161.68</v>
      </c>
      <c r="D110" s="596">
        <v>0</v>
      </c>
      <c r="E110" s="595">
        <v>5749.7</v>
      </c>
      <c r="F110" s="595">
        <v>5931.63</v>
      </c>
      <c r="G110" s="595">
        <v>2979.75</v>
      </c>
      <c r="H110" s="596">
        <v>0</v>
      </c>
      <c r="I110" s="594" t="s">
        <v>707</v>
      </c>
    </row>
    <row r="111" spans="1:9" ht="17.100000000000001" customHeight="1">
      <c r="A111" s="594">
        <v>11321004</v>
      </c>
      <c r="B111" s="594" t="s">
        <v>708</v>
      </c>
      <c r="C111" s="595">
        <v>178121.93</v>
      </c>
      <c r="D111" s="596">
        <v>0</v>
      </c>
      <c r="E111" s="595">
        <v>359083.08</v>
      </c>
      <c r="F111" s="595">
        <v>392216.01</v>
      </c>
      <c r="G111" s="595">
        <v>144989</v>
      </c>
      <c r="H111" s="596">
        <v>0</v>
      </c>
      <c r="I111" s="594" t="s">
        <v>709</v>
      </c>
    </row>
    <row r="112" spans="1:9" ht="17.100000000000001" customHeight="1">
      <c r="A112" s="594">
        <v>11321005</v>
      </c>
      <c r="B112" s="594" t="s">
        <v>710</v>
      </c>
      <c r="C112" s="595">
        <v>6078015.3799999999</v>
      </c>
      <c r="D112" s="596">
        <v>0</v>
      </c>
      <c r="E112" s="595">
        <v>10617322.640000001</v>
      </c>
      <c r="F112" s="595">
        <v>10827617.5</v>
      </c>
      <c r="G112" s="595">
        <v>5867720.5199999996</v>
      </c>
      <c r="H112" s="596">
        <v>0</v>
      </c>
      <c r="I112" s="594" t="s">
        <v>711</v>
      </c>
    </row>
    <row r="113" spans="1:9" ht="17.100000000000001" customHeight="1">
      <c r="A113" s="594">
        <v>11321006</v>
      </c>
      <c r="B113" s="594" t="s">
        <v>712</v>
      </c>
      <c r="C113" s="595">
        <v>1624057.21</v>
      </c>
      <c r="D113" s="596">
        <v>0</v>
      </c>
      <c r="E113" s="595">
        <v>3320213.26</v>
      </c>
      <c r="F113" s="595">
        <v>3227540.6</v>
      </c>
      <c r="G113" s="595">
        <v>1716729.87</v>
      </c>
      <c r="H113" s="596">
        <v>0</v>
      </c>
      <c r="I113" s="594" t="s">
        <v>713</v>
      </c>
    </row>
    <row r="114" spans="1:9" ht="17.100000000000001" customHeight="1">
      <c r="A114" s="594">
        <v>11321007</v>
      </c>
      <c r="B114" s="594" t="s">
        <v>714</v>
      </c>
      <c r="C114" s="595">
        <v>5065.51</v>
      </c>
      <c r="D114" s="596">
        <v>0</v>
      </c>
      <c r="E114" s="595">
        <v>12819.19</v>
      </c>
      <c r="F114" s="595">
        <v>12703.95</v>
      </c>
      <c r="G114" s="595">
        <v>5180.75</v>
      </c>
      <c r="H114" s="596">
        <v>0</v>
      </c>
      <c r="I114" s="594" t="s">
        <v>715</v>
      </c>
    </row>
    <row r="115" spans="1:9" ht="28.5" customHeight="1">
      <c r="A115" s="320"/>
      <c r="B115" s="320"/>
      <c r="C115" s="320"/>
      <c r="D115" s="557" t="s">
        <v>4198</v>
      </c>
      <c r="E115" s="320" t="s">
        <v>3718</v>
      </c>
      <c r="F115" s="320"/>
      <c r="G115" s="320"/>
      <c r="H115" s="320"/>
      <c r="I115" s="320"/>
    </row>
    <row r="116" spans="1:9">
      <c r="A116" s="671"/>
      <c r="B116" s="671"/>
      <c r="C116" s="671"/>
      <c r="D116" s="671"/>
      <c r="E116" s="671"/>
      <c r="F116" s="671"/>
      <c r="G116" s="671"/>
      <c r="H116" s="671"/>
      <c r="I116" s="671"/>
    </row>
    <row r="117" spans="1:9" ht="24.75">
      <c r="A117" s="320"/>
      <c r="B117" s="320"/>
      <c r="C117" s="589" t="s">
        <v>3707</v>
      </c>
      <c r="D117" s="320"/>
      <c r="E117" s="320"/>
      <c r="F117" s="671"/>
      <c r="G117" s="671"/>
      <c r="H117" s="671"/>
      <c r="I117" s="671"/>
    </row>
    <row r="118" spans="1:9" ht="17.25">
      <c r="A118" s="590" t="s">
        <v>3708</v>
      </c>
      <c r="B118" s="590"/>
      <c r="C118" s="597">
        <v>42887</v>
      </c>
      <c r="D118" s="590"/>
      <c r="E118" s="557" t="s">
        <v>3709</v>
      </c>
      <c r="F118" s="671"/>
      <c r="G118" s="671"/>
      <c r="H118" s="671"/>
      <c r="I118" s="671"/>
    </row>
    <row r="119" spans="1:9" ht="28.5" customHeight="1">
      <c r="A119" s="593" t="s">
        <v>596</v>
      </c>
      <c r="B119" s="593" t="s">
        <v>597</v>
      </c>
      <c r="C119" s="593" t="s">
        <v>3710</v>
      </c>
      <c r="D119" s="593" t="s">
        <v>3711</v>
      </c>
      <c r="E119" s="593" t="s">
        <v>3712</v>
      </c>
      <c r="F119" s="593" t="s">
        <v>3713</v>
      </c>
      <c r="G119" s="593" t="s">
        <v>3714</v>
      </c>
      <c r="H119" s="593" t="s">
        <v>3715</v>
      </c>
      <c r="I119" s="593" t="s">
        <v>596</v>
      </c>
    </row>
    <row r="120" spans="1:9" ht="17.100000000000001" customHeight="1">
      <c r="A120" s="594">
        <v>11321008</v>
      </c>
      <c r="B120" s="594" t="s">
        <v>2658</v>
      </c>
      <c r="C120" s="595">
        <v>8696.83</v>
      </c>
      <c r="D120" s="596">
        <v>0</v>
      </c>
      <c r="E120" s="595">
        <v>10897.9</v>
      </c>
      <c r="F120" s="595">
        <v>13284.23</v>
      </c>
      <c r="G120" s="595">
        <v>6310.5</v>
      </c>
      <c r="H120" s="596">
        <v>0</v>
      </c>
      <c r="I120" s="594" t="s">
        <v>2659</v>
      </c>
    </row>
    <row r="121" spans="1:9" ht="17.100000000000001" customHeight="1">
      <c r="A121" s="594">
        <v>11321010</v>
      </c>
      <c r="B121" s="594" t="s">
        <v>716</v>
      </c>
      <c r="C121" s="595">
        <v>5787467.5800000001</v>
      </c>
      <c r="D121" s="596">
        <v>0</v>
      </c>
      <c r="E121" s="595">
        <v>9754491.0500000007</v>
      </c>
      <c r="F121" s="595">
        <v>10967829.73</v>
      </c>
      <c r="G121" s="595">
        <v>4574128.9000000004</v>
      </c>
      <c r="H121" s="596">
        <v>0</v>
      </c>
      <c r="I121" s="594" t="s">
        <v>717</v>
      </c>
    </row>
    <row r="122" spans="1:9" ht="17.100000000000001" customHeight="1">
      <c r="A122" s="594">
        <v>11321011</v>
      </c>
      <c r="B122" s="594" t="s">
        <v>718</v>
      </c>
      <c r="C122" s="595">
        <v>15381902.24</v>
      </c>
      <c r="D122" s="596">
        <v>0</v>
      </c>
      <c r="E122" s="595">
        <v>18251471.109999999</v>
      </c>
      <c r="F122" s="595">
        <v>19465749.649999999</v>
      </c>
      <c r="G122" s="595">
        <v>14167623.699999999</v>
      </c>
      <c r="H122" s="596">
        <v>0</v>
      </c>
      <c r="I122" s="594" t="s">
        <v>719</v>
      </c>
    </row>
    <row r="123" spans="1:9" ht="17.100000000000001" customHeight="1">
      <c r="A123" s="594">
        <v>11321012</v>
      </c>
      <c r="B123" s="594" t="s">
        <v>720</v>
      </c>
      <c r="C123" s="595">
        <v>346375</v>
      </c>
      <c r="D123" s="596">
        <v>0</v>
      </c>
      <c r="E123" s="595">
        <v>685749.1</v>
      </c>
      <c r="F123" s="595">
        <v>249672.64</v>
      </c>
      <c r="G123" s="595">
        <v>782451.46</v>
      </c>
      <c r="H123" s="596">
        <v>0</v>
      </c>
      <c r="I123" s="594" t="s">
        <v>721</v>
      </c>
    </row>
    <row r="124" spans="1:9" ht="17.100000000000001" customHeight="1">
      <c r="A124" s="594">
        <v>11321013</v>
      </c>
      <c r="B124" s="594" t="s">
        <v>722</v>
      </c>
      <c r="C124" s="595">
        <v>7700</v>
      </c>
      <c r="D124" s="596">
        <v>0</v>
      </c>
      <c r="E124" s="596">
        <v>0</v>
      </c>
      <c r="F124" s="596">
        <v>0</v>
      </c>
      <c r="G124" s="595">
        <v>7700</v>
      </c>
      <c r="H124" s="596">
        <v>0</v>
      </c>
      <c r="I124" s="594" t="s">
        <v>723</v>
      </c>
    </row>
    <row r="125" spans="1:9" ht="17.100000000000001" customHeight="1">
      <c r="A125" s="594">
        <v>11321014</v>
      </c>
      <c r="B125" s="594" t="s">
        <v>724</v>
      </c>
      <c r="C125" s="595">
        <v>32130.86</v>
      </c>
      <c r="D125" s="596">
        <v>0</v>
      </c>
      <c r="E125" s="596">
        <v>0</v>
      </c>
      <c r="F125" s="596">
        <v>0</v>
      </c>
      <c r="G125" s="595">
        <v>32130.86</v>
      </c>
      <c r="H125" s="596">
        <v>0</v>
      </c>
      <c r="I125" s="594" t="s">
        <v>725</v>
      </c>
    </row>
    <row r="126" spans="1:9" ht="17.100000000000001" customHeight="1">
      <c r="A126" s="594">
        <v>11321016</v>
      </c>
      <c r="B126" s="594" t="s">
        <v>726</v>
      </c>
      <c r="C126" s="595">
        <v>33693.86</v>
      </c>
      <c r="D126" s="596">
        <v>0</v>
      </c>
      <c r="E126" s="596">
        <v>0</v>
      </c>
      <c r="F126" s="596">
        <v>0</v>
      </c>
      <c r="G126" s="595">
        <v>33693.86</v>
      </c>
      <c r="H126" s="596">
        <v>0</v>
      </c>
      <c r="I126" s="594" t="s">
        <v>727</v>
      </c>
    </row>
    <row r="127" spans="1:9" ht="17.100000000000001" customHeight="1">
      <c r="A127" s="594">
        <v>11321017</v>
      </c>
      <c r="B127" s="594" t="s">
        <v>728</v>
      </c>
      <c r="C127" s="595">
        <v>872129.78</v>
      </c>
      <c r="D127" s="596">
        <v>0</v>
      </c>
      <c r="E127" s="596">
        <v>0</v>
      </c>
      <c r="F127" s="596">
        <v>0</v>
      </c>
      <c r="G127" s="595">
        <v>872129.78</v>
      </c>
      <c r="H127" s="596">
        <v>0</v>
      </c>
      <c r="I127" s="594" t="s">
        <v>729</v>
      </c>
    </row>
    <row r="128" spans="1:9" ht="17.100000000000001" customHeight="1">
      <c r="A128" s="594">
        <v>11321018</v>
      </c>
      <c r="B128" s="594" t="s">
        <v>730</v>
      </c>
      <c r="C128" s="595">
        <v>4495375.01</v>
      </c>
      <c r="D128" s="596">
        <v>0</v>
      </c>
      <c r="E128" s="595">
        <v>10768616.6</v>
      </c>
      <c r="F128" s="595">
        <v>9379768.1799999997</v>
      </c>
      <c r="G128" s="595">
        <v>5884223.4299999997</v>
      </c>
      <c r="H128" s="596">
        <v>0</v>
      </c>
      <c r="I128" s="594" t="s">
        <v>731</v>
      </c>
    </row>
    <row r="129" spans="1:9" ht="17.100000000000001" customHeight="1">
      <c r="A129" s="594">
        <v>11321019</v>
      </c>
      <c r="B129" s="594" t="s">
        <v>732</v>
      </c>
      <c r="C129" s="595">
        <v>13051176.039999999</v>
      </c>
      <c r="D129" s="596">
        <v>0</v>
      </c>
      <c r="E129" s="595">
        <v>11902062</v>
      </c>
      <c r="F129" s="595">
        <v>15549135.18</v>
      </c>
      <c r="G129" s="595">
        <v>9404102.8599999994</v>
      </c>
      <c r="H129" s="596">
        <v>0</v>
      </c>
      <c r="I129" s="594" t="s">
        <v>733</v>
      </c>
    </row>
    <row r="130" spans="1:9" ht="17.100000000000001" customHeight="1">
      <c r="A130" s="594">
        <v>11321020</v>
      </c>
      <c r="B130" s="594" t="s">
        <v>734</v>
      </c>
      <c r="C130" s="595">
        <v>33096.26</v>
      </c>
      <c r="D130" s="596">
        <v>0</v>
      </c>
      <c r="E130" s="595">
        <v>81194.179999999993</v>
      </c>
      <c r="F130" s="595">
        <v>70649.490000000005</v>
      </c>
      <c r="G130" s="595">
        <v>43640.95</v>
      </c>
      <c r="H130" s="596">
        <v>0</v>
      </c>
      <c r="I130" s="594" t="s">
        <v>735</v>
      </c>
    </row>
    <row r="131" spans="1:9" ht="17.100000000000001" customHeight="1">
      <c r="A131" s="594">
        <v>11321021</v>
      </c>
      <c r="B131" s="594" t="s">
        <v>736</v>
      </c>
      <c r="C131" s="595">
        <v>5389502.0300000003</v>
      </c>
      <c r="D131" s="596">
        <v>0</v>
      </c>
      <c r="E131" s="595">
        <v>5528540.8300000001</v>
      </c>
      <c r="F131" s="595">
        <v>5320085.67</v>
      </c>
      <c r="G131" s="595">
        <v>5597957.1900000004</v>
      </c>
      <c r="H131" s="596">
        <v>0</v>
      </c>
      <c r="I131" s="594" t="s">
        <v>737</v>
      </c>
    </row>
    <row r="132" spans="1:9" ht="17.100000000000001" customHeight="1">
      <c r="A132" s="594">
        <v>11321022</v>
      </c>
      <c r="B132" s="594" t="s">
        <v>738</v>
      </c>
      <c r="C132" s="595">
        <v>7151508.4500000002</v>
      </c>
      <c r="D132" s="596">
        <v>0</v>
      </c>
      <c r="E132" s="595">
        <v>6207290.5899999999</v>
      </c>
      <c r="F132" s="595">
        <v>5751183.1200000001</v>
      </c>
      <c r="G132" s="595">
        <v>7607615.9199999999</v>
      </c>
      <c r="H132" s="596">
        <v>0</v>
      </c>
      <c r="I132" s="594" t="s">
        <v>739</v>
      </c>
    </row>
    <row r="133" spans="1:9" ht="17.100000000000001" customHeight="1">
      <c r="A133" s="594">
        <v>11321023</v>
      </c>
      <c r="B133" s="594" t="s">
        <v>740</v>
      </c>
      <c r="C133" s="595">
        <v>1070354.4099999999</v>
      </c>
      <c r="D133" s="596">
        <v>0</v>
      </c>
      <c r="E133" s="595">
        <v>1310350.2</v>
      </c>
      <c r="F133" s="595">
        <v>1574019.21</v>
      </c>
      <c r="G133" s="595">
        <v>806685.4</v>
      </c>
      <c r="H133" s="596">
        <v>0</v>
      </c>
      <c r="I133" s="594" t="s">
        <v>741</v>
      </c>
    </row>
    <row r="134" spans="1:9" ht="17.100000000000001" customHeight="1">
      <c r="A134" s="594">
        <v>11321024</v>
      </c>
      <c r="B134" s="594" t="s">
        <v>742</v>
      </c>
      <c r="C134" s="595">
        <v>18323676.300000001</v>
      </c>
      <c r="D134" s="596">
        <v>0</v>
      </c>
      <c r="E134" s="595">
        <v>35908383.799999997</v>
      </c>
      <c r="F134" s="595">
        <v>36706475.579999998</v>
      </c>
      <c r="G134" s="595">
        <v>17525584.52</v>
      </c>
      <c r="H134" s="596">
        <v>0</v>
      </c>
      <c r="I134" s="594" t="s">
        <v>743</v>
      </c>
    </row>
    <row r="135" spans="1:9" ht="17.100000000000001" customHeight="1">
      <c r="A135" s="594">
        <v>11321025</v>
      </c>
      <c r="B135" s="594" t="s">
        <v>744</v>
      </c>
      <c r="C135" s="595">
        <v>85380015.019999996</v>
      </c>
      <c r="D135" s="596">
        <v>0</v>
      </c>
      <c r="E135" s="595">
        <v>156876735.06</v>
      </c>
      <c r="F135" s="595">
        <v>156405708.65000001</v>
      </c>
      <c r="G135" s="595">
        <v>85851041.430000007</v>
      </c>
      <c r="H135" s="596">
        <v>0</v>
      </c>
      <c r="I135" s="594" t="s">
        <v>745</v>
      </c>
    </row>
    <row r="136" spans="1:9" ht="17.100000000000001" customHeight="1">
      <c r="A136" s="594">
        <v>11321026</v>
      </c>
      <c r="B136" s="594" t="s">
        <v>746</v>
      </c>
      <c r="C136" s="595">
        <v>20109845.559999999</v>
      </c>
      <c r="D136" s="596">
        <v>0</v>
      </c>
      <c r="E136" s="595">
        <v>33012178.98</v>
      </c>
      <c r="F136" s="595">
        <v>34560436.890000001</v>
      </c>
      <c r="G136" s="595">
        <v>18561587.649999999</v>
      </c>
      <c r="H136" s="596">
        <v>0</v>
      </c>
      <c r="I136" s="594" t="s">
        <v>747</v>
      </c>
    </row>
    <row r="137" spans="1:9" ht="17.100000000000001" customHeight="1">
      <c r="A137" s="594">
        <v>11321027</v>
      </c>
      <c r="B137" s="594" t="s">
        <v>748</v>
      </c>
      <c r="C137" s="595">
        <v>28577422.579999998</v>
      </c>
      <c r="D137" s="596">
        <v>0</v>
      </c>
      <c r="E137" s="595">
        <v>44487358.729999997</v>
      </c>
      <c r="F137" s="595">
        <v>46693212.200000003</v>
      </c>
      <c r="G137" s="595">
        <v>26371569.109999999</v>
      </c>
      <c r="H137" s="596">
        <v>0</v>
      </c>
      <c r="I137" s="594" t="s">
        <v>749</v>
      </c>
    </row>
    <row r="138" spans="1:9" ht="17.100000000000001" customHeight="1">
      <c r="A138" s="594">
        <v>11321028</v>
      </c>
      <c r="B138" s="594" t="s">
        <v>750</v>
      </c>
      <c r="C138" s="595">
        <v>363049.6</v>
      </c>
      <c r="D138" s="596">
        <v>0</v>
      </c>
      <c r="E138" s="595">
        <v>963455.72</v>
      </c>
      <c r="F138" s="595">
        <v>906603.49</v>
      </c>
      <c r="G138" s="595">
        <v>419901.83</v>
      </c>
      <c r="H138" s="596">
        <v>0</v>
      </c>
      <c r="I138" s="594" t="s">
        <v>751</v>
      </c>
    </row>
    <row r="139" spans="1:9" ht="17.100000000000001" customHeight="1">
      <c r="A139" s="594">
        <v>11321029</v>
      </c>
      <c r="B139" s="594" t="s">
        <v>752</v>
      </c>
      <c r="C139" s="595">
        <v>140607676.78999999</v>
      </c>
      <c r="D139" s="596">
        <v>0</v>
      </c>
      <c r="E139" s="595">
        <v>189090892.11000001</v>
      </c>
      <c r="F139" s="595">
        <v>195284387.05000001</v>
      </c>
      <c r="G139" s="595">
        <v>134414181.84999999</v>
      </c>
      <c r="H139" s="596">
        <v>0</v>
      </c>
      <c r="I139" s="594" t="s">
        <v>753</v>
      </c>
    </row>
    <row r="140" spans="1:9" ht="17.100000000000001" customHeight="1">
      <c r="A140" s="594">
        <v>11321030</v>
      </c>
      <c r="B140" s="594" t="s">
        <v>754</v>
      </c>
      <c r="C140" s="595">
        <v>215878978.61000001</v>
      </c>
      <c r="D140" s="596">
        <v>0</v>
      </c>
      <c r="E140" s="595">
        <v>152616742.58000001</v>
      </c>
      <c r="F140" s="595">
        <v>183703500.96000001</v>
      </c>
      <c r="G140" s="595">
        <v>184792220.22999999</v>
      </c>
      <c r="H140" s="596">
        <v>0</v>
      </c>
      <c r="I140" s="594" t="s">
        <v>755</v>
      </c>
    </row>
    <row r="141" spans="1:9" ht="17.100000000000001" customHeight="1">
      <c r="A141" s="594">
        <v>11321031</v>
      </c>
      <c r="B141" s="594" t="s">
        <v>756</v>
      </c>
      <c r="C141" s="595">
        <v>2797064.46</v>
      </c>
      <c r="D141" s="596">
        <v>0</v>
      </c>
      <c r="E141" s="595">
        <v>5651924.46</v>
      </c>
      <c r="F141" s="595">
        <v>5474423.0800000001</v>
      </c>
      <c r="G141" s="595">
        <v>2974565.84</v>
      </c>
      <c r="H141" s="596">
        <v>0</v>
      </c>
      <c r="I141" s="594" t="s">
        <v>757</v>
      </c>
    </row>
    <row r="142" spans="1:9" ht="17.100000000000001" customHeight="1">
      <c r="A142" s="594">
        <v>11321032</v>
      </c>
      <c r="B142" s="594" t="s">
        <v>758</v>
      </c>
      <c r="C142" s="595">
        <v>109557435.68000001</v>
      </c>
      <c r="D142" s="596">
        <v>0</v>
      </c>
      <c r="E142" s="595">
        <v>173691284.09</v>
      </c>
      <c r="F142" s="595">
        <v>214178144.30000001</v>
      </c>
      <c r="G142" s="595">
        <v>69070575.469999999</v>
      </c>
      <c r="H142" s="596">
        <v>0</v>
      </c>
      <c r="I142" s="594" t="s">
        <v>759</v>
      </c>
    </row>
    <row r="143" spans="1:9" ht="17.100000000000001" customHeight="1">
      <c r="A143" s="594">
        <v>11321033</v>
      </c>
      <c r="B143" s="594" t="s">
        <v>760</v>
      </c>
      <c r="C143" s="595">
        <v>150148490.86000001</v>
      </c>
      <c r="D143" s="596">
        <v>0</v>
      </c>
      <c r="E143" s="595">
        <v>160846398.31999999</v>
      </c>
      <c r="F143" s="595">
        <v>203887144.22999999</v>
      </c>
      <c r="G143" s="595">
        <v>107107744.95</v>
      </c>
      <c r="H143" s="596">
        <v>0</v>
      </c>
      <c r="I143" s="594" t="s">
        <v>761</v>
      </c>
    </row>
    <row r="144" spans="1:9" ht="17.100000000000001" customHeight="1">
      <c r="A144" s="594">
        <v>11321034</v>
      </c>
      <c r="B144" s="594" t="s">
        <v>762</v>
      </c>
      <c r="C144" s="595">
        <v>6496584.6100000003</v>
      </c>
      <c r="D144" s="596">
        <v>0</v>
      </c>
      <c r="E144" s="595">
        <v>17512420.09</v>
      </c>
      <c r="F144" s="595">
        <v>14782698.1</v>
      </c>
      <c r="G144" s="595">
        <v>9226306.5999999996</v>
      </c>
      <c r="H144" s="596">
        <v>0</v>
      </c>
      <c r="I144" s="594" t="s">
        <v>763</v>
      </c>
    </row>
    <row r="145" spans="1:9" ht="17.100000000000001" customHeight="1">
      <c r="A145" s="594">
        <v>11321035</v>
      </c>
      <c r="B145" s="594" t="s">
        <v>764</v>
      </c>
      <c r="C145" s="595">
        <v>4659609.8899999997</v>
      </c>
      <c r="D145" s="596">
        <v>0</v>
      </c>
      <c r="E145" s="595">
        <v>10630331.460000001</v>
      </c>
      <c r="F145" s="595">
        <v>6561287.0300000003</v>
      </c>
      <c r="G145" s="595">
        <v>8728654.3200000003</v>
      </c>
      <c r="H145" s="596">
        <v>0</v>
      </c>
      <c r="I145" s="594" t="s">
        <v>765</v>
      </c>
    </row>
    <row r="146" spans="1:9" ht="17.100000000000001" customHeight="1">
      <c r="A146" s="594">
        <v>11321036</v>
      </c>
      <c r="B146" s="594" t="s">
        <v>766</v>
      </c>
      <c r="C146" s="595">
        <v>1246896.56</v>
      </c>
      <c r="D146" s="596">
        <v>0</v>
      </c>
      <c r="E146" s="595">
        <v>3275082.84</v>
      </c>
      <c r="F146" s="595">
        <v>3345512.13</v>
      </c>
      <c r="G146" s="595">
        <v>1176467.27</v>
      </c>
      <c r="H146" s="596">
        <v>0</v>
      </c>
      <c r="I146" s="594" t="s">
        <v>767</v>
      </c>
    </row>
    <row r="147" spans="1:9" ht="17.100000000000001" customHeight="1">
      <c r="A147" s="594">
        <v>113211</v>
      </c>
      <c r="B147" s="594" t="s">
        <v>768</v>
      </c>
      <c r="C147" s="595">
        <v>2015738.08</v>
      </c>
      <c r="D147" s="596">
        <v>0</v>
      </c>
      <c r="E147" s="595">
        <v>2352459.6800000002</v>
      </c>
      <c r="F147" s="595">
        <v>2707270.64</v>
      </c>
      <c r="G147" s="595">
        <v>1660927.12</v>
      </c>
      <c r="H147" s="596">
        <v>0</v>
      </c>
      <c r="I147" s="594" t="s">
        <v>769</v>
      </c>
    </row>
    <row r="148" spans="1:9" ht="17.100000000000001" customHeight="1">
      <c r="A148" s="594">
        <v>11321101</v>
      </c>
      <c r="B148" s="594" t="s">
        <v>4204</v>
      </c>
      <c r="C148" s="595">
        <v>1402875</v>
      </c>
      <c r="D148" s="596">
        <v>0</v>
      </c>
      <c r="E148" s="595">
        <v>1957500</v>
      </c>
      <c r="F148" s="595">
        <v>2571298.23</v>
      </c>
      <c r="G148" s="595">
        <v>789076.77</v>
      </c>
      <c r="H148" s="596">
        <v>0</v>
      </c>
      <c r="I148" s="594" t="s">
        <v>4205</v>
      </c>
    </row>
    <row r="149" spans="1:9" ht="17.100000000000001" customHeight="1">
      <c r="A149" s="594">
        <v>11321102</v>
      </c>
      <c r="B149" s="594" t="s">
        <v>770</v>
      </c>
      <c r="C149" s="595">
        <v>18506.11</v>
      </c>
      <c r="D149" s="596">
        <v>0</v>
      </c>
      <c r="E149" s="596">
        <v>227.83</v>
      </c>
      <c r="F149" s="596">
        <v>227.83</v>
      </c>
      <c r="G149" s="595">
        <v>18506.11</v>
      </c>
      <c r="H149" s="596">
        <v>0</v>
      </c>
      <c r="I149" s="594" t="s">
        <v>771</v>
      </c>
    </row>
    <row r="150" spans="1:9" ht="17.100000000000001" customHeight="1">
      <c r="A150" s="594">
        <v>11321105</v>
      </c>
      <c r="B150" s="594" t="s">
        <v>772</v>
      </c>
      <c r="C150" s="595">
        <v>515259.57</v>
      </c>
      <c r="D150" s="596">
        <v>0</v>
      </c>
      <c r="E150" s="595">
        <v>307731.84999999998</v>
      </c>
      <c r="F150" s="595">
        <v>45844.58</v>
      </c>
      <c r="G150" s="595">
        <v>777146.84</v>
      </c>
      <c r="H150" s="596">
        <v>0</v>
      </c>
      <c r="I150" s="594" t="s">
        <v>773</v>
      </c>
    </row>
    <row r="151" spans="1:9" ht="17.100000000000001" customHeight="1">
      <c r="A151" s="594">
        <v>11321107</v>
      </c>
      <c r="B151" s="594" t="s">
        <v>774</v>
      </c>
      <c r="C151" s="595">
        <v>79097.399999999994</v>
      </c>
      <c r="D151" s="596">
        <v>0</v>
      </c>
      <c r="E151" s="595">
        <v>87000</v>
      </c>
      <c r="F151" s="595">
        <v>89900</v>
      </c>
      <c r="G151" s="595">
        <v>76197.399999999994</v>
      </c>
      <c r="H151" s="596">
        <v>0</v>
      </c>
      <c r="I151" s="594" t="s">
        <v>775</v>
      </c>
    </row>
    <row r="152" spans="1:9" ht="17.100000000000001" customHeight="1">
      <c r="A152" s="594">
        <v>113212</v>
      </c>
      <c r="B152" s="594" t="s">
        <v>776</v>
      </c>
      <c r="C152" s="595">
        <v>27423230.289999999</v>
      </c>
      <c r="D152" s="596">
        <v>0</v>
      </c>
      <c r="E152" s="595">
        <v>17604409.18</v>
      </c>
      <c r="F152" s="595">
        <v>16066533.710000001</v>
      </c>
      <c r="G152" s="595">
        <v>28961105.760000002</v>
      </c>
      <c r="H152" s="596">
        <v>0</v>
      </c>
      <c r="I152" s="594" t="s">
        <v>777</v>
      </c>
    </row>
    <row r="153" spans="1:9" ht="17.100000000000001" customHeight="1">
      <c r="A153" s="594">
        <v>11321202</v>
      </c>
      <c r="B153" s="594" t="s">
        <v>778</v>
      </c>
      <c r="C153" s="595">
        <v>27423230.289999999</v>
      </c>
      <c r="D153" s="596">
        <v>0</v>
      </c>
      <c r="E153" s="595">
        <v>17604409.18</v>
      </c>
      <c r="F153" s="595">
        <v>16066533.710000001</v>
      </c>
      <c r="G153" s="595">
        <v>28961105.760000002</v>
      </c>
      <c r="H153" s="596">
        <v>0</v>
      </c>
      <c r="I153" s="594" t="s">
        <v>779</v>
      </c>
    </row>
    <row r="154" spans="1:9" ht="28.5" customHeight="1">
      <c r="A154" s="320"/>
      <c r="B154" s="320"/>
      <c r="C154" s="320"/>
      <c r="D154" s="557" t="s">
        <v>4198</v>
      </c>
      <c r="E154" s="320" t="s">
        <v>3719</v>
      </c>
      <c r="F154" s="320"/>
      <c r="G154" s="320"/>
      <c r="H154" s="320"/>
      <c r="I154" s="320"/>
    </row>
    <row r="155" spans="1:9">
      <c r="A155" s="671"/>
      <c r="B155" s="671"/>
      <c r="C155" s="671"/>
      <c r="D155" s="671"/>
      <c r="E155" s="671"/>
      <c r="F155" s="671"/>
      <c r="G155" s="671"/>
      <c r="H155" s="671"/>
      <c r="I155" s="671"/>
    </row>
    <row r="156" spans="1:9" ht="24.75">
      <c r="A156" s="320"/>
      <c r="B156" s="320"/>
      <c r="C156" s="589" t="s">
        <v>3707</v>
      </c>
      <c r="D156" s="320"/>
      <c r="E156" s="320"/>
      <c r="F156" s="671"/>
      <c r="G156" s="671"/>
      <c r="H156" s="671"/>
      <c r="I156" s="671"/>
    </row>
    <row r="157" spans="1:9" ht="17.25">
      <c r="A157" s="590" t="s">
        <v>3708</v>
      </c>
      <c r="B157" s="590"/>
      <c r="C157" s="597">
        <v>42887</v>
      </c>
      <c r="D157" s="590"/>
      <c r="E157" s="557" t="s">
        <v>3709</v>
      </c>
      <c r="F157" s="671"/>
      <c r="G157" s="671"/>
      <c r="H157" s="671"/>
      <c r="I157" s="671"/>
    </row>
    <row r="158" spans="1:9" ht="28.5" customHeight="1">
      <c r="A158" s="593" t="s">
        <v>596</v>
      </c>
      <c r="B158" s="593" t="s">
        <v>597</v>
      </c>
      <c r="C158" s="593" t="s">
        <v>3710</v>
      </c>
      <c r="D158" s="593" t="s">
        <v>3711</v>
      </c>
      <c r="E158" s="593" t="s">
        <v>3712</v>
      </c>
      <c r="F158" s="593" t="s">
        <v>3713</v>
      </c>
      <c r="G158" s="593" t="s">
        <v>3714</v>
      </c>
      <c r="H158" s="593" t="s">
        <v>3715</v>
      </c>
      <c r="I158" s="593" t="s">
        <v>596</v>
      </c>
    </row>
    <row r="159" spans="1:9" ht="17.100000000000001" customHeight="1">
      <c r="A159" s="594">
        <v>113213</v>
      </c>
      <c r="B159" s="594" t="s">
        <v>780</v>
      </c>
      <c r="C159" s="595">
        <v>1023706073.74</v>
      </c>
      <c r="D159" s="596">
        <v>0</v>
      </c>
      <c r="E159" s="595">
        <v>189843533.94999999</v>
      </c>
      <c r="F159" s="595">
        <v>141848958.63</v>
      </c>
      <c r="G159" s="595">
        <v>1071700649.0599999</v>
      </c>
      <c r="H159" s="596">
        <v>0</v>
      </c>
      <c r="I159" s="594" t="s">
        <v>781</v>
      </c>
    </row>
    <row r="160" spans="1:9" ht="17.100000000000001" customHeight="1">
      <c r="A160" s="594">
        <v>11321301</v>
      </c>
      <c r="B160" s="594" t="s">
        <v>782</v>
      </c>
      <c r="C160" s="595">
        <v>1018491279.22</v>
      </c>
      <c r="D160" s="596">
        <v>0</v>
      </c>
      <c r="E160" s="595">
        <v>189333944.91</v>
      </c>
      <c r="F160" s="595">
        <v>141848958.63</v>
      </c>
      <c r="G160" s="595">
        <v>1065976265.5</v>
      </c>
      <c r="H160" s="596">
        <v>0</v>
      </c>
      <c r="I160" s="594" t="s">
        <v>783</v>
      </c>
    </row>
    <row r="161" spans="1:9" ht="17.100000000000001" customHeight="1">
      <c r="A161" s="594">
        <v>11321399</v>
      </c>
      <c r="B161" s="594" t="s">
        <v>3835</v>
      </c>
      <c r="C161" s="595">
        <v>5214794.5199999996</v>
      </c>
      <c r="D161" s="596">
        <v>0</v>
      </c>
      <c r="E161" s="595">
        <v>509589.04</v>
      </c>
      <c r="F161" s="596">
        <v>0</v>
      </c>
      <c r="G161" s="595">
        <v>5724383.5599999996</v>
      </c>
      <c r="H161" s="596">
        <v>0</v>
      </c>
      <c r="I161" s="594" t="s">
        <v>3836</v>
      </c>
    </row>
    <row r="162" spans="1:9" ht="17.100000000000001" customHeight="1">
      <c r="A162" s="594">
        <v>113214</v>
      </c>
      <c r="B162" s="594" t="s">
        <v>784</v>
      </c>
      <c r="C162" s="595">
        <v>506114044.06</v>
      </c>
      <c r="D162" s="596">
        <v>0</v>
      </c>
      <c r="E162" s="595">
        <v>90741493.769999996</v>
      </c>
      <c r="F162" s="595">
        <v>82666500</v>
      </c>
      <c r="G162" s="595">
        <v>514189037.82999998</v>
      </c>
      <c r="H162" s="596">
        <v>0</v>
      </c>
      <c r="I162" s="594" t="s">
        <v>785</v>
      </c>
    </row>
    <row r="163" spans="1:9" ht="17.100000000000001" customHeight="1">
      <c r="A163" s="594">
        <v>11321401</v>
      </c>
      <c r="B163" s="594" t="s">
        <v>786</v>
      </c>
      <c r="C163" s="595">
        <v>506114044.06</v>
      </c>
      <c r="D163" s="596">
        <v>0</v>
      </c>
      <c r="E163" s="595">
        <v>90741493.769999996</v>
      </c>
      <c r="F163" s="595">
        <v>82666500</v>
      </c>
      <c r="G163" s="595">
        <v>514189037.82999998</v>
      </c>
      <c r="H163" s="596">
        <v>0</v>
      </c>
      <c r="I163" s="594" t="s">
        <v>787</v>
      </c>
    </row>
    <row r="164" spans="1:9" ht="17.100000000000001" customHeight="1">
      <c r="A164" s="594">
        <v>113215</v>
      </c>
      <c r="B164" s="594" t="s">
        <v>788</v>
      </c>
      <c r="C164" s="595">
        <v>2175685406.02</v>
      </c>
      <c r="D164" s="596">
        <v>0</v>
      </c>
      <c r="E164" s="595">
        <v>1390806346.8900001</v>
      </c>
      <c r="F164" s="595">
        <v>1653968530.73</v>
      </c>
      <c r="G164" s="595">
        <v>1912523222.1800001</v>
      </c>
      <c r="H164" s="596">
        <v>0</v>
      </c>
      <c r="I164" s="594" t="s">
        <v>789</v>
      </c>
    </row>
    <row r="165" spans="1:9" ht="17.100000000000001" customHeight="1">
      <c r="A165" s="594">
        <v>11321599</v>
      </c>
      <c r="B165" s="594" t="s">
        <v>790</v>
      </c>
      <c r="C165" s="595">
        <v>2175685406.02</v>
      </c>
      <c r="D165" s="596">
        <v>0</v>
      </c>
      <c r="E165" s="595">
        <v>1390806346.8900001</v>
      </c>
      <c r="F165" s="595">
        <v>1653968530.73</v>
      </c>
      <c r="G165" s="595">
        <v>1912523222.1800001</v>
      </c>
      <c r="H165" s="596">
        <v>0</v>
      </c>
      <c r="I165" s="594" t="s">
        <v>791</v>
      </c>
    </row>
    <row r="166" spans="1:9" ht="17.100000000000001" customHeight="1">
      <c r="A166" s="594">
        <v>1221</v>
      </c>
      <c r="B166" s="594" t="s">
        <v>792</v>
      </c>
      <c r="C166" s="595">
        <v>1518717696.9400001</v>
      </c>
      <c r="D166" s="596">
        <v>0</v>
      </c>
      <c r="E166" s="595">
        <v>1753466442807.3899</v>
      </c>
      <c r="F166" s="595">
        <v>1753215388701.7</v>
      </c>
      <c r="G166" s="595">
        <v>1769771802.6300001</v>
      </c>
      <c r="H166" s="596">
        <v>0</v>
      </c>
      <c r="I166" s="594" t="s">
        <v>793</v>
      </c>
    </row>
    <row r="167" spans="1:9" ht="17.100000000000001" customHeight="1">
      <c r="A167" s="594">
        <v>122102</v>
      </c>
      <c r="B167" s="594" t="s">
        <v>794</v>
      </c>
      <c r="C167" s="595">
        <v>16881827.16</v>
      </c>
      <c r="D167" s="596">
        <v>0</v>
      </c>
      <c r="E167" s="595">
        <v>120000</v>
      </c>
      <c r="F167" s="595">
        <v>100000</v>
      </c>
      <c r="G167" s="595">
        <v>16901827.16</v>
      </c>
      <c r="H167" s="596">
        <v>0</v>
      </c>
      <c r="I167" s="594" t="s">
        <v>795</v>
      </c>
    </row>
    <row r="168" spans="1:9" ht="17.100000000000001" customHeight="1">
      <c r="A168" s="594">
        <v>12210201</v>
      </c>
      <c r="B168" s="594" t="s">
        <v>794</v>
      </c>
      <c r="C168" s="595">
        <v>16881827.16</v>
      </c>
      <c r="D168" s="596">
        <v>0</v>
      </c>
      <c r="E168" s="595">
        <v>120000</v>
      </c>
      <c r="F168" s="595">
        <v>100000</v>
      </c>
      <c r="G168" s="595">
        <v>16901827.16</v>
      </c>
      <c r="H168" s="596">
        <v>0</v>
      </c>
      <c r="I168" s="594" t="s">
        <v>796</v>
      </c>
    </row>
    <row r="169" spans="1:9" ht="17.100000000000001" customHeight="1">
      <c r="A169" s="594">
        <v>122103</v>
      </c>
      <c r="B169" s="594" t="s">
        <v>797</v>
      </c>
      <c r="C169" s="596">
        <v>0.03</v>
      </c>
      <c r="D169" s="596">
        <v>0</v>
      </c>
      <c r="E169" s="595">
        <v>289557.45</v>
      </c>
      <c r="F169" s="595">
        <v>289557.45</v>
      </c>
      <c r="G169" s="596">
        <v>0.03</v>
      </c>
      <c r="H169" s="596">
        <v>0</v>
      </c>
      <c r="I169" s="594" t="s">
        <v>798</v>
      </c>
    </row>
    <row r="170" spans="1:9" ht="17.100000000000001" customHeight="1">
      <c r="A170" s="594">
        <v>12210301</v>
      </c>
      <c r="B170" s="594" t="s">
        <v>797</v>
      </c>
      <c r="C170" s="596">
        <v>0.03</v>
      </c>
      <c r="D170" s="596">
        <v>0</v>
      </c>
      <c r="E170" s="595">
        <v>289557.45</v>
      </c>
      <c r="F170" s="595">
        <v>289557.45</v>
      </c>
      <c r="G170" s="596">
        <v>0.03</v>
      </c>
      <c r="H170" s="596">
        <v>0</v>
      </c>
      <c r="I170" s="594" t="s">
        <v>799</v>
      </c>
    </row>
    <row r="171" spans="1:9" ht="17.100000000000001" customHeight="1">
      <c r="A171" s="594">
        <v>122104</v>
      </c>
      <c r="B171" s="594" t="s">
        <v>800</v>
      </c>
      <c r="C171" s="595">
        <v>817782.46</v>
      </c>
      <c r="D171" s="596">
        <v>0</v>
      </c>
      <c r="E171" s="596">
        <v>0</v>
      </c>
      <c r="F171" s="595">
        <v>6866.86</v>
      </c>
      <c r="G171" s="595">
        <v>810915.6</v>
      </c>
      <c r="H171" s="596">
        <v>0</v>
      </c>
      <c r="I171" s="594" t="s">
        <v>801</v>
      </c>
    </row>
    <row r="172" spans="1:9" ht="17.100000000000001" customHeight="1">
      <c r="A172" s="594">
        <v>12210401</v>
      </c>
      <c r="B172" s="594" t="s">
        <v>800</v>
      </c>
      <c r="C172" s="595">
        <v>817782.46</v>
      </c>
      <c r="D172" s="596">
        <v>0</v>
      </c>
      <c r="E172" s="596">
        <v>0</v>
      </c>
      <c r="F172" s="595">
        <v>6866.86</v>
      </c>
      <c r="G172" s="595">
        <v>810915.6</v>
      </c>
      <c r="H172" s="596">
        <v>0</v>
      </c>
      <c r="I172" s="594" t="s">
        <v>802</v>
      </c>
    </row>
    <row r="173" spans="1:9" ht="17.100000000000001" customHeight="1">
      <c r="A173" s="594">
        <v>122106</v>
      </c>
      <c r="B173" s="594" t="s">
        <v>803</v>
      </c>
      <c r="C173" s="595">
        <v>122546759.72</v>
      </c>
      <c r="D173" s="596">
        <v>0</v>
      </c>
      <c r="E173" s="595">
        <v>4679809.4000000004</v>
      </c>
      <c r="F173" s="595">
        <v>10531093.630000001</v>
      </c>
      <c r="G173" s="595">
        <v>116695475.48999999</v>
      </c>
      <c r="H173" s="596">
        <v>0</v>
      </c>
      <c r="I173" s="594" t="s">
        <v>804</v>
      </c>
    </row>
    <row r="174" spans="1:9" ht="17.100000000000001" customHeight="1">
      <c r="A174" s="594">
        <v>12210601</v>
      </c>
      <c r="B174" s="594" t="s">
        <v>803</v>
      </c>
      <c r="C174" s="595">
        <v>122546759.72</v>
      </c>
      <c r="D174" s="596">
        <v>0</v>
      </c>
      <c r="E174" s="595">
        <v>4679809.4000000004</v>
      </c>
      <c r="F174" s="595">
        <v>10531093.630000001</v>
      </c>
      <c r="G174" s="595">
        <v>116695475.48999999</v>
      </c>
      <c r="H174" s="596">
        <v>0</v>
      </c>
      <c r="I174" s="594" t="s">
        <v>805</v>
      </c>
    </row>
    <row r="175" spans="1:9" ht="17.100000000000001" customHeight="1">
      <c r="A175" s="594">
        <v>122107</v>
      </c>
      <c r="B175" s="594" t="s">
        <v>806</v>
      </c>
      <c r="C175" s="595">
        <v>80773.62</v>
      </c>
      <c r="D175" s="596">
        <v>0</v>
      </c>
      <c r="E175" s="595">
        <v>93465.52</v>
      </c>
      <c r="F175" s="595">
        <v>91391.09</v>
      </c>
      <c r="G175" s="595">
        <v>82848.05</v>
      </c>
      <c r="H175" s="596">
        <v>0</v>
      </c>
      <c r="I175" s="594" t="s">
        <v>807</v>
      </c>
    </row>
    <row r="176" spans="1:9" ht="17.100000000000001" customHeight="1">
      <c r="A176" s="594">
        <v>12210701</v>
      </c>
      <c r="B176" s="594" t="s">
        <v>806</v>
      </c>
      <c r="C176" s="595">
        <v>80773.62</v>
      </c>
      <c r="D176" s="596">
        <v>0</v>
      </c>
      <c r="E176" s="595">
        <v>93465.52</v>
      </c>
      <c r="F176" s="595">
        <v>91391.09</v>
      </c>
      <c r="G176" s="595">
        <v>82848.05</v>
      </c>
      <c r="H176" s="596">
        <v>0</v>
      </c>
      <c r="I176" s="594" t="s">
        <v>808</v>
      </c>
    </row>
    <row r="177" spans="1:9" ht="17.100000000000001" customHeight="1">
      <c r="A177" s="594">
        <v>122109</v>
      </c>
      <c r="B177" s="594" t="s">
        <v>809</v>
      </c>
      <c r="C177" s="595">
        <v>1770237.5</v>
      </c>
      <c r="D177" s="596">
        <v>0</v>
      </c>
      <c r="E177" s="595">
        <v>850329093971.98999</v>
      </c>
      <c r="F177" s="595">
        <v>850328925811.48999</v>
      </c>
      <c r="G177" s="595">
        <v>1938398</v>
      </c>
      <c r="H177" s="596">
        <v>0</v>
      </c>
      <c r="I177" s="594" t="s">
        <v>810</v>
      </c>
    </row>
    <row r="178" spans="1:9" ht="17.100000000000001" customHeight="1">
      <c r="A178" s="594">
        <v>12210901</v>
      </c>
      <c r="B178" s="594" t="s">
        <v>809</v>
      </c>
      <c r="C178" s="595">
        <v>1770237.5</v>
      </c>
      <c r="D178" s="596">
        <v>0</v>
      </c>
      <c r="E178" s="595">
        <v>850329093971.98999</v>
      </c>
      <c r="F178" s="595">
        <v>850328925811.48999</v>
      </c>
      <c r="G178" s="595">
        <v>1938398</v>
      </c>
      <c r="H178" s="596">
        <v>0</v>
      </c>
      <c r="I178" s="594" t="s">
        <v>811</v>
      </c>
    </row>
    <row r="179" spans="1:9" ht="17.100000000000001" customHeight="1">
      <c r="A179" s="594">
        <v>122110</v>
      </c>
      <c r="B179" s="594" t="s">
        <v>812</v>
      </c>
      <c r="C179" s="595">
        <v>26449</v>
      </c>
      <c r="D179" s="596">
        <v>0</v>
      </c>
      <c r="E179" s="595">
        <v>34132</v>
      </c>
      <c r="F179" s="595">
        <v>35428</v>
      </c>
      <c r="G179" s="595">
        <v>25153</v>
      </c>
      <c r="H179" s="596">
        <v>0</v>
      </c>
      <c r="I179" s="594" t="s">
        <v>813</v>
      </c>
    </row>
    <row r="180" spans="1:9" ht="17.100000000000001" customHeight="1">
      <c r="A180" s="594">
        <v>12211001</v>
      </c>
      <c r="B180" s="594" t="s">
        <v>812</v>
      </c>
      <c r="C180" s="595">
        <v>26449</v>
      </c>
      <c r="D180" s="596">
        <v>0</v>
      </c>
      <c r="E180" s="595">
        <v>34132</v>
      </c>
      <c r="F180" s="595">
        <v>35428</v>
      </c>
      <c r="G180" s="595">
        <v>25153</v>
      </c>
      <c r="H180" s="596">
        <v>0</v>
      </c>
      <c r="I180" s="594" t="s">
        <v>814</v>
      </c>
    </row>
    <row r="181" spans="1:9" ht="17.100000000000001" customHeight="1">
      <c r="A181" s="594">
        <v>122111</v>
      </c>
      <c r="B181" s="594" t="s">
        <v>815</v>
      </c>
      <c r="C181" s="595">
        <v>570421081.10000002</v>
      </c>
      <c r="D181" s="596">
        <v>0</v>
      </c>
      <c r="E181" s="595">
        <v>34172069.340000004</v>
      </c>
      <c r="F181" s="595">
        <v>40049949.43</v>
      </c>
      <c r="G181" s="595">
        <v>564543201.00999999</v>
      </c>
      <c r="H181" s="596">
        <v>0</v>
      </c>
      <c r="I181" s="594" t="s">
        <v>816</v>
      </c>
    </row>
    <row r="182" spans="1:9" ht="17.100000000000001" customHeight="1">
      <c r="A182" s="594">
        <v>12211102</v>
      </c>
      <c r="B182" s="594" t="s">
        <v>817</v>
      </c>
      <c r="C182" s="595">
        <v>570421081.10000002</v>
      </c>
      <c r="D182" s="596">
        <v>0</v>
      </c>
      <c r="E182" s="595">
        <v>34172069.340000004</v>
      </c>
      <c r="F182" s="595">
        <v>40049949.43</v>
      </c>
      <c r="G182" s="595">
        <v>564543201.00999999</v>
      </c>
      <c r="H182" s="596">
        <v>0</v>
      </c>
      <c r="I182" s="594" t="s">
        <v>818</v>
      </c>
    </row>
    <row r="183" spans="1:9" ht="17.100000000000001" customHeight="1">
      <c r="A183" s="594">
        <v>122113</v>
      </c>
      <c r="B183" s="594" t="s">
        <v>2772</v>
      </c>
      <c r="C183" s="595">
        <v>75549195.180000007</v>
      </c>
      <c r="D183" s="596">
        <v>0</v>
      </c>
      <c r="E183" s="595">
        <v>1192500113.6500001</v>
      </c>
      <c r="F183" s="595">
        <v>1184958689.24</v>
      </c>
      <c r="G183" s="595">
        <v>83090619.590000004</v>
      </c>
      <c r="H183" s="596">
        <v>0</v>
      </c>
      <c r="I183" s="594" t="s">
        <v>2773</v>
      </c>
    </row>
    <row r="184" spans="1:9" ht="17.100000000000001" customHeight="1">
      <c r="A184" s="594">
        <v>12211301</v>
      </c>
      <c r="B184" s="594" t="s">
        <v>2772</v>
      </c>
      <c r="C184" s="595">
        <v>79707.73</v>
      </c>
      <c r="D184" s="596">
        <v>0</v>
      </c>
      <c r="E184" s="595">
        <v>18197876.989999998</v>
      </c>
      <c r="F184" s="595">
        <v>17626600.68</v>
      </c>
      <c r="G184" s="595">
        <v>650984.04</v>
      </c>
      <c r="H184" s="596">
        <v>0</v>
      </c>
      <c r="I184" s="594" t="s">
        <v>2774</v>
      </c>
    </row>
    <row r="185" spans="1:9" ht="17.100000000000001" customHeight="1">
      <c r="A185" s="594">
        <v>12211302</v>
      </c>
      <c r="B185" s="594" t="s">
        <v>2775</v>
      </c>
      <c r="C185" s="595">
        <v>60627004.609999999</v>
      </c>
      <c r="D185" s="596">
        <v>0</v>
      </c>
      <c r="E185" s="595">
        <v>1173021442.3299999</v>
      </c>
      <c r="F185" s="595">
        <v>1167332088.5599999</v>
      </c>
      <c r="G185" s="595">
        <v>66316358.380000003</v>
      </c>
      <c r="H185" s="596">
        <v>0</v>
      </c>
      <c r="I185" s="594" t="s">
        <v>2776</v>
      </c>
    </row>
    <row r="186" spans="1:9" ht="17.100000000000001" customHeight="1">
      <c r="A186" s="594">
        <v>12211303</v>
      </c>
      <c r="B186" s="594" t="s">
        <v>3429</v>
      </c>
      <c r="C186" s="595">
        <v>14842482.84</v>
      </c>
      <c r="D186" s="596">
        <v>0</v>
      </c>
      <c r="E186" s="595">
        <v>1280794.33</v>
      </c>
      <c r="F186" s="596">
        <v>0</v>
      </c>
      <c r="G186" s="595">
        <v>16123277.17</v>
      </c>
      <c r="H186" s="596">
        <v>0</v>
      </c>
      <c r="I186" s="594" t="s">
        <v>3430</v>
      </c>
    </row>
    <row r="187" spans="1:9" ht="17.100000000000001" customHeight="1">
      <c r="A187" s="594">
        <v>122114</v>
      </c>
      <c r="B187" s="594" t="s">
        <v>3837</v>
      </c>
      <c r="C187" s="596">
        <v>0</v>
      </c>
      <c r="D187" s="596">
        <v>0</v>
      </c>
      <c r="E187" s="595">
        <v>441019835</v>
      </c>
      <c r="F187" s="595">
        <v>441019835</v>
      </c>
      <c r="G187" s="596">
        <v>0</v>
      </c>
      <c r="H187" s="596">
        <v>0</v>
      </c>
      <c r="I187" s="594" t="s">
        <v>3838</v>
      </c>
    </row>
    <row r="188" spans="1:9" ht="17.100000000000001" customHeight="1">
      <c r="A188" s="594">
        <v>12211401</v>
      </c>
      <c r="B188" s="594" t="s">
        <v>3837</v>
      </c>
      <c r="C188" s="596">
        <v>0</v>
      </c>
      <c r="D188" s="596">
        <v>0</v>
      </c>
      <c r="E188" s="595">
        <v>441019835</v>
      </c>
      <c r="F188" s="595">
        <v>441019835</v>
      </c>
      <c r="G188" s="596">
        <v>0</v>
      </c>
      <c r="H188" s="596">
        <v>0</v>
      </c>
      <c r="I188" s="594" t="s">
        <v>3839</v>
      </c>
    </row>
    <row r="189" spans="1:9" ht="17.100000000000001" customHeight="1">
      <c r="A189" s="594">
        <v>122115</v>
      </c>
      <c r="B189" s="594" t="s">
        <v>819</v>
      </c>
      <c r="C189" s="595">
        <v>10559483</v>
      </c>
      <c r="D189" s="596">
        <v>0</v>
      </c>
      <c r="E189" s="595">
        <v>180000</v>
      </c>
      <c r="F189" s="595">
        <v>207230</v>
      </c>
      <c r="G189" s="595">
        <v>10532253</v>
      </c>
      <c r="H189" s="596">
        <v>0</v>
      </c>
      <c r="I189" s="594" t="s">
        <v>820</v>
      </c>
    </row>
    <row r="190" spans="1:9" ht="17.100000000000001" customHeight="1">
      <c r="A190" s="594">
        <v>12211501</v>
      </c>
      <c r="B190" s="594" t="s">
        <v>819</v>
      </c>
      <c r="C190" s="595">
        <v>10559483</v>
      </c>
      <c r="D190" s="596">
        <v>0</v>
      </c>
      <c r="E190" s="595">
        <v>180000</v>
      </c>
      <c r="F190" s="595">
        <v>207230</v>
      </c>
      <c r="G190" s="595">
        <v>10532253</v>
      </c>
      <c r="H190" s="596">
        <v>0</v>
      </c>
      <c r="I190" s="594" t="s">
        <v>821</v>
      </c>
    </row>
    <row r="191" spans="1:9" ht="17.100000000000001" customHeight="1">
      <c r="A191" s="594">
        <v>122199</v>
      </c>
      <c r="B191" s="594" t="s">
        <v>792</v>
      </c>
      <c r="C191" s="595">
        <v>720064108.16999996</v>
      </c>
      <c r="D191" s="596">
        <v>0</v>
      </c>
      <c r="E191" s="595">
        <v>901464259853.04004</v>
      </c>
      <c r="F191" s="595">
        <v>901209172849.51001</v>
      </c>
      <c r="G191" s="595">
        <v>975151111.70000005</v>
      </c>
      <c r="H191" s="596">
        <v>0</v>
      </c>
      <c r="I191" s="594" t="s">
        <v>822</v>
      </c>
    </row>
    <row r="192" spans="1:9" ht="17.100000000000001" customHeight="1">
      <c r="A192" s="594">
        <v>12219903</v>
      </c>
      <c r="B192" s="594" t="s">
        <v>823</v>
      </c>
      <c r="C192" s="595">
        <v>9514408.6600000001</v>
      </c>
      <c r="D192" s="596">
        <v>0</v>
      </c>
      <c r="E192" s="596">
        <v>0</v>
      </c>
      <c r="F192" s="596">
        <v>0</v>
      </c>
      <c r="G192" s="595">
        <v>9514408.6600000001</v>
      </c>
      <c r="H192" s="596">
        <v>0</v>
      </c>
      <c r="I192" s="594" t="s">
        <v>824</v>
      </c>
    </row>
    <row r="193" spans="1:9" ht="28.5" customHeight="1">
      <c r="A193" s="320"/>
      <c r="B193" s="320"/>
      <c r="C193" s="320"/>
      <c r="D193" s="557" t="s">
        <v>4198</v>
      </c>
      <c r="E193" s="320" t="s">
        <v>3720</v>
      </c>
      <c r="F193" s="320"/>
      <c r="G193" s="320"/>
      <c r="H193" s="320"/>
      <c r="I193" s="320"/>
    </row>
    <row r="194" spans="1:9">
      <c r="A194" s="671"/>
      <c r="B194" s="671"/>
      <c r="C194" s="671"/>
      <c r="D194" s="671"/>
      <c r="E194" s="671"/>
      <c r="F194" s="671"/>
      <c r="G194" s="671"/>
      <c r="H194" s="671"/>
      <c r="I194" s="671"/>
    </row>
    <row r="195" spans="1:9" ht="24.75">
      <c r="A195" s="320"/>
      <c r="B195" s="320"/>
      <c r="C195" s="589" t="s">
        <v>3707</v>
      </c>
      <c r="D195" s="320"/>
      <c r="E195" s="320"/>
      <c r="F195" s="671"/>
      <c r="G195" s="671"/>
      <c r="H195" s="671"/>
      <c r="I195" s="671"/>
    </row>
    <row r="196" spans="1:9" ht="17.25">
      <c r="A196" s="590" t="s">
        <v>3708</v>
      </c>
      <c r="B196" s="590"/>
      <c r="C196" s="597">
        <v>42887</v>
      </c>
      <c r="D196" s="590"/>
      <c r="E196" s="557" t="s">
        <v>3709</v>
      </c>
      <c r="F196" s="671"/>
      <c r="G196" s="671"/>
      <c r="H196" s="671"/>
      <c r="I196" s="671"/>
    </row>
    <row r="197" spans="1:9" ht="28.5" customHeight="1">
      <c r="A197" s="593" t="s">
        <v>596</v>
      </c>
      <c r="B197" s="593" t="s">
        <v>597</v>
      </c>
      <c r="C197" s="593" t="s">
        <v>3710</v>
      </c>
      <c r="D197" s="593" t="s">
        <v>3711</v>
      </c>
      <c r="E197" s="593" t="s">
        <v>3712</v>
      </c>
      <c r="F197" s="593" t="s">
        <v>3713</v>
      </c>
      <c r="G197" s="593" t="s">
        <v>3714</v>
      </c>
      <c r="H197" s="593" t="s">
        <v>3715</v>
      </c>
      <c r="I197" s="593" t="s">
        <v>596</v>
      </c>
    </row>
    <row r="198" spans="1:9" ht="17.100000000000001" customHeight="1">
      <c r="A198" s="594">
        <v>12219904</v>
      </c>
      <c r="B198" s="594" t="s">
        <v>2777</v>
      </c>
      <c r="C198" s="595">
        <v>62654316.75</v>
      </c>
      <c r="D198" s="596">
        <v>0</v>
      </c>
      <c r="E198" s="595">
        <v>3953763.81</v>
      </c>
      <c r="F198" s="595">
        <v>8929131.4299999997</v>
      </c>
      <c r="G198" s="595">
        <v>57678949.130000003</v>
      </c>
      <c r="H198" s="596">
        <v>0</v>
      </c>
      <c r="I198" s="594" t="s">
        <v>2778</v>
      </c>
    </row>
    <row r="199" spans="1:9" ht="17.100000000000001" customHeight="1">
      <c r="A199" s="594">
        <v>12219999</v>
      </c>
      <c r="B199" s="594" t="s">
        <v>825</v>
      </c>
      <c r="C199" s="595">
        <v>647895382.75999999</v>
      </c>
      <c r="D199" s="596">
        <v>0</v>
      </c>
      <c r="E199" s="595">
        <v>901460306089.22998</v>
      </c>
      <c r="F199" s="595">
        <v>901200243718.07996</v>
      </c>
      <c r="G199" s="595">
        <v>907957753.90999997</v>
      </c>
      <c r="H199" s="596">
        <v>0</v>
      </c>
      <c r="I199" s="594" t="s">
        <v>826</v>
      </c>
    </row>
    <row r="200" spans="1:9" ht="17.100000000000001" customHeight="1">
      <c r="A200" s="594">
        <v>1231</v>
      </c>
      <c r="B200" s="594" t="s">
        <v>827</v>
      </c>
      <c r="C200" s="596">
        <v>0</v>
      </c>
      <c r="D200" s="595">
        <v>855841803.63999999</v>
      </c>
      <c r="E200" s="596">
        <v>0</v>
      </c>
      <c r="F200" s="595">
        <v>-20142552.710000001</v>
      </c>
      <c r="G200" s="596">
        <v>0</v>
      </c>
      <c r="H200" s="595">
        <v>835699250.92999995</v>
      </c>
      <c r="I200" s="594" t="s">
        <v>828</v>
      </c>
    </row>
    <row r="201" spans="1:9" ht="17.100000000000001" customHeight="1">
      <c r="A201" s="594">
        <v>123103</v>
      </c>
      <c r="B201" s="594" t="s">
        <v>3365</v>
      </c>
      <c r="C201" s="596">
        <v>0</v>
      </c>
      <c r="D201" s="595">
        <v>49597443.789999999</v>
      </c>
      <c r="E201" s="596">
        <v>0</v>
      </c>
      <c r="F201" s="595">
        <v>-3412847.26</v>
      </c>
      <c r="G201" s="596">
        <v>0</v>
      </c>
      <c r="H201" s="595">
        <v>46184596.530000001</v>
      </c>
      <c r="I201" s="594" t="s">
        <v>3366</v>
      </c>
    </row>
    <row r="202" spans="1:9" ht="17.100000000000001" customHeight="1">
      <c r="A202" s="594">
        <v>12310301</v>
      </c>
      <c r="B202" s="594" t="s">
        <v>3365</v>
      </c>
      <c r="C202" s="596">
        <v>0</v>
      </c>
      <c r="D202" s="595">
        <v>49597443.789999999</v>
      </c>
      <c r="E202" s="596">
        <v>0</v>
      </c>
      <c r="F202" s="595">
        <v>-3412847.26</v>
      </c>
      <c r="G202" s="596">
        <v>0</v>
      </c>
      <c r="H202" s="595">
        <v>46184596.530000001</v>
      </c>
      <c r="I202" s="594" t="s">
        <v>3367</v>
      </c>
    </row>
    <row r="203" spans="1:9" ht="17.100000000000001" customHeight="1">
      <c r="A203" s="594">
        <v>123104</v>
      </c>
      <c r="B203" s="594" t="s">
        <v>829</v>
      </c>
      <c r="C203" s="596">
        <v>0</v>
      </c>
      <c r="D203" s="595">
        <v>125667362.36</v>
      </c>
      <c r="E203" s="596">
        <v>0</v>
      </c>
      <c r="F203" s="596">
        <v>0</v>
      </c>
      <c r="G203" s="596">
        <v>0</v>
      </c>
      <c r="H203" s="595">
        <v>125667362.36</v>
      </c>
      <c r="I203" s="594" t="s">
        <v>830</v>
      </c>
    </row>
    <row r="204" spans="1:9" ht="17.100000000000001" customHeight="1">
      <c r="A204" s="594">
        <v>12310401</v>
      </c>
      <c r="B204" s="594" t="s">
        <v>829</v>
      </c>
      <c r="C204" s="596">
        <v>0</v>
      </c>
      <c r="D204" s="595">
        <v>125667362.36</v>
      </c>
      <c r="E204" s="596">
        <v>0</v>
      </c>
      <c r="F204" s="596">
        <v>0</v>
      </c>
      <c r="G204" s="596">
        <v>0</v>
      </c>
      <c r="H204" s="595">
        <v>125667362.36</v>
      </c>
      <c r="I204" s="594" t="s">
        <v>831</v>
      </c>
    </row>
    <row r="205" spans="1:9" ht="17.100000000000001" customHeight="1">
      <c r="A205" s="594">
        <v>123105</v>
      </c>
      <c r="B205" s="594" t="s">
        <v>2779</v>
      </c>
      <c r="C205" s="596">
        <v>0</v>
      </c>
      <c r="D205" s="595">
        <v>383325457.89999998</v>
      </c>
      <c r="E205" s="596">
        <v>0</v>
      </c>
      <c r="F205" s="595">
        <v>-16729705.449999999</v>
      </c>
      <c r="G205" s="596">
        <v>0</v>
      </c>
      <c r="H205" s="595">
        <v>366595752.44999999</v>
      </c>
      <c r="I205" s="594" t="s">
        <v>2780</v>
      </c>
    </row>
    <row r="206" spans="1:9" ht="17.100000000000001" customHeight="1">
      <c r="A206" s="594">
        <v>12310501</v>
      </c>
      <c r="B206" s="594" t="s">
        <v>2779</v>
      </c>
      <c r="C206" s="596">
        <v>0</v>
      </c>
      <c r="D206" s="595">
        <v>383325457.89999998</v>
      </c>
      <c r="E206" s="596">
        <v>0</v>
      </c>
      <c r="F206" s="595">
        <v>-16729705.449999999</v>
      </c>
      <c r="G206" s="596">
        <v>0</v>
      </c>
      <c r="H206" s="595">
        <v>366595752.44999999</v>
      </c>
      <c r="I206" s="594" t="s">
        <v>2781</v>
      </c>
    </row>
    <row r="207" spans="1:9" ht="17.100000000000001" customHeight="1">
      <c r="A207" s="594">
        <v>123199</v>
      </c>
      <c r="B207" s="594" t="s">
        <v>832</v>
      </c>
      <c r="C207" s="596">
        <v>0</v>
      </c>
      <c r="D207" s="595">
        <v>297251539.58999997</v>
      </c>
      <c r="E207" s="596">
        <v>0</v>
      </c>
      <c r="F207" s="596">
        <v>0</v>
      </c>
      <c r="G207" s="596">
        <v>0</v>
      </c>
      <c r="H207" s="595">
        <v>297251539.58999997</v>
      </c>
      <c r="I207" s="594" t="s">
        <v>833</v>
      </c>
    </row>
    <row r="208" spans="1:9" ht="17.100000000000001" customHeight="1">
      <c r="A208" s="594">
        <v>12319999</v>
      </c>
      <c r="B208" s="594" t="s">
        <v>832</v>
      </c>
      <c r="C208" s="596">
        <v>0</v>
      </c>
      <c r="D208" s="595">
        <v>297251539.58999997</v>
      </c>
      <c r="E208" s="596">
        <v>0</v>
      </c>
      <c r="F208" s="596">
        <v>0</v>
      </c>
      <c r="G208" s="596">
        <v>0</v>
      </c>
      <c r="H208" s="595">
        <v>297251539.58999997</v>
      </c>
      <c r="I208" s="594" t="s">
        <v>834</v>
      </c>
    </row>
    <row r="209" spans="1:9" ht="17.100000000000001" customHeight="1">
      <c r="A209" s="594">
        <v>1301</v>
      </c>
      <c r="B209" s="594" t="s">
        <v>835</v>
      </c>
      <c r="C209" s="595">
        <v>7186337596.29</v>
      </c>
      <c r="D209" s="596">
        <v>0</v>
      </c>
      <c r="E209" s="595">
        <v>667384779.60000002</v>
      </c>
      <c r="F209" s="595">
        <v>605554700.75999999</v>
      </c>
      <c r="G209" s="595">
        <v>7248167675.1300001</v>
      </c>
      <c r="H209" s="596">
        <v>0</v>
      </c>
      <c r="I209" s="594" t="s">
        <v>836</v>
      </c>
    </row>
    <row r="210" spans="1:9" ht="17.100000000000001" customHeight="1">
      <c r="A210" s="594">
        <v>130101</v>
      </c>
      <c r="B210" s="594" t="s">
        <v>837</v>
      </c>
      <c r="C210" s="595">
        <v>2493788800.8699999</v>
      </c>
      <c r="D210" s="596">
        <v>0</v>
      </c>
      <c r="E210" s="595">
        <v>139668393.94</v>
      </c>
      <c r="F210" s="595">
        <v>76976123.239999995</v>
      </c>
      <c r="G210" s="595">
        <v>2556481071.5700002</v>
      </c>
      <c r="H210" s="596">
        <v>0</v>
      </c>
      <c r="I210" s="594" t="s">
        <v>838</v>
      </c>
    </row>
    <row r="211" spans="1:9" ht="17.100000000000001" customHeight="1">
      <c r="A211" s="594">
        <v>13010101</v>
      </c>
      <c r="B211" s="594" t="s">
        <v>2660</v>
      </c>
      <c r="C211" s="595">
        <v>522106.22</v>
      </c>
      <c r="D211" s="596">
        <v>0</v>
      </c>
      <c r="E211" s="595">
        <v>259000</v>
      </c>
      <c r="F211" s="595">
        <v>126484.85</v>
      </c>
      <c r="G211" s="595">
        <v>654621.37</v>
      </c>
      <c r="H211" s="596">
        <v>0</v>
      </c>
      <c r="I211" s="594" t="s">
        <v>2661</v>
      </c>
    </row>
    <row r="212" spans="1:9" ht="17.100000000000001" customHeight="1">
      <c r="A212" s="594">
        <v>13010106</v>
      </c>
      <c r="B212" s="594" t="s">
        <v>839</v>
      </c>
      <c r="C212" s="595">
        <v>22211608.859999999</v>
      </c>
      <c r="D212" s="596">
        <v>0</v>
      </c>
      <c r="E212" s="595">
        <v>1024841.33</v>
      </c>
      <c r="F212" s="595">
        <v>1098832.83</v>
      </c>
      <c r="G212" s="595">
        <v>22137617.359999999</v>
      </c>
      <c r="H212" s="596">
        <v>0</v>
      </c>
      <c r="I212" s="594" t="s">
        <v>840</v>
      </c>
    </row>
    <row r="213" spans="1:9" ht="17.100000000000001" customHeight="1">
      <c r="A213" s="594">
        <v>13010111</v>
      </c>
      <c r="B213" s="594" t="s">
        <v>841</v>
      </c>
      <c r="C213" s="595">
        <v>1080334.18</v>
      </c>
      <c r="D213" s="596">
        <v>0</v>
      </c>
      <c r="E213" s="596">
        <v>0</v>
      </c>
      <c r="F213" s="595">
        <v>28493.85</v>
      </c>
      <c r="G213" s="595">
        <v>1051840.33</v>
      </c>
      <c r="H213" s="596">
        <v>0</v>
      </c>
      <c r="I213" s="594" t="s">
        <v>842</v>
      </c>
    </row>
    <row r="214" spans="1:9" ht="17.100000000000001" customHeight="1">
      <c r="A214" s="594">
        <v>13010116</v>
      </c>
      <c r="B214" s="594" t="s">
        <v>843</v>
      </c>
      <c r="C214" s="595">
        <v>73754529.609999999</v>
      </c>
      <c r="D214" s="596">
        <v>0</v>
      </c>
      <c r="E214" s="595">
        <v>5942000</v>
      </c>
      <c r="F214" s="595">
        <v>8631749.4800000004</v>
      </c>
      <c r="G214" s="595">
        <v>71064780.129999995</v>
      </c>
      <c r="H214" s="596">
        <v>0</v>
      </c>
      <c r="I214" s="594" t="s">
        <v>844</v>
      </c>
    </row>
    <row r="215" spans="1:9" ht="17.100000000000001" customHeight="1">
      <c r="A215" s="594">
        <v>13010121</v>
      </c>
      <c r="B215" s="594" t="s">
        <v>845</v>
      </c>
      <c r="C215" s="595">
        <v>1816402845.6900001</v>
      </c>
      <c r="D215" s="596">
        <v>0</v>
      </c>
      <c r="E215" s="595">
        <v>72332552.609999999</v>
      </c>
      <c r="F215" s="595">
        <v>55321833.399999999</v>
      </c>
      <c r="G215" s="595">
        <v>1833413564.9000001</v>
      </c>
      <c r="H215" s="596">
        <v>0</v>
      </c>
      <c r="I215" s="594" t="s">
        <v>846</v>
      </c>
    </row>
    <row r="216" spans="1:9" ht="17.100000000000001" customHeight="1">
      <c r="A216" s="594">
        <v>13010126</v>
      </c>
      <c r="B216" s="594" t="s">
        <v>847</v>
      </c>
      <c r="C216" s="595">
        <v>579817376.30999994</v>
      </c>
      <c r="D216" s="596">
        <v>0</v>
      </c>
      <c r="E216" s="595">
        <v>60110000</v>
      </c>
      <c r="F216" s="595">
        <v>11768728.83</v>
      </c>
      <c r="G216" s="595">
        <v>628158647.48000002</v>
      </c>
      <c r="H216" s="596">
        <v>0</v>
      </c>
      <c r="I216" s="594" t="s">
        <v>848</v>
      </c>
    </row>
    <row r="217" spans="1:9" ht="17.100000000000001" customHeight="1">
      <c r="A217" s="594">
        <v>130102</v>
      </c>
      <c r="B217" s="594" t="s">
        <v>849</v>
      </c>
      <c r="C217" s="595">
        <v>4692548795.4200001</v>
      </c>
      <c r="D217" s="596">
        <v>0</v>
      </c>
      <c r="E217" s="595">
        <v>527716385.66000003</v>
      </c>
      <c r="F217" s="595">
        <v>528578577.51999998</v>
      </c>
      <c r="G217" s="595">
        <v>4691686603.5600004</v>
      </c>
      <c r="H217" s="596">
        <v>0</v>
      </c>
      <c r="I217" s="594" t="s">
        <v>850</v>
      </c>
    </row>
    <row r="218" spans="1:9" ht="17.100000000000001" customHeight="1">
      <c r="A218" s="594">
        <v>13010201</v>
      </c>
      <c r="B218" s="594" t="s">
        <v>851</v>
      </c>
      <c r="C218" s="595">
        <v>2715514.55</v>
      </c>
      <c r="D218" s="596">
        <v>0</v>
      </c>
      <c r="E218" s="595">
        <v>292000</v>
      </c>
      <c r="F218" s="595">
        <v>20935.05</v>
      </c>
      <c r="G218" s="595">
        <v>2986579.5</v>
      </c>
      <c r="H218" s="596">
        <v>0</v>
      </c>
      <c r="I218" s="594" t="s">
        <v>852</v>
      </c>
    </row>
    <row r="219" spans="1:9" ht="17.100000000000001" customHeight="1">
      <c r="A219" s="594">
        <v>13010206</v>
      </c>
      <c r="B219" s="594" t="s">
        <v>2662</v>
      </c>
      <c r="C219" s="595">
        <v>1441869.7</v>
      </c>
      <c r="D219" s="596">
        <v>0</v>
      </c>
      <c r="E219" s="595">
        <v>100000</v>
      </c>
      <c r="F219" s="595">
        <v>84465.61</v>
      </c>
      <c r="G219" s="595">
        <v>1457404.09</v>
      </c>
      <c r="H219" s="596">
        <v>0</v>
      </c>
      <c r="I219" s="594" t="s">
        <v>2663</v>
      </c>
    </row>
    <row r="220" spans="1:9" ht="17.100000000000001" customHeight="1">
      <c r="A220" s="594">
        <v>13010216</v>
      </c>
      <c r="B220" s="594" t="s">
        <v>853</v>
      </c>
      <c r="C220" s="595">
        <v>2062572565.1400001</v>
      </c>
      <c r="D220" s="596">
        <v>0</v>
      </c>
      <c r="E220" s="595">
        <v>337210000</v>
      </c>
      <c r="F220" s="595">
        <v>370264395.66000003</v>
      </c>
      <c r="G220" s="595">
        <v>2029518169.48</v>
      </c>
      <c r="H220" s="596">
        <v>0</v>
      </c>
      <c r="I220" s="594" t="s">
        <v>854</v>
      </c>
    </row>
    <row r="221" spans="1:9" ht="17.100000000000001" customHeight="1">
      <c r="A221" s="594">
        <v>13010221</v>
      </c>
      <c r="B221" s="594" t="s">
        <v>855</v>
      </c>
      <c r="C221" s="595">
        <v>2576810878.9299998</v>
      </c>
      <c r="D221" s="596">
        <v>0</v>
      </c>
      <c r="E221" s="595">
        <v>105114385.66</v>
      </c>
      <c r="F221" s="595">
        <v>157832170.22</v>
      </c>
      <c r="G221" s="595">
        <v>2524093094.3699999</v>
      </c>
      <c r="H221" s="596">
        <v>0</v>
      </c>
      <c r="I221" s="594" t="s">
        <v>856</v>
      </c>
    </row>
    <row r="222" spans="1:9" ht="17.100000000000001" customHeight="1">
      <c r="A222" s="594">
        <v>13010226</v>
      </c>
      <c r="B222" s="594" t="s">
        <v>857</v>
      </c>
      <c r="C222" s="595">
        <v>49007967.100000001</v>
      </c>
      <c r="D222" s="596">
        <v>0</v>
      </c>
      <c r="E222" s="595">
        <v>85000000</v>
      </c>
      <c r="F222" s="595">
        <v>376610.98</v>
      </c>
      <c r="G222" s="595">
        <v>133631356.12</v>
      </c>
      <c r="H222" s="596">
        <v>0</v>
      </c>
      <c r="I222" s="594" t="s">
        <v>858</v>
      </c>
    </row>
    <row r="223" spans="1:9" ht="17.100000000000001" customHeight="1">
      <c r="A223" s="594">
        <v>1303</v>
      </c>
      <c r="B223" s="594" t="s">
        <v>860</v>
      </c>
      <c r="C223" s="595">
        <v>7291728760.6899996</v>
      </c>
      <c r="D223" s="596">
        <v>0</v>
      </c>
      <c r="E223" s="595">
        <v>212040000</v>
      </c>
      <c r="F223" s="595">
        <v>237104402.06999999</v>
      </c>
      <c r="G223" s="595">
        <v>7266664358.6199999</v>
      </c>
      <c r="H223" s="596">
        <v>0</v>
      </c>
      <c r="I223" s="594" t="s">
        <v>861</v>
      </c>
    </row>
    <row r="224" spans="1:9" ht="17.100000000000001" customHeight="1">
      <c r="A224" s="594">
        <v>130301</v>
      </c>
      <c r="B224" s="594" t="s">
        <v>862</v>
      </c>
      <c r="C224" s="595">
        <v>5059111872.8100004</v>
      </c>
      <c r="D224" s="596">
        <v>0</v>
      </c>
      <c r="E224" s="595">
        <v>156400000</v>
      </c>
      <c r="F224" s="595">
        <v>159794104.25999999</v>
      </c>
      <c r="G224" s="595">
        <v>5055717768.5500002</v>
      </c>
      <c r="H224" s="596">
        <v>0</v>
      </c>
      <c r="I224" s="594" t="s">
        <v>863</v>
      </c>
    </row>
    <row r="225" spans="1:9" ht="17.100000000000001" customHeight="1">
      <c r="A225" s="594">
        <v>13030101</v>
      </c>
      <c r="B225" s="594" t="s">
        <v>864</v>
      </c>
      <c r="C225" s="595">
        <v>2339792438.7199998</v>
      </c>
      <c r="D225" s="596">
        <v>0</v>
      </c>
      <c r="E225" s="595">
        <v>104400000</v>
      </c>
      <c r="F225" s="595">
        <v>134788400</v>
      </c>
      <c r="G225" s="595">
        <v>2309404038.7199998</v>
      </c>
      <c r="H225" s="596">
        <v>0</v>
      </c>
      <c r="I225" s="594" t="s">
        <v>865</v>
      </c>
    </row>
    <row r="226" spans="1:9" ht="17.100000000000001" customHeight="1">
      <c r="A226" s="594">
        <v>13030106</v>
      </c>
      <c r="B226" s="594" t="s">
        <v>4206</v>
      </c>
      <c r="C226" s="595">
        <v>2719319434.0900002</v>
      </c>
      <c r="D226" s="596">
        <v>0</v>
      </c>
      <c r="E226" s="595">
        <v>52000000</v>
      </c>
      <c r="F226" s="595">
        <v>25005704.260000002</v>
      </c>
      <c r="G226" s="595">
        <v>2746313729.8299999</v>
      </c>
      <c r="H226" s="596">
        <v>0</v>
      </c>
      <c r="I226" s="594" t="s">
        <v>867</v>
      </c>
    </row>
    <row r="227" spans="1:9" ht="17.100000000000001" customHeight="1">
      <c r="A227" s="594">
        <v>130302</v>
      </c>
      <c r="B227" s="594" t="s">
        <v>868</v>
      </c>
      <c r="C227" s="595">
        <v>2232616887.8800001</v>
      </c>
      <c r="D227" s="596">
        <v>0</v>
      </c>
      <c r="E227" s="595">
        <v>55640000</v>
      </c>
      <c r="F227" s="595">
        <v>77310297.810000002</v>
      </c>
      <c r="G227" s="595">
        <v>2210946590.0700002</v>
      </c>
      <c r="H227" s="596">
        <v>0</v>
      </c>
      <c r="I227" s="594" t="s">
        <v>869</v>
      </c>
    </row>
    <row r="228" spans="1:9" ht="17.100000000000001" customHeight="1">
      <c r="A228" s="594">
        <v>13030201</v>
      </c>
      <c r="B228" s="594" t="s">
        <v>870</v>
      </c>
      <c r="C228" s="595">
        <v>13950000</v>
      </c>
      <c r="D228" s="596">
        <v>0</v>
      </c>
      <c r="E228" s="595">
        <v>3290000</v>
      </c>
      <c r="F228" s="595">
        <v>500000</v>
      </c>
      <c r="G228" s="595">
        <v>16740000</v>
      </c>
      <c r="H228" s="596">
        <v>0</v>
      </c>
      <c r="I228" s="594" t="s">
        <v>871</v>
      </c>
    </row>
    <row r="229" spans="1:9" ht="17.100000000000001" customHeight="1">
      <c r="A229" s="594">
        <v>13030206</v>
      </c>
      <c r="B229" s="594" t="s">
        <v>872</v>
      </c>
      <c r="C229" s="595">
        <v>959312814.38999999</v>
      </c>
      <c r="D229" s="596">
        <v>0</v>
      </c>
      <c r="E229" s="595">
        <v>6350000</v>
      </c>
      <c r="F229" s="595">
        <v>57128179.75</v>
      </c>
      <c r="G229" s="595">
        <v>908534634.63999999</v>
      </c>
      <c r="H229" s="596">
        <v>0</v>
      </c>
      <c r="I229" s="594" t="s">
        <v>873</v>
      </c>
    </row>
    <row r="230" spans="1:9" ht="17.100000000000001" customHeight="1">
      <c r="A230" s="594">
        <v>13030211</v>
      </c>
      <c r="B230" s="594" t="s">
        <v>874</v>
      </c>
      <c r="C230" s="595">
        <v>1259354073.49</v>
      </c>
      <c r="D230" s="596">
        <v>0</v>
      </c>
      <c r="E230" s="595">
        <v>46000000</v>
      </c>
      <c r="F230" s="595">
        <v>19682118.059999999</v>
      </c>
      <c r="G230" s="595">
        <v>1285671955.4300001</v>
      </c>
      <c r="H230" s="596">
        <v>0</v>
      </c>
      <c r="I230" s="594" t="s">
        <v>875</v>
      </c>
    </row>
    <row r="231" spans="1:9" ht="17.100000000000001" customHeight="1">
      <c r="A231" s="594">
        <v>1304</v>
      </c>
      <c r="B231" s="594" t="s">
        <v>876</v>
      </c>
      <c r="C231" s="595">
        <v>204792158455.72</v>
      </c>
      <c r="D231" s="596">
        <v>0</v>
      </c>
      <c r="E231" s="595">
        <v>17556879046.91</v>
      </c>
      <c r="F231" s="595">
        <v>8792757090.7600002</v>
      </c>
      <c r="G231" s="595">
        <v>213556280411.87</v>
      </c>
      <c r="H231" s="596">
        <v>0</v>
      </c>
      <c r="I231" s="594" t="s">
        <v>877</v>
      </c>
    </row>
    <row r="232" spans="1:9" ht="28.5" customHeight="1">
      <c r="A232" s="320"/>
      <c r="B232" s="320"/>
      <c r="C232" s="320"/>
      <c r="D232" s="557" t="s">
        <v>4198</v>
      </c>
      <c r="E232" s="320" t="s">
        <v>3721</v>
      </c>
      <c r="F232" s="320"/>
      <c r="G232" s="320"/>
      <c r="H232" s="320"/>
      <c r="I232" s="320"/>
    </row>
    <row r="233" spans="1:9">
      <c r="A233" s="671"/>
      <c r="B233" s="671"/>
      <c r="C233" s="671"/>
      <c r="D233" s="671"/>
      <c r="E233" s="671"/>
      <c r="F233" s="671"/>
      <c r="G233" s="671"/>
      <c r="H233" s="671"/>
      <c r="I233" s="671"/>
    </row>
    <row r="234" spans="1:9" ht="24.75">
      <c r="A234" s="320"/>
      <c r="B234" s="320"/>
      <c r="C234" s="589" t="s">
        <v>3707</v>
      </c>
      <c r="D234" s="320"/>
      <c r="E234" s="320"/>
      <c r="F234" s="671"/>
      <c r="G234" s="671"/>
      <c r="H234" s="671"/>
      <c r="I234" s="671"/>
    </row>
    <row r="235" spans="1:9" ht="17.25">
      <c r="A235" s="590" t="s">
        <v>3708</v>
      </c>
      <c r="B235" s="590"/>
      <c r="C235" s="597">
        <v>42887</v>
      </c>
      <c r="D235" s="590"/>
      <c r="E235" s="557" t="s">
        <v>3709</v>
      </c>
      <c r="F235" s="671"/>
      <c r="G235" s="671"/>
      <c r="H235" s="671"/>
      <c r="I235" s="671"/>
    </row>
    <row r="236" spans="1:9" ht="28.5" customHeight="1">
      <c r="A236" s="593" t="s">
        <v>596</v>
      </c>
      <c r="B236" s="593" t="s">
        <v>597</v>
      </c>
      <c r="C236" s="593" t="s">
        <v>3710</v>
      </c>
      <c r="D236" s="593" t="s">
        <v>3711</v>
      </c>
      <c r="E236" s="593" t="s">
        <v>3712</v>
      </c>
      <c r="F236" s="593" t="s">
        <v>3713</v>
      </c>
      <c r="G236" s="593" t="s">
        <v>3714</v>
      </c>
      <c r="H236" s="593" t="s">
        <v>3715</v>
      </c>
      <c r="I236" s="593" t="s">
        <v>596</v>
      </c>
    </row>
    <row r="237" spans="1:9" ht="17.100000000000001" customHeight="1">
      <c r="A237" s="594">
        <v>130401</v>
      </c>
      <c r="B237" s="594" t="s">
        <v>878</v>
      </c>
      <c r="C237" s="595">
        <v>46420035554</v>
      </c>
      <c r="D237" s="596">
        <v>0</v>
      </c>
      <c r="E237" s="595">
        <v>2185265513.1700001</v>
      </c>
      <c r="F237" s="595">
        <v>773914394.07000005</v>
      </c>
      <c r="G237" s="595">
        <v>47831386673.099998</v>
      </c>
      <c r="H237" s="596">
        <v>0</v>
      </c>
      <c r="I237" s="594" t="s">
        <v>879</v>
      </c>
    </row>
    <row r="238" spans="1:9" ht="17.100000000000001" customHeight="1">
      <c r="A238" s="594">
        <v>13040101</v>
      </c>
      <c r="B238" s="594" t="s">
        <v>880</v>
      </c>
      <c r="C238" s="595">
        <v>256630800.22999999</v>
      </c>
      <c r="D238" s="596">
        <v>0</v>
      </c>
      <c r="E238" s="595">
        <v>43554599.990000002</v>
      </c>
      <c r="F238" s="595">
        <v>57260568.479999997</v>
      </c>
      <c r="G238" s="595">
        <v>242924831.74000001</v>
      </c>
      <c r="H238" s="596">
        <v>0</v>
      </c>
      <c r="I238" s="594" t="s">
        <v>881</v>
      </c>
    </row>
    <row r="239" spans="1:9" ht="17.100000000000001" customHeight="1">
      <c r="A239" s="594">
        <v>13040106</v>
      </c>
      <c r="B239" s="594" t="s">
        <v>882</v>
      </c>
      <c r="C239" s="595">
        <v>6384371827.9700003</v>
      </c>
      <c r="D239" s="596">
        <v>0</v>
      </c>
      <c r="E239" s="595">
        <v>314994913.18000001</v>
      </c>
      <c r="F239" s="595">
        <v>239701231.59</v>
      </c>
      <c r="G239" s="595">
        <v>6459665509.5600004</v>
      </c>
      <c r="H239" s="596">
        <v>0</v>
      </c>
      <c r="I239" s="594" t="s">
        <v>883</v>
      </c>
    </row>
    <row r="240" spans="1:9" ht="17.100000000000001" customHeight="1">
      <c r="A240" s="594">
        <v>13040111</v>
      </c>
      <c r="B240" s="594" t="s">
        <v>884</v>
      </c>
      <c r="C240" s="595">
        <v>39779032925.800003</v>
      </c>
      <c r="D240" s="596">
        <v>0</v>
      </c>
      <c r="E240" s="595">
        <v>1826716000</v>
      </c>
      <c r="F240" s="595">
        <v>476952594</v>
      </c>
      <c r="G240" s="595">
        <v>41128796331.800003</v>
      </c>
      <c r="H240" s="596">
        <v>0</v>
      </c>
      <c r="I240" s="594" t="s">
        <v>885</v>
      </c>
    </row>
    <row r="241" spans="1:9" ht="17.100000000000001" customHeight="1">
      <c r="A241" s="594">
        <v>130402</v>
      </c>
      <c r="B241" s="594" t="s">
        <v>886</v>
      </c>
      <c r="C241" s="595">
        <v>13689087162.860001</v>
      </c>
      <c r="D241" s="596">
        <v>0</v>
      </c>
      <c r="E241" s="595">
        <v>1189123896.27</v>
      </c>
      <c r="F241" s="595">
        <v>1387492726.8299999</v>
      </c>
      <c r="G241" s="595">
        <v>13490718332.299999</v>
      </c>
      <c r="H241" s="596">
        <v>0</v>
      </c>
      <c r="I241" s="594" t="s">
        <v>887</v>
      </c>
    </row>
    <row r="242" spans="1:9" ht="17.100000000000001" customHeight="1">
      <c r="A242" s="594">
        <v>13040201</v>
      </c>
      <c r="B242" s="594" t="s">
        <v>888</v>
      </c>
      <c r="C242" s="595">
        <v>6967629642.0500002</v>
      </c>
      <c r="D242" s="596">
        <v>0</v>
      </c>
      <c r="E242" s="595">
        <v>838752100</v>
      </c>
      <c r="F242" s="595">
        <v>981090544.26999998</v>
      </c>
      <c r="G242" s="595">
        <v>6825291197.7799997</v>
      </c>
      <c r="H242" s="596">
        <v>0</v>
      </c>
      <c r="I242" s="594" t="s">
        <v>889</v>
      </c>
    </row>
    <row r="243" spans="1:9" ht="17.100000000000001" customHeight="1">
      <c r="A243" s="594">
        <v>13040206</v>
      </c>
      <c r="B243" s="594" t="s">
        <v>890</v>
      </c>
      <c r="C243" s="595">
        <v>6548216591.7700005</v>
      </c>
      <c r="D243" s="596">
        <v>0</v>
      </c>
      <c r="E243" s="595">
        <v>330671796.26999998</v>
      </c>
      <c r="F243" s="595">
        <v>403215572.07999998</v>
      </c>
      <c r="G243" s="595">
        <v>6475672815.96</v>
      </c>
      <c r="H243" s="596">
        <v>0</v>
      </c>
      <c r="I243" s="594" t="s">
        <v>891</v>
      </c>
    </row>
    <row r="244" spans="1:9" ht="17.100000000000001" customHeight="1">
      <c r="A244" s="594">
        <v>13040211</v>
      </c>
      <c r="B244" s="594" t="s">
        <v>892</v>
      </c>
      <c r="C244" s="595">
        <v>173240929.03999999</v>
      </c>
      <c r="D244" s="596">
        <v>0</v>
      </c>
      <c r="E244" s="595">
        <v>19700000</v>
      </c>
      <c r="F244" s="595">
        <v>3186610.48</v>
      </c>
      <c r="G244" s="595">
        <v>189754318.56</v>
      </c>
      <c r="H244" s="596">
        <v>0</v>
      </c>
      <c r="I244" s="594" t="s">
        <v>893</v>
      </c>
    </row>
    <row r="245" spans="1:9" ht="17.100000000000001" customHeight="1">
      <c r="A245" s="594">
        <v>130403</v>
      </c>
      <c r="B245" s="594" t="s">
        <v>894</v>
      </c>
      <c r="C245" s="595">
        <v>76462965787.320007</v>
      </c>
      <c r="D245" s="596">
        <v>0</v>
      </c>
      <c r="E245" s="595">
        <v>10225032004.5</v>
      </c>
      <c r="F245" s="595">
        <v>5781776291.5200005</v>
      </c>
      <c r="G245" s="595">
        <v>80906221500.300003</v>
      </c>
      <c r="H245" s="596">
        <v>0</v>
      </c>
      <c r="I245" s="594" t="s">
        <v>895</v>
      </c>
    </row>
    <row r="246" spans="1:9" ht="17.100000000000001" customHeight="1">
      <c r="A246" s="594">
        <v>13040301</v>
      </c>
      <c r="B246" s="594" t="s">
        <v>896</v>
      </c>
      <c r="C246" s="595">
        <v>42980459029.980003</v>
      </c>
      <c r="D246" s="596">
        <v>0</v>
      </c>
      <c r="E246" s="595">
        <v>8531275926.0699997</v>
      </c>
      <c r="F246" s="595">
        <v>4912495691.75</v>
      </c>
      <c r="G246" s="595">
        <v>46599239264.300003</v>
      </c>
      <c r="H246" s="596">
        <v>0</v>
      </c>
      <c r="I246" s="594" t="s">
        <v>897</v>
      </c>
    </row>
    <row r="247" spans="1:9" ht="17.100000000000001" customHeight="1">
      <c r="A247" s="594">
        <v>13040306</v>
      </c>
      <c r="B247" s="594" t="s">
        <v>898</v>
      </c>
      <c r="C247" s="595">
        <v>33482506757.34</v>
      </c>
      <c r="D247" s="596">
        <v>0</v>
      </c>
      <c r="E247" s="595">
        <v>1693756078.4300001</v>
      </c>
      <c r="F247" s="595">
        <v>869280599.76999998</v>
      </c>
      <c r="G247" s="595">
        <v>34306982236</v>
      </c>
      <c r="H247" s="596">
        <v>0</v>
      </c>
      <c r="I247" s="594" t="s">
        <v>899</v>
      </c>
    </row>
    <row r="248" spans="1:9" ht="17.100000000000001" customHeight="1">
      <c r="A248" s="594">
        <v>130404</v>
      </c>
      <c r="B248" s="594" t="s">
        <v>900</v>
      </c>
      <c r="C248" s="595">
        <v>62851337735.779999</v>
      </c>
      <c r="D248" s="596">
        <v>0</v>
      </c>
      <c r="E248" s="595">
        <v>3412152733.2600002</v>
      </c>
      <c r="F248" s="595">
        <v>534256677.13</v>
      </c>
      <c r="G248" s="595">
        <v>65729233791.910004</v>
      </c>
      <c r="H248" s="596">
        <v>0</v>
      </c>
      <c r="I248" s="594" t="s">
        <v>901</v>
      </c>
    </row>
    <row r="249" spans="1:9" ht="17.100000000000001" customHeight="1">
      <c r="A249" s="594">
        <v>13040401</v>
      </c>
      <c r="B249" s="594" t="s">
        <v>902</v>
      </c>
      <c r="C249" s="595">
        <v>963079732.47000003</v>
      </c>
      <c r="D249" s="596">
        <v>0</v>
      </c>
      <c r="E249" s="595">
        <v>4800000</v>
      </c>
      <c r="F249" s="595">
        <v>744800</v>
      </c>
      <c r="G249" s="595">
        <v>967134932.47000003</v>
      </c>
      <c r="H249" s="596">
        <v>0</v>
      </c>
      <c r="I249" s="594" t="s">
        <v>903</v>
      </c>
    </row>
    <row r="250" spans="1:9" ht="17.100000000000001" customHeight="1">
      <c r="A250" s="594">
        <v>13040406</v>
      </c>
      <c r="B250" s="594" t="s">
        <v>904</v>
      </c>
      <c r="C250" s="595">
        <v>28111848726.75</v>
      </c>
      <c r="D250" s="596">
        <v>0</v>
      </c>
      <c r="E250" s="595">
        <v>2568282733.2600002</v>
      </c>
      <c r="F250" s="595">
        <v>231782606.78</v>
      </c>
      <c r="G250" s="595">
        <v>30448348853.23</v>
      </c>
      <c r="H250" s="596">
        <v>0</v>
      </c>
      <c r="I250" s="594" t="s">
        <v>905</v>
      </c>
    </row>
    <row r="251" spans="1:9" ht="17.100000000000001" customHeight="1">
      <c r="A251" s="594">
        <v>13040411</v>
      </c>
      <c r="B251" s="594" t="s">
        <v>906</v>
      </c>
      <c r="C251" s="595">
        <v>33776409276.560001</v>
      </c>
      <c r="D251" s="596">
        <v>0</v>
      </c>
      <c r="E251" s="595">
        <v>839070000</v>
      </c>
      <c r="F251" s="595">
        <v>301729270.35000002</v>
      </c>
      <c r="G251" s="595">
        <v>34313750006.209999</v>
      </c>
      <c r="H251" s="596">
        <v>0</v>
      </c>
      <c r="I251" s="594" t="s">
        <v>907</v>
      </c>
    </row>
    <row r="252" spans="1:9" ht="17.100000000000001" customHeight="1">
      <c r="A252" s="594">
        <v>130405</v>
      </c>
      <c r="B252" s="594" t="s">
        <v>908</v>
      </c>
      <c r="C252" s="595">
        <v>5368732215.7600002</v>
      </c>
      <c r="D252" s="596">
        <v>0</v>
      </c>
      <c r="E252" s="595">
        <v>545304899.71000004</v>
      </c>
      <c r="F252" s="595">
        <v>315317001.20999998</v>
      </c>
      <c r="G252" s="595">
        <v>5598720114.2600002</v>
      </c>
      <c r="H252" s="596">
        <v>0</v>
      </c>
      <c r="I252" s="594" t="s">
        <v>909</v>
      </c>
    </row>
    <row r="253" spans="1:9" ht="17.100000000000001" customHeight="1">
      <c r="A253" s="594">
        <v>13040501</v>
      </c>
      <c r="B253" s="594" t="s">
        <v>910</v>
      </c>
      <c r="C253" s="595">
        <v>3234571496.46</v>
      </c>
      <c r="D253" s="596">
        <v>0</v>
      </c>
      <c r="E253" s="595">
        <v>459050000</v>
      </c>
      <c r="F253" s="595">
        <v>220522500</v>
      </c>
      <c r="G253" s="595">
        <v>3473098996.46</v>
      </c>
      <c r="H253" s="596">
        <v>0</v>
      </c>
      <c r="I253" s="594" t="s">
        <v>911</v>
      </c>
    </row>
    <row r="254" spans="1:9" ht="17.100000000000001" customHeight="1">
      <c r="A254" s="594">
        <v>13040506</v>
      </c>
      <c r="B254" s="594" t="s">
        <v>912</v>
      </c>
      <c r="C254" s="595">
        <v>1469902907.0999999</v>
      </c>
      <c r="D254" s="596">
        <v>0</v>
      </c>
      <c r="E254" s="595">
        <v>86254899.709999993</v>
      </c>
      <c r="F254" s="595">
        <v>92478182.920000002</v>
      </c>
      <c r="G254" s="595">
        <v>1463679623.8900001</v>
      </c>
      <c r="H254" s="596">
        <v>0</v>
      </c>
      <c r="I254" s="594" t="s">
        <v>913</v>
      </c>
    </row>
    <row r="255" spans="1:9" ht="17.100000000000001" customHeight="1">
      <c r="A255" s="594">
        <v>13040511</v>
      </c>
      <c r="B255" s="594" t="s">
        <v>914</v>
      </c>
      <c r="C255" s="595">
        <v>664257812.20000005</v>
      </c>
      <c r="D255" s="596">
        <v>0</v>
      </c>
      <c r="E255" s="596">
        <v>0</v>
      </c>
      <c r="F255" s="595">
        <v>2316318.29</v>
      </c>
      <c r="G255" s="595">
        <v>661941493.90999997</v>
      </c>
      <c r="H255" s="596">
        <v>0</v>
      </c>
      <c r="I255" s="594" t="s">
        <v>915</v>
      </c>
    </row>
    <row r="256" spans="1:9" ht="17.100000000000001" customHeight="1">
      <c r="A256" s="594">
        <v>1305</v>
      </c>
      <c r="B256" s="594" t="s">
        <v>494</v>
      </c>
      <c r="C256" s="595">
        <v>7068647562.1300001</v>
      </c>
      <c r="D256" s="596">
        <v>0</v>
      </c>
      <c r="E256" s="595">
        <v>4985922303.7200003</v>
      </c>
      <c r="F256" s="595">
        <v>4874004023.9399996</v>
      </c>
      <c r="G256" s="595">
        <v>7180565841.9099998</v>
      </c>
      <c r="H256" s="596">
        <v>0</v>
      </c>
      <c r="I256" s="594" t="s">
        <v>916</v>
      </c>
    </row>
    <row r="257" spans="1:9" ht="17.100000000000001" customHeight="1">
      <c r="A257" s="594">
        <v>130502</v>
      </c>
      <c r="B257" s="594" t="s">
        <v>917</v>
      </c>
      <c r="C257" s="595">
        <v>5127672549.0200005</v>
      </c>
      <c r="D257" s="596">
        <v>0</v>
      </c>
      <c r="E257" s="595">
        <v>4694257558.5100002</v>
      </c>
      <c r="F257" s="595">
        <v>4566273147.5799999</v>
      </c>
      <c r="G257" s="595">
        <v>5255656959.9499998</v>
      </c>
      <c r="H257" s="596">
        <v>0</v>
      </c>
      <c r="I257" s="594" t="s">
        <v>918</v>
      </c>
    </row>
    <row r="258" spans="1:9" ht="17.100000000000001" customHeight="1">
      <c r="A258" s="594">
        <v>13050201</v>
      </c>
      <c r="B258" s="594" t="s">
        <v>919</v>
      </c>
      <c r="C258" s="595">
        <v>4855751687.5200005</v>
      </c>
      <c r="D258" s="596">
        <v>0</v>
      </c>
      <c r="E258" s="595">
        <v>4517468965.9799995</v>
      </c>
      <c r="F258" s="595">
        <v>4405591889.5100002</v>
      </c>
      <c r="G258" s="595">
        <v>4967628763.9899998</v>
      </c>
      <c r="H258" s="596">
        <v>0</v>
      </c>
      <c r="I258" s="594" t="s">
        <v>920</v>
      </c>
    </row>
    <row r="259" spans="1:9" ht="17.100000000000001" customHeight="1">
      <c r="A259" s="594">
        <v>13050203</v>
      </c>
      <c r="B259" s="594" t="s">
        <v>921</v>
      </c>
      <c r="C259" s="595">
        <v>242790628.83000001</v>
      </c>
      <c r="D259" s="596">
        <v>0</v>
      </c>
      <c r="E259" s="595">
        <v>9411361.6600000001</v>
      </c>
      <c r="F259" s="596">
        <v>0</v>
      </c>
      <c r="G259" s="595">
        <v>252201990.49000001</v>
      </c>
      <c r="H259" s="596">
        <v>0</v>
      </c>
      <c r="I259" s="594" t="s">
        <v>922</v>
      </c>
    </row>
    <row r="260" spans="1:9" ht="17.100000000000001" customHeight="1">
      <c r="A260" s="594">
        <v>13050206</v>
      </c>
      <c r="B260" s="594" t="s">
        <v>923</v>
      </c>
      <c r="C260" s="595">
        <v>29130232.670000002</v>
      </c>
      <c r="D260" s="596">
        <v>0</v>
      </c>
      <c r="E260" s="595">
        <v>167377230.87</v>
      </c>
      <c r="F260" s="595">
        <v>160681258.06999999</v>
      </c>
      <c r="G260" s="595">
        <v>35826205.469999999</v>
      </c>
      <c r="H260" s="596">
        <v>0</v>
      </c>
      <c r="I260" s="594" t="s">
        <v>924</v>
      </c>
    </row>
    <row r="261" spans="1:9" ht="17.100000000000001" customHeight="1">
      <c r="A261" s="594">
        <v>130503</v>
      </c>
      <c r="B261" s="594" t="s">
        <v>925</v>
      </c>
      <c r="C261" s="595">
        <v>1940102478.4300001</v>
      </c>
      <c r="D261" s="596">
        <v>0</v>
      </c>
      <c r="E261" s="595">
        <v>291059767.88</v>
      </c>
      <c r="F261" s="595">
        <v>307347052.77999997</v>
      </c>
      <c r="G261" s="595">
        <v>1923815193.53</v>
      </c>
      <c r="H261" s="596">
        <v>0</v>
      </c>
      <c r="I261" s="594" t="s">
        <v>926</v>
      </c>
    </row>
    <row r="262" spans="1:9" ht="17.100000000000001" customHeight="1">
      <c r="A262" s="594">
        <v>13050301</v>
      </c>
      <c r="B262" s="594" t="s">
        <v>927</v>
      </c>
      <c r="C262" s="595">
        <v>1940102478.4300001</v>
      </c>
      <c r="D262" s="596">
        <v>0</v>
      </c>
      <c r="E262" s="595">
        <v>291059767.88</v>
      </c>
      <c r="F262" s="595">
        <v>307347052.77999997</v>
      </c>
      <c r="G262" s="595">
        <v>1923815193.53</v>
      </c>
      <c r="H262" s="596">
        <v>0</v>
      </c>
      <c r="I262" s="594" t="s">
        <v>928</v>
      </c>
    </row>
    <row r="263" spans="1:9" ht="17.100000000000001" customHeight="1">
      <c r="A263" s="594">
        <v>130504</v>
      </c>
      <c r="B263" s="594" t="s">
        <v>438</v>
      </c>
      <c r="C263" s="595">
        <v>872534.68</v>
      </c>
      <c r="D263" s="596">
        <v>0</v>
      </c>
      <c r="E263" s="595">
        <v>604977.32999999996</v>
      </c>
      <c r="F263" s="595">
        <v>383823.58</v>
      </c>
      <c r="G263" s="595">
        <v>1093688.43</v>
      </c>
      <c r="H263" s="596">
        <v>0</v>
      </c>
      <c r="I263" s="594" t="s">
        <v>929</v>
      </c>
    </row>
    <row r="264" spans="1:9" ht="17.100000000000001" customHeight="1">
      <c r="A264" s="594">
        <v>13050401</v>
      </c>
      <c r="B264" s="594" t="s">
        <v>930</v>
      </c>
      <c r="C264" s="595">
        <v>872534.68</v>
      </c>
      <c r="D264" s="596">
        <v>0</v>
      </c>
      <c r="E264" s="595">
        <v>604977.32999999996</v>
      </c>
      <c r="F264" s="595">
        <v>383823.58</v>
      </c>
      <c r="G264" s="595">
        <v>1093688.43</v>
      </c>
      <c r="H264" s="596">
        <v>0</v>
      </c>
      <c r="I264" s="594" t="s">
        <v>931</v>
      </c>
    </row>
    <row r="265" spans="1:9" ht="17.100000000000001" customHeight="1">
      <c r="A265" s="594">
        <v>1306</v>
      </c>
      <c r="B265" s="594" t="s">
        <v>932</v>
      </c>
      <c r="C265" s="595">
        <v>11769512809.99</v>
      </c>
      <c r="D265" s="596">
        <v>0</v>
      </c>
      <c r="E265" s="595">
        <v>6253414043.9300003</v>
      </c>
      <c r="F265" s="595">
        <v>12770316421.459999</v>
      </c>
      <c r="G265" s="595">
        <v>5252610432.46</v>
      </c>
      <c r="H265" s="596">
        <v>0</v>
      </c>
      <c r="I265" s="594" t="s">
        <v>933</v>
      </c>
    </row>
    <row r="266" spans="1:9" ht="17.100000000000001" customHeight="1">
      <c r="A266" s="594">
        <v>130601</v>
      </c>
      <c r="B266" s="594" t="s">
        <v>403</v>
      </c>
      <c r="C266" s="595">
        <v>8733.33</v>
      </c>
      <c r="D266" s="596">
        <v>0</v>
      </c>
      <c r="E266" s="596">
        <v>0</v>
      </c>
      <c r="F266" s="596">
        <v>0</v>
      </c>
      <c r="G266" s="595">
        <v>8733.33</v>
      </c>
      <c r="H266" s="596">
        <v>0</v>
      </c>
      <c r="I266" s="594" t="s">
        <v>3840</v>
      </c>
    </row>
    <row r="267" spans="1:9" ht="17.100000000000001" customHeight="1">
      <c r="A267" s="594">
        <v>13060102</v>
      </c>
      <c r="B267" s="594" t="s">
        <v>3841</v>
      </c>
      <c r="C267" s="595">
        <v>8733.33</v>
      </c>
      <c r="D267" s="596">
        <v>0</v>
      </c>
      <c r="E267" s="596">
        <v>0</v>
      </c>
      <c r="F267" s="596">
        <v>0</v>
      </c>
      <c r="G267" s="595">
        <v>8733.33</v>
      </c>
      <c r="H267" s="596">
        <v>0</v>
      </c>
      <c r="I267" s="594" t="s">
        <v>3842</v>
      </c>
    </row>
    <row r="268" spans="1:9" ht="17.100000000000001" customHeight="1">
      <c r="A268" s="594">
        <v>130602</v>
      </c>
      <c r="B268" s="594" t="s">
        <v>406</v>
      </c>
      <c r="C268" s="596">
        <v>0</v>
      </c>
      <c r="D268" s="596">
        <v>0</v>
      </c>
      <c r="E268" s="595">
        <v>1146870269.99</v>
      </c>
      <c r="F268" s="595">
        <v>1146870269.99</v>
      </c>
      <c r="G268" s="596">
        <v>0</v>
      </c>
      <c r="H268" s="596">
        <v>0</v>
      </c>
      <c r="I268" s="594" t="s">
        <v>3843</v>
      </c>
    </row>
    <row r="269" spans="1:9" ht="17.100000000000001" customHeight="1">
      <c r="A269" s="594">
        <v>13060201</v>
      </c>
      <c r="B269" s="594" t="s">
        <v>3844</v>
      </c>
      <c r="C269" s="596">
        <v>0</v>
      </c>
      <c r="D269" s="596">
        <v>0</v>
      </c>
      <c r="E269" s="595">
        <v>1090000000</v>
      </c>
      <c r="F269" s="595">
        <v>1090000000</v>
      </c>
      <c r="G269" s="596">
        <v>0</v>
      </c>
      <c r="H269" s="596">
        <v>0</v>
      </c>
      <c r="I269" s="594" t="s">
        <v>3845</v>
      </c>
    </row>
    <row r="270" spans="1:9" ht="17.100000000000001" customHeight="1">
      <c r="A270" s="594">
        <v>13060202</v>
      </c>
      <c r="B270" s="594" t="s">
        <v>3846</v>
      </c>
      <c r="C270" s="596">
        <v>0</v>
      </c>
      <c r="D270" s="596">
        <v>0</v>
      </c>
      <c r="E270" s="595">
        <v>56870269.990000002</v>
      </c>
      <c r="F270" s="595">
        <v>56870269.990000002</v>
      </c>
      <c r="G270" s="596">
        <v>0</v>
      </c>
      <c r="H270" s="596">
        <v>0</v>
      </c>
      <c r="I270" s="594" t="s">
        <v>3847</v>
      </c>
    </row>
    <row r="271" spans="1:9" ht="28.5" customHeight="1">
      <c r="A271" s="320"/>
      <c r="B271" s="320"/>
      <c r="C271" s="320"/>
      <c r="D271" s="557" t="s">
        <v>4198</v>
      </c>
      <c r="E271" s="320" t="s">
        <v>3722</v>
      </c>
      <c r="F271" s="320"/>
      <c r="G271" s="320"/>
      <c r="H271" s="320"/>
      <c r="I271" s="320"/>
    </row>
    <row r="272" spans="1:9">
      <c r="A272" s="671"/>
      <c r="B272" s="671"/>
      <c r="C272" s="671"/>
      <c r="D272" s="671"/>
      <c r="E272" s="671"/>
      <c r="F272" s="671"/>
      <c r="G272" s="671"/>
      <c r="H272" s="671"/>
      <c r="I272" s="671"/>
    </row>
    <row r="273" spans="1:9" ht="24.75">
      <c r="A273" s="320"/>
      <c r="B273" s="320"/>
      <c r="C273" s="589" t="s">
        <v>3707</v>
      </c>
      <c r="D273" s="320"/>
      <c r="E273" s="320"/>
      <c r="F273" s="671"/>
      <c r="G273" s="671"/>
      <c r="H273" s="671"/>
      <c r="I273" s="671"/>
    </row>
    <row r="274" spans="1:9" ht="17.25">
      <c r="A274" s="590" t="s">
        <v>3708</v>
      </c>
      <c r="B274" s="590"/>
      <c r="C274" s="597">
        <v>42887</v>
      </c>
      <c r="D274" s="590"/>
      <c r="E274" s="557" t="s">
        <v>3709</v>
      </c>
      <c r="F274" s="671"/>
      <c r="G274" s="671"/>
      <c r="H274" s="671"/>
      <c r="I274" s="671"/>
    </row>
    <row r="275" spans="1:9" ht="28.5" customHeight="1">
      <c r="A275" s="593" t="s">
        <v>596</v>
      </c>
      <c r="B275" s="593" t="s">
        <v>597</v>
      </c>
      <c r="C275" s="593" t="s">
        <v>3710</v>
      </c>
      <c r="D275" s="593" t="s">
        <v>3711</v>
      </c>
      <c r="E275" s="593" t="s">
        <v>3712</v>
      </c>
      <c r="F275" s="593" t="s">
        <v>3713</v>
      </c>
      <c r="G275" s="593" t="s">
        <v>3714</v>
      </c>
      <c r="H275" s="593" t="s">
        <v>3715</v>
      </c>
      <c r="I275" s="593" t="s">
        <v>596</v>
      </c>
    </row>
    <row r="276" spans="1:9" ht="17.100000000000001" customHeight="1">
      <c r="A276" s="594">
        <v>130603</v>
      </c>
      <c r="B276" s="594" t="s">
        <v>473</v>
      </c>
      <c r="C276" s="595">
        <v>5894447584.3699999</v>
      </c>
      <c r="D276" s="596">
        <v>0</v>
      </c>
      <c r="E276" s="595">
        <v>3945043148.3099999</v>
      </c>
      <c r="F276" s="595">
        <v>8446996644.4700003</v>
      </c>
      <c r="G276" s="595">
        <v>1392494088.21</v>
      </c>
      <c r="H276" s="596">
        <v>0</v>
      </c>
      <c r="I276" s="594" t="s">
        <v>934</v>
      </c>
    </row>
    <row r="277" spans="1:9" ht="17.100000000000001" customHeight="1">
      <c r="A277" s="594">
        <v>13060301</v>
      </c>
      <c r="B277" s="594" t="s">
        <v>935</v>
      </c>
      <c r="C277" s="595">
        <v>6014276100.71</v>
      </c>
      <c r="D277" s="596">
        <v>0</v>
      </c>
      <c r="E277" s="595">
        <v>3778671880.8400002</v>
      </c>
      <c r="F277" s="595">
        <v>8362580349.7799997</v>
      </c>
      <c r="G277" s="595">
        <v>1430367631.77</v>
      </c>
      <c r="H277" s="596">
        <v>0</v>
      </c>
      <c r="I277" s="594" t="s">
        <v>936</v>
      </c>
    </row>
    <row r="278" spans="1:9" ht="17.100000000000001" customHeight="1">
      <c r="A278" s="594">
        <v>13060302</v>
      </c>
      <c r="B278" s="594" t="s">
        <v>937</v>
      </c>
      <c r="C278" s="596">
        <v>0</v>
      </c>
      <c r="D278" s="595">
        <v>119828516.34</v>
      </c>
      <c r="E278" s="595">
        <v>166371267.47</v>
      </c>
      <c r="F278" s="595">
        <v>84416294.689999998</v>
      </c>
      <c r="G278" s="596">
        <v>0</v>
      </c>
      <c r="H278" s="595">
        <v>37873543.560000002</v>
      </c>
      <c r="I278" s="594" t="s">
        <v>938</v>
      </c>
    </row>
    <row r="279" spans="1:9" ht="17.100000000000001" customHeight="1">
      <c r="A279" s="594">
        <v>130604</v>
      </c>
      <c r="B279" s="594" t="s">
        <v>474</v>
      </c>
      <c r="C279" s="595">
        <v>2988728350.02</v>
      </c>
      <c r="D279" s="596">
        <v>0</v>
      </c>
      <c r="E279" s="595">
        <v>9909195.5199999996</v>
      </c>
      <c r="F279" s="595">
        <v>314849229.83999997</v>
      </c>
      <c r="G279" s="595">
        <v>2683788315.6999998</v>
      </c>
      <c r="H279" s="596">
        <v>0</v>
      </c>
      <c r="I279" s="594" t="s">
        <v>939</v>
      </c>
    </row>
    <row r="280" spans="1:9" ht="17.100000000000001" customHeight="1">
      <c r="A280" s="594">
        <v>13060401</v>
      </c>
      <c r="B280" s="594" t="s">
        <v>940</v>
      </c>
      <c r="C280" s="595">
        <v>3031582709.0900002</v>
      </c>
      <c r="D280" s="596">
        <v>0</v>
      </c>
      <c r="E280" s="596">
        <v>0</v>
      </c>
      <c r="F280" s="595">
        <v>314849229.83999997</v>
      </c>
      <c r="G280" s="595">
        <v>2716733479.25</v>
      </c>
      <c r="H280" s="596">
        <v>0</v>
      </c>
      <c r="I280" s="594" t="s">
        <v>941</v>
      </c>
    </row>
    <row r="281" spans="1:9" ht="17.100000000000001" customHeight="1">
      <c r="A281" s="594">
        <v>13060402</v>
      </c>
      <c r="B281" s="594" t="s">
        <v>942</v>
      </c>
      <c r="C281" s="596">
        <v>0</v>
      </c>
      <c r="D281" s="595">
        <v>42854359.07</v>
      </c>
      <c r="E281" s="595">
        <v>9909195.5199999996</v>
      </c>
      <c r="F281" s="596">
        <v>0</v>
      </c>
      <c r="G281" s="596">
        <v>0</v>
      </c>
      <c r="H281" s="595">
        <v>32945163.550000001</v>
      </c>
      <c r="I281" s="594" t="s">
        <v>943</v>
      </c>
    </row>
    <row r="282" spans="1:9" ht="17.100000000000001" customHeight="1">
      <c r="A282" s="594">
        <v>130605</v>
      </c>
      <c r="B282" s="594" t="s">
        <v>944</v>
      </c>
      <c r="C282" s="595">
        <v>617852293.91999996</v>
      </c>
      <c r="D282" s="596">
        <v>0</v>
      </c>
      <c r="E282" s="595">
        <v>7393692.2599999998</v>
      </c>
      <c r="F282" s="595">
        <v>412917152.16000003</v>
      </c>
      <c r="G282" s="595">
        <v>212328834.02000001</v>
      </c>
      <c r="H282" s="596">
        <v>0</v>
      </c>
      <c r="I282" s="594" t="s">
        <v>945</v>
      </c>
    </row>
    <row r="283" spans="1:9" ht="17.100000000000001" customHeight="1">
      <c r="A283" s="594">
        <v>13060501</v>
      </c>
      <c r="B283" s="594" t="s">
        <v>946</v>
      </c>
      <c r="C283" s="595">
        <v>628570911.59000003</v>
      </c>
      <c r="D283" s="596">
        <v>0</v>
      </c>
      <c r="E283" s="596">
        <v>0</v>
      </c>
      <c r="F283" s="595">
        <v>412917152.16000003</v>
      </c>
      <c r="G283" s="595">
        <v>215653759.43000001</v>
      </c>
      <c r="H283" s="596">
        <v>0</v>
      </c>
      <c r="I283" s="594" t="s">
        <v>947</v>
      </c>
    </row>
    <row r="284" spans="1:9" ht="17.100000000000001" customHeight="1">
      <c r="A284" s="594">
        <v>13060502</v>
      </c>
      <c r="B284" s="594" t="s">
        <v>948</v>
      </c>
      <c r="C284" s="596">
        <v>0</v>
      </c>
      <c r="D284" s="595">
        <v>10718617.67</v>
      </c>
      <c r="E284" s="595">
        <v>7393692.2599999998</v>
      </c>
      <c r="F284" s="596">
        <v>0</v>
      </c>
      <c r="G284" s="596">
        <v>0</v>
      </c>
      <c r="H284" s="595">
        <v>3324925.41</v>
      </c>
      <c r="I284" s="594" t="s">
        <v>949</v>
      </c>
    </row>
    <row r="285" spans="1:9" ht="17.100000000000001" customHeight="1">
      <c r="A285" s="594">
        <v>130606</v>
      </c>
      <c r="B285" s="594" t="s">
        <v>950</v>
      </c>
      <c r="C285" s="595">
        <v>2268475848.3499999</v>
      </c>
      <c r="D285" s="596">
        <v>0</v>
      </c>
      <c r="E285" s="595">
        <v>1144197737.8499999</v>
      </c>
      <c r="F285" s="595">
        <v>2448683125</v>
      </c>
      <c r="G285" s="595">
        <v>963990461.20000005</v>
      </c>
      <c r="H285" s="596">
        <v>0</v>
      </c>
      <c r="I285" s="594" t="s">
        <v>951</v>
      </c>
    </row>
    <row r="286" spans="1:9" ht="17.100000000000001" customHeight="1">
      <c r="A286" s="594">
        <v>13060601</v>
      </c>
      <c r="B286" s="594" t="s">
        <v>952</v>
      </c>
      <c r="C286" s="595">
        <v>2310000000</v>
      </c>
      <c r="D286" s="596">
        <v>0</v>
      </c>
      <c r="E286" s="595">
        <v>1090000000</v>
      </c>
      <c r="F286" s="595">
        <v>2402000000</v>
      </c>
      <c r="G286" s="595">
        <v>998000000</v>
      </c>
      <c r="H286" s="596">
        <v>0</v>
      </c>
      <c r="I286" s="594" t="s">
        <v>953</v>
      </c>
    </row>
    <row r="287" spans="1:9" ht="17.100000000000001" customHeight="1">
      <c r="A287" s="594">
        <v>13060602</v>
      </c>
      <c r="B287" s="594" t="s">
        <v>954</v>
      </c>
      <c r="C287" s="596">
        <v>0</v>
      </c>
      <c r="D287" s="595">
        <v>41524151.649999999</v>
      </c>
      <c r="E287" s="595">
        <v>54197737.850000001</v>
      </c>
      <c r="F287" s="595">
        <v>46683125</v>
      </c>
      <c r="G287" s="596">
        <v>0</v>
      </c>
      <c r="H287" s="595">
        <v>34009538.799999997</v>
      </c>
      <c r="I287" s="594" t="s">
        <v>955</v>
      </c>
    </row>
    <row r="288" spans="1:9" ht="17.100000000000001" customHeight="1">
      <c r="A288" s="594">
        <v>1307</v>
      </c>
      <c r="B288" s="594" t="s">
        <v>956</v>
      </c>
      <c r="C288" s="595">
        <v>1524347384.8900001</v>
      </c>
      <c r="D288" s="596">
        <v>0</v>
      </c>
      <c r="E288" s="595">
        <v>74764261.030000001</v>
      </c>
      <c r="F288" s="595">
        <v>6251903.0099999998</v>
      </c>
      <c r="G288" s="595">
        <v>1592859742.9100001</v>
      </c>
      <c r="H288" s="596">
        <v>0</v>
      </c>
      <c r="I288" s="594" t="s">
        <v>957</v>
      </c>
    </row>
    <row r="289" spans="1:9" ht="17.100000000000001" customHeight="1">
      <c r="A289" s="594">
        <v>130701</v>
      </c>
      <c r="B289" s="594" t="s">
        <v>958</v>
      </c>
      <c r="C289" s="595">
        <v>111742105.55</v>
      </c>
      <c r="D289" s="596">
        <v>0</v>
      </c>
      <c r="E289" s="596">
        <v>0</v>
      </c>
      <c r="F289" s="595">
        <v>6053982.21</v>
      </c>
      <c r="G289" s="595">
        <v>105688123.34</v>
      </c>
      <c r="H289" s="596">
        <v>0</v>
      </c>
      <c r="I289" s="594" t="s">
        <v>959</v>
      </c>
    </row>
    <row r="290" spans="1:9" ht="17.100000000000001" customHeight="1">
      <c r="A290" s="594">
        <v>13070101</v>
      </c>
      <c r="B290" s="594" t="s">
        <v>960</v>
      </c>
      <c r="C290" s="595">
        <v>111742105.55</v>
      </c>
      <c r="D290" s="596">
        <v>0</v>
      </c>
      <c r="E290" s="596">
        <v>0</v>
      </c>
      <c r="F290" s="595">
        <v>6053982.21</v>
      </c>
      <c r="G290" s="595">
        <v>105688123.34</v>
      </c>
      <c r="H290" s="596">
        <v>0</v>
      </c>
      <c r="I290" s="594" t="s">
        <v>961</v>
      </c>
    </row>
    <row r="291" spans="1:9" ht="17.100000000000001" customHeight="1">
      <c r="A291" s="594">
        <v>130705</v>
      </c>
      <c r="B291" s="594" t="s">
        <v>3431</v>
      </c>
      <c r="C291" s="595">
        <v>2100000</v>
      </c>
      <c r="D291" s="596">
        <v>0</v>
      </c>
      <c r="E291" s="595">
        <v>2926123.2</v>
      </c>
      <c r="F291" s="596">
        <v>0</v>
      </c>
      <c r="G291" s="595">
        <v>5026123.2</v>
      </c>
      <c r="H291" s="596">
        <v>0</v>
      </c>
      <c r="I291" s="594" t="s">
        <v>3432</v>
      </c>
    </row>
    <row r="292" spans="1:9" ht="17.100000000000001" customHeight="1">
      <c r="A292" s="594">
        <v>13070501</v>
      </c>
      <c r="B292" s="594" t="s">
        <v>3433</v>
      </c>
      <c r="C292" s="595">
        <v>2100000</v>
      </c>
      <c r="D292" s="596">
        <v>0</v>
      </c>
      <c r="E292" s="595">
        <v>2926123.2</v>
      </c>
      <c r="F292" s="596">
        <v>0</v>
      </c>
      <c r="G292" s="595">
        <v>5026123.2</v>
      </c>
      <c r="H292" s="596">
        <v>0</v>
      </c>
      <c r="I292" s="594" t="s">
        <v>3434</v>
      </c>
    </row>
    <row r="293" spans="1:9" ht="17.100000000000001" customHeight="1">
      <c r="A293" s="594">
        <v>130708</v>
      </c>
      <c r="B293" s="594" t="s">
        <v>4207</v>
      </c>
      <c r="C293" s="595">
        <v>768631279.34000003</v>
      </c>
      <c r="D293" s="596">
        <v>0</v>
      </c>
      <c r="E293" s="595">
        <v>3232325.83</v>
      </c>
      <c r="F293" s="596">
        <v>0</v>
      </c>
      <c r="G293" s="595">
        <v>771863605.16999996</v>
      </c>
      <c r="H293" s="596">
        <v>0</v>
      </c>
      <c r="I293" s="594" t="s">
        <v>4208</v>
      </c>
    </row>
    <row r="294" spans="1:9" ht="17.100000000000001" customHeight="1">
      <c r="A294" s="594">
        <v>13070803</v>
      </c>
      <c r="B294" s="594" t="s">
        <v>4209</v>
      </c>
      <c r="C294" s="595">
        <v>800408757.94000006</v>
      </c>
      <c r="D294" s="596">
        <v>0</v>
      </c>
      <c r="E294" s="596">
        <v>0</v>
      </c>
      <c r="F294" s="596">
        <v>0</v>
      </c>
      <c r="G294" s="595">
        <v>800408757.94000006</v>
      </c>
      <c r="H294" s="596">
        <v>0</v>
      </c>
      <c r="I294" s="594" t="s">
        <v>4210</v>
      </c>
    </row>
    <row r="295" spans="1:9" ht="17.100000000000001" customHeight="1">
      <c r="A295" s="594">
        <v>13070804</v>
      </c>
      <c r="B295" s="594" t="s">
        <v>4211</v>
      </c>
      <c r="C295" s="596">
        <v>0</v>
      </c>
      <c r="D295" s="595">
        <v>31777478.600000001</v>
      </c>
      <c r="E295" s="595">
        <v>3232325.83</v>
      </c>
      <c r="F295" s="596">
        <v>0</v>
      </c>
      <c r="G295" s="596">
        <v>0</v>
      </c>
      <c r="H295" s="595">
        <v>28545152.77</v>
      </c>
      <c r="I295" s="594" t="s">
        <v>4212</v>
      </c>
    </row>
    <row r="296" spans="1:9" ht="17.100000000000001" customHeight="1">
      <c r="A296" s="594">
        <v>130799</v>
      </c>
      <c r="B296" s="594" t="s">
        <v>962</v>
      </c>
      <c r="C296" s="595">
        <v>641874000</v>
      </c>
      <c r="D296" s="596">
        <v>0</v>
      </c>
      <c r="E296" s="595">
        <v>68605812</v>
      </c>
      <c r="F296" s="595">
        <v>197920.8</v>
      </c>
      <c r="G296" s="595">
        <v>710281891.20000005</v>
      </c>
      <c r="H296" s="596">
        <v>0</v>
      </c>
      <c r="I296" s="594" t="s">
        <v>963</v>
      </c>
    </row>
    <row r="297" spans="1:9" ht="17.100000000000001" customHeight="1">
      <c r="A297" s="594">
        <v>13079901</v>
      </c>
      <c r="B297" s="594" t="s">
        <v>964</v>
      </c>
      <c r="C297" s="595">
        <v>641874000</v>
      </c>
      <c r="D297" s="596">
        <v>0</v>
      </c>
      <c r="E297" s="595">
        <v>68605812</v>
      </c>
      <c r="F297" s="595">
        <v>197920.8</v>
      </c>
      <c r="G297" s="595">
        <v>710281891.20000005</v>
      </c>
      <c r="H297" s="596">
        <v>0</v>
      </c>
      <c r="I297" s="594" t="s">
        <v>965</v>
      </c>
    </row>
    <row r="298" spans="1:9" ht="17.100000000000001" customHeight="1">
      <c r="A298" s="594">
        <v>1308</v>
      </c>
      <c r="B298" s="594" t="s">
        <v>415</v>
      </c>
      <c r="C298" s="595">
        <v>278056008.50999999</v>
      </c>
      <c r="D298" s="596">
        <v>0</v>
      </c>
      <c r="E298" s="595">
        <v>116965500.75</v>
      </c>
      <c r="F298" s="595">
        <v>329127373.30000001</v>
      </c>
      <c r="G298" s="595">
        <v>65894135.960000001</v>
      </c>
      <c r="H298" s="596">
        <v>0</v>
      </c>
      <c r="I298" s="594" t="s">
        <v>966</v>
      </c>
    </row>
    <row r="299" spans="1:9" ht="17.100000000000001" customHeight="1">
      <c r="A299" s="594">
        <v>130801</v>
      </c>
      <c r="B299" s="594" t="s">
        <v>967</v>
      </c>
      <c r="C299" s="595">
        <v>200000000</v>
      </c>
      <c r="D299" s="596">
        <v>0</v>
      </c>
      <c r="E299" s="596">
        <v>0</v>
      </c>
      <c r="F299" s="595">
        <v>200000000</v>
      </c>
      <c r="G299" s="596">
        <v>0</v>
      </c>
      <c r="H299" s="596">
        <v>0</v>
      </c>
      <c r="I299" s="594" t="s">
        <v>968</v>
      </c>
    </row>
    <row r="300" spans="1:9" ht="17.100000000000001" customHeight="1">
      <c r="A300" s="594">
        <v>13080101</v>
      </c>
      <c r="B300" s="594" t="s">
        <v>969</v>
      </c>
      <c r="C300" s="595">
        <v>200000000</v>
      </c>
      <c r="D300" s="596">
        <v>0</v>
      </c>
      <c r="E300" s="596">
        <v>0</v>
      </c>
      <c r="F300" s="595">
        <v>200000000</v>
      </c>
      <c r="G300" s="596">
        <v>0</v>
      </c>
      <c r="H300" s="596">
        <v>0</v>
      </c>
      <c r="I300" s="594" t="s">
        <v>970</v>
      </c>
    </row>
    <row r="301" spans="1:9" ht="17.100000000000001" customHeight="1">
      <c r="A301" s="594">
        <v>130802</v>
      </c>
      <c r="B301" s="594" t="s">
        <v>416</v>
      </c>
      <c r="C301" s="595">
        <v>67450985.189999998</v>
      </c>
      <c r="D301" s="596">
        <v>0</v>
      </c>
      <c r="E301" s="595">
        <v>116965500.75</v>
      </c>
      <c r="F301" s="595">
        <v>126962023.3</v>
      </c>
      <c r="G301" s="595">
        <v>57454462.640000001</v>
      </c>
      <c r="H301" s="596">
        <v>0</v>
      </c>
      <c r="I301" s="594" t="s">
        <v>971</v>
      </c>
    </row>
    <row r="302" spans="1:9" ht="17.100000000000001" customHeight="1">
      <c r="A302" s="594">
        <v>13080201</v>
      </c>
      <c r="B302" s="594" t="s">
        <v>972</v>
      </c>
      <c r="C302" s="595">
        <v>67450985.189999998</v>
      </c>
      <c r="D302" s="596">
        <v>0</v>
      </c>
      <c r="E302" s="595">
        <v>116965500.75</v>
      </c>
      <c r="F302" s="595">
        <v>126962023.3</v>
      </c>
      <c r="G302" s="595">
        <v>57454462.640000001</v>
      </c>
      <c r="H302" s="596">
        <v>0</v>
      </c>
      <c r="I302" s="594" t="s">
        <v>973</v>
      </c>
    </row>
    <row r="303" spans="1:9" ht="17.100000000000001" customHeight="1">
      <c r="A303" s="594">
        <v>130803</v>
      </c>
      <c r="B303" s="594" t="s">
        <v>2664</v>
      </c>
      <c r="C303" s="595">
        <v>10605023.32</v>
      </c>
      <c r="D303" s="596">
        <v>0</v>
      </c>
      <c r="E303" s="596">
        <v>0</v>
      </c>
      <c r="F303" s="595">
        <v>2165350</v>
      </c>
      <c r="G303" s="595">
        <v>8439673.3200000003</v>
      </c>
      <c r="H303" s="596">
        <v>0</v>
      </c>
      <c r="I303" s="594" t="s">
        <v>2665</v>
      </c>
    </row>
    <row r="304" spans="1:9" ht="17.100000000000001" customHeight="1">
      <c r="A304" s="594">
        <v>13080301</v>
      </c>
      <c r="B304" s="594" t="s">
        <v>2666</v>
      </c>
      <c r="C304" s="595">
        <v>10605023.32</v>
      </c>
      <c r="D304" s="596">
        <v>0</v>
      </c>
      <c r="E304" s="596">
        <v>0</v>
      </c>
      <c r="F304" s="595">
        <v>2165350</v>
      </c>
      <c r="G304" s="595">
        <v>8439673.3200000003</v>
      </c>
      <c r="H304" s="596">
        <v>0</v>
      </c>
      <c r="I304" s="594" t="s">
        <v>2667</v>
      </c>
    </row>
    <row r="305" spans="1:9" ht="17.100000000000001" customHeight="1">
      <c r="A305" s="594">
        <v>1309</v>
      </c>
      <c r="B305" s="594" t="s">
        <v>974</v>
      </c>
      <c r="C305" s="596">
        <v>0</v>
      </c>
      <c r="D305" s="595">
        <v>6618558742.4499998</v>
      </c>
      <c r="E305" s="595">
        <v>535923685.85000002</v>
      </c>
      <c r="F305" s="595">
        <v>954653573.52999997</v>
      </c>
      <c r="G305" s="596">
        <v>0</v>
      </c>
      <c r="H305" s="595">
        <v>7037288630.1300001</v>
      </c>
      <c r="I305" s="594" t="s">
        <v>975</v>
      </c>
    </row>
    <row r="306" spans="1:9" ht="17.100000000000001" customHeight="1">
      <c r="A306" s="594">
        <v>130902</v>
      </c>
      <c r="B306" s="594" t="s">
        <v>976</v>
      </c>
      <c r="C306" s="596">
        <v>0</v>
      </c>
      <c r="D306" s="595">
        <v>6618558742.4499998</v>
      </c>
      <c r="E306" s="595">
        <v>535923685.85000002</v>
      </c>
      <c r="F306" s="595">
        <v>954653573.52999997</v>
      </c>
      <c r="G306" s="596">
        <v>0</v>
      </c>
      <c r="H306" s="595">
        <v>7037288630.1300001</v>
      </c>
      <c r="I306" s="594" t="s">
        <v>977</v>
      </c>
    </row>
    <row r="307" spans="1:9" ht="17.100000000000001" customHeight="1">
      <c r="A307" s="594">
        <v>13090201</v>
      </c>
      <c r="B307" s="594" t="s">
        <v>978</v>
      </c>
      <c r="C307" s="596">
        <v>0</v>
      </c>
      <c r="D307" s="595">
        <v>6367378710.1599998</v>
      </c>
      <c r="E307" s="595">
        <v>535923685.85000002</v>
      </c>
      <c r="F307" s="595">
        <v>954097805.21000004</v>
      </c>
      <c r="G307" s="596">
        <v>0</v>
      </c>
      <c r="H307" s="595">
        <v>6785552829.5200005</v>
      </c>
      <c r="I307" s="594" t="s">
        <v>979</v>
      </c>
    </row>
    <row r="308" spans="1:9" ht="17.100000000000001" customHeight="1">
      <c r="A308" s="594">
        <v>13090204</v>
      </c>
      <c r="B308" s="594" t="s">
        <v>980</v>
      </c>
      <c r="C308" s="596">
        <v>0</v>
      </c>
      <c r="D308" s="595">
        <v>6873742.1399999997</v>
      </c>
      <c r="E308" s="596">
        <v>0</v>
      </c>
      <c r="F308" s="595">
        <v>555768.31999999995</v>
      </c>
      <c r="G308" s="596">
        <v>0</v>
      </c>
      <c r="H308" s="595">
        <v>7429510.46</v>
      </c>
      <c r="I308" s="594" t="s">
        <v>981</v>
      </c>
    </row>
    <row r="309" spans="1:9" ht="17.100000000000001" customHeight="1">
      <c r="A309" s="594">
        <v>13090299</v>
      </c>
      <c r="B309" s="594" t="s">
        <v>982</v>
      </c>
      <c r="C309" s="596">
        <v>0</v>
      </c>
      <c r="D309" s="595">
        <v>244306290.15000001</v>
      </c>
      <c r="E309" s="596">
        <v>0</v>
      </c>
      <c r="F309" s="596">
        <v>0</v>
      </c>
      <c r="G309" s="596">
        <v>0</v>
      </c>
      <c r="H309" s="595">
        <v>244306290.15000001</v>
      </c>
      <c r="I309" s="594" t="s">
        <v>983</v>
      </c>
    </row>
    <row r="310" spans="1:9" ht="28.5" customHeight="1">
      <c r="A310" s="320"/>
      <c r="B310" s="320"/>
      <c r="C310" s="320"/>
      <c r="D310" s="557" t="s">
        <v>4198</v>
      </c>
      <c r="E310" s="320" t="s">
        <v>3723</v>
      </c>
      <c r="F310" s="320"/>
      <c r="G310" s="320"/>
      <c r="H310" s="320"/>
      <c r="I310" s="320"/>
    </row>
    <row r="311" spans="1:9">
      <c r="A311" s="671"/>
      <c r="B311" s="671"/>
      <c r="C311" s="671"/>
      <c r="D311" s="671"/>
      <c r="E311" s="671"/>
      <c r="F311" s="671"/>
      <c r="G311" s="671"/>
      <c r="H311" s="671"/>
      <c r="I311" s="671"/>
    </row>
    <row r="312" spans="1:9" ht="24.75">
      <c r="A312" s="320"/>
      <c r="B312" s="320"/>
      <c r="C312" s="589" t="s">
        <v>3707</v>
      </c>
      <c r="D312" s="320"/>
      <c r="E312" s="320"/>
      <c r="F312" s="671"/>
      <c r="G312" s="671"/>
      <c r="H312" s="671"/>
      <c r="I312" s="671"/>
    </row>
    <row r="313" spans="1:9" ht="17.25">
      <c r="A313" s="590" t="s">
        <v>3708</v>
      </c>
      <c r="B313" s="590"/>
      <c r="C313" s="597">
        <v>42887</v>
      </c>
      <c r="D313" s="590"/>
      <c r="E313" s="557" t="s">
        <v>3709</v>
      </c>
      <c r="F313" s="671"/>
      <c r="G313" s="671"/>
      <c r="H313" s="671"/>
      <c r="I313" s="671"/>
    </row>
    <row r="314" spans="1:9" ht="28.5" customHeight="1">
      <c r="A314" s="593" t="s">
        <v>596</v>
      </c>
      <c r="B314" s="593" t="s">
        <v>597</v>
      </c>
      <c r="C314" s="593" t="s">
        <v>3710</v>
      </c>
      <c r="D314" s="593" t="s">
        <v>3711</v>
      </c>
      <c r="E314" s="593" t="s">
        <v>3712</v>
      </c>
      <c r="F314" s="593" t="s">
        <v>3713</v>
      </c>
      <c r="G314" s="593" t="s">
        <v>3714</v>
      </c>
      <c r="H314" s="593" t="s">
        <v>3715</v>
      </c>
      <c r="I314" s="593" t="s">
        <v>596</v>
      </c>
    </row>
    <row r="315" spans="1:9" ht="17.100000000000001" customHeight="1">
      <c r="A315" s="594">
        <v>1321</v>
      </c>
      <c r="B315" s="594" t="s">
        <v>984</v>
      </c>
      <c r="C315" s="595">
        <v>172769833409.26999</v>
      </c>
      <c r="D315" s="596">
        <v>0</v>
      </c>
      <c r="E315" s="595">
        <v>72868196676.880005</v>
      </c>
      <c r="F315" s="595">
        <v>70753270370.229996</v>
      </c>
      <c r="G315" s="595">
        <v>174884759715.92001</v>
      </c>
      <c r="H315" s="596">
        <v>0</v>
      </c>
      <c r="I315" s="594" t="s">
        <v>985</v>
      </c>
    </row>
    <row r="316" spans="1:9" ht="17.100000000000001" customHeight="1">
      <c r="A316" s="594">
        <v>132101</v>
      </c>
      <c r="B316" s="594" t="s">
        <v>986</v>
      </c>
      <c r="C316" s="595">
        <v>134574898052.38</v>
      </c>
      <c r="D316" s="596">
        <v>0</v>
      </c>
      <c r="E316" s="595">
        <v>72560405723.320007</v>
      </c>
      <c r="F316" s="595">
        <v>69605157786.699997</v>
      </c>
      <c r="G316" s="595">
        <v>137530145989</v>
      </c>
      <c r="H316" s="596">
        <v>0</v>
      </c>
      <c r="I316" s="594" t="s">
        <v>987</v>
      </c>
    </row>
    <row r="317" spans="1:9" ht="17.100000000000001" customHeight="1">
      <c r="A317" s="594">
        <v>13210101</v>
      </c>
      <c r="B317" s="594" t="s">
        <v>988</v>
      </c>
      <c r="C317" s="595">
        <v>130490223615.22</v>
      </c>
      <c r="D317" s="596">
        <v>0</v>
      </c>
      <c r="E317" s="595">
        <v>71113724997.259995</v>
      </c>
      <c r="F317" s="595">
        <v>67856028516.440002</v>
      </c>
      <c r="G317" s="595">
        <v>133747920096.03999</v>
      </c>
      <c r="H317" s="596">
        <v>0</v>
      </c>
      <c r="I317" s="594" t="s">
        <v>989</v>
      </c>
    </row>
    <row r="318" spans="1:9" ht="17.100000000000001" customHeight="1">
      <c r="A318" s="594">
        <v>13210102</v>
      </c>
      <c r="B318" s="594" t="s">
        <v>3435</v>
      </c>
      <c r="C318" s="595">
        <v>4163432509.6900001</v>
      </c>
      <c r="D318" s="596">
        <v>0</v>
      </c>
      <c r="E318" s="595">
        <v>1442269205.6900001</v>
      </c>
      <c r="F318" s="595">
        <v>1743941594.04</v>
      </c>
      <c r="G318" s="595">
        <v>3861760121.3400002</v>
      </c>
      <c r="H318" s="596">
        <v>0</v>
      </c>
      <c r="I318" s="594" t="s">
        <v>990</v>
      </c>
    </row>
    <row r="319" spans="1:9" ht="17.100000000000001" customHeight="1">
      <c r="A319" s="594">
        <v>13210103</v>
      </c>
      <c r="B319" s="594" t="s">
        <v>3436</v>
      </c>
      <c r="C319" s="595">
        <v>57027689.740000002</v>
      </c>
      <c r="D319" s="596">
        <v>0</v>
      </c>
      <c r="E319" s="595">
        <v>4411520.37</v>
      </c>
      <c r="F319" s="595">
        <v>5187676.22</v>
      </c>
      <c r="G319" s="595">
        <v>56251533.890000001</v>
      </c>
      <c r="H319" s="596">
        <v>0</v>
      </c>
      <c r="I319" s="594" t="s">
        <v>3437</v>
      </c>
    </row>
    <row r="320" spans="1:9" ht="17.100000000000001" customHeight="1">
      <c r="A320" s="594">
        <v>13210104</v>
      </c>
      <c r="B320" s="594" t="s">
        <v>3438</v>
      </c>
      <c r="C320" s="596">
        <v>0</v>
      </c>
      <c r="D320" s="595">
        <v>135785762.27000001</v>
      </c>
      <c r="E320" s="596">
        <v>0</v>
      </c>
      <c r="F320" s="596">
        <v>0</v>
      </c>
      <c r="G320" s="596">
        <v>0</v>
      </c>
      <c r="H320" s="595">
        <v>135785762.27000001</v>
      </c>
      <c r="I320" s="594" t="s">
        <v>3439</v>
      </c>
    </row>
    <row r="321" spans="1:9" ht="17.100000000000001" customHeight="1">
      <c r="A321" s="594">
        <v>132102</v>
      </c>
      <c r="B321" s="594" t="s">
        <v>991</v>
      </c>
      <c r="C321" s="595">
        <v>28919292729.810001</v>
      </c>
      <c r="D321" s="596">
        <v>0</v>
      </c>
      <c r="E321" s="595">
        <v>302790953.56</v>
      </c>
      <c r="F321" s="595">
        <v>1148112583.53</v>
      </c>
      <c r="G321" s="595">
        <v>28073971099.84</v>
      </c>
      <c r="H321" s="596">
        <v>0</v>
      </c>
      <c r="I321" s="594" t="s">
        <v>992</v>
      </c>
    </row>
    <row r="322" spans="1:9" ht="17.100000000000001" customHeight="1">
      <c r="A322" s="594">
        <v>13210201</v>
      </c>
      <c r="B322" s="594" t="s">
        <v>993</v>
      </c>
      <c r="C322" s="595">
        <v>60000000</v>
      </c>
      <c r="D322" s="596">
        <v>0</v>
      </c>
      <c r="E322" s="596">
        <v>0</v>
      </c>
      <c r="F322" s="596">
        <v>0</v>
      </c>
      <c r="G322" s="595">
        <v>60000000</v>
      </c>
      <c r="H322" s="596">
        <v>0</v>
      </c>
      <c r="I322" s="594" t="s">
        <v>994</v>
      </c>
    </row>
    <row r="323" spans="1:9" ht="17.100000000000001" customHeight="1">
      <c r="A323" s="594">
        <v>13210203</v>
      </c>
      <c r="B323" s="594" t="s">
        <v>995</v>
      </c>
      <c r="C323" s="595">
        <v>452789317.39999998</v>
      </c>
      <c r="D323" s="596">
        <v>0</v>
      </c>
      <c r="E323" s="596">
        <v>0</v>
      </c>
      <c r="F323" s="595">
        <v>8318985.9400000004</v>
      </c>
      <c r="G323" s="595">
        <v>444470331.45999998</v>
      </c>
      <c r="H323" s="596">
        <v>0</v>
      </c>
      <c r="I323" s="594" t="s">
        <v>996</v>
      </c>
    </row>
    <row r="324" spans="1:9" ht="17.100000000000001" customHeight="1">
      <c r="A324" s="594">
        <v>13210205</v>
      </c>
      <c r="B324" s="594" t="s">
        <v>997</v>
      </c>
      <c r="C324" s="595">
        <v>20874476723.91</v>
      </c>
      <c r="D324" s="596">
        <v>0</v>
      </c>
      <c r="E324" s="595">
        <v>300000000</v>
      </c>
      <c r="F324" s="595">
        <v>969270360.34000003</v>
      </c>
      <c r="G324" s="595">
        <v>20205206363.57</v>
      </c>
      <c r="H324" s="596">
        <v>0</v>
      </c>
      <c r="I324" s="594" t="s">
        <v>998</v>
      </c>
    </row>
    <row r="325" spans="1:9" ht="17.100000000000001" customHeight="1">
      <c r="A325" s="594">
        <v>13210207</v>
      </c>
      <c r="B325" s="594" t="s">
        <v>999</v>
      </c>
      <c r="C325" s="595">
        <v>7333922597.3000002</v>
      </c>
      <c r="D325" s="596">
        <v>0</v>
      </c>
      <c r="E325" s="595">
        <v>2000000</v>
      </c>
      <c r="F325" s="595">
        <v>170426482.38</v>
      </c>
      <c r="G325" s="595">
        <v>7165496114.9200001</v>
      </c>
      <c r="H325" s="596">
        <v>0</v>
      </c>
      <c r="I325" s="594" t="s">
        <v>1000</v>
      </c>
    </row>
    <row r="326" spans="1:9" ht="17.100000000000001" customHeight="1">
      <c r="A326" s="594">
        <v>13210209</v>
      </c>
      <c r="B326" s="594" t="s">
        <v>1001</v>
      </c>
      <c r="C326" s="595">
        <v>198104091.19999999</v>
      </c>
      <c r="D326" s="596">
        <v>0</v>
      </c>
      <c r="E326" s="595">
        <v>790953.56</v>
      </c>
      <c r="F326" s="595">
        <v>96754.87</v>
      </c>
      <c r="G326" s="595">
        <v>198798289.88999999</v>
      </c>
      <c r="H326" s="596">
        <v>0</v>
      </c>
      <c r="I326" s="594" t="s">
        <v>1002</v>
      </c>
    </row>
    <row r="327" spans="1:9" ht="17.100000000000001" customHeight="1">
      <c r="A327" s="594">
        <v>132103</v>
      </c>
      <c r="B327" s="594" t="s">
        <v>384</v>
      </c>
      <c r="C327" s="595">
        <v>9275642627.0799999</v>
      </c>
      <c r="D327" s="596">
        <v>0</v>
      </c>
      <c r="E327" s="595">
        <v>5000000</v>
      </c>
      <c r="F327" s="596">
        <v>0</v>
      </c>
      <c r="G327" s="595">
        <v>9280642627.0799999</v>
      </c>
      <c r="H327" s="596">
        <v>0</v>
      </c>
      <c r="I327" s="594" t="s">
        <v>1003</v>
      </c>
    </row>
    <row r="328" spans="1:9" ht="17.100000000000001" customHeight="1">
      <c r="A328" s="594">
        <v>13210301</v>
      </c>
      <c r="B328" s="594" t="s">
        <v>1004</v>
      </c>
      <c r="C328" s="595">
        <v>9275642627.0799999</v>
      </c>
      <c r="D328" s="596">
        <v>0</v>
      </c>
      <c r="E328" s="595">
        <v>5000000</v>
      </c>
      <c r="F328" s="596">
        <v>0</v>
      </c>
      <c r="G328" s="595">
        <v>9280642627.0799999</v>
      </c>
      <c r="H328" s="596">
        <v>0</v>
      </c>
      <c r="I328" s="594" t="s">
        <v>1005</v>
      </c>
    </row>
    <row r="329" spans="1:9" ht="17.100000000000001" customHeight="1">
      <c r="A329" s="594">
        <v>1441</v>
      </c>
      <c r="B329" s="594" t="s">
        <v>1006</v>
      </c>
      <c r="C329" s="595">
        <v>613330149.25999999</v>
      </c>
      <c r="D329" s="596">
        <v>0</v>
      </c>
      <c r="E329" s="595">
        <v>-1091323.5900000001</v>
      </c>
      <c r="F329" s="595">
        <v>144409001</v>
      </c>
      <c r="G329" s="595">
        <v>467829824.67000002</v>
      </c>
      <c r="H329" s="596">
        <v>0</v>
      </c>
      <c r="I329" s="594" t="s">
        <v>1007</v>
      </c>
    </row>
    <row r="330" spans="1:9" ht="17.100000000000001" customHeight="1">
      <c r="A330" s="594">
        <v>144101</v>
      </c>
      <c r="B330" s="594" t="s">
        <v>1008</v>
      </c>
      <c r="C330" s="595">
        <v>598298910.92999995</v>
      </c>
      <c r="D330" s="596">
        <v>0</v>
      </c>
      <c r="E330" s="596">
        <v>0</v>
      </c>
      <c r="F330" s="595">
        <v>144409001</v>
      </c>
      <c r="G330" s="595">
        <v>453889909.93000001</v>
      </c>
      <c r="H330" s="596">
        <v>0</v>
      </c>
      <c r="I330" s="594" t="s">
        <v>1009</v>
      </c>
    </row>
    <row r="331" spans="1:9" ht="17.100000000000001" customHeight="1">
      <c r="A331" s="594">
        <v>14410101</v>
      </c>
      <c r="B331" s="594" t="s">
        <v>1008</v>
      </c>
      <c r="C331" s="595">
        <v>598298910.92999995</v>
      </c>
      <c r="D331" s="596">
        <v>0</v>
      </c>
      <c r="E331" s="596">
        <v>0</v>
      </c>
      <c r="F331" s="595">
        <v>144409001</v>
      </c>
      <c r="G331" s="595">
        <v>453889909.93000001</v>
      </c>
      <c r="H331" s="596">
        <v>0</v>
      </c>
      <c r="I331" s="594" t="s">
        <v>1010</v>
      </c>
    </row>
    <row r="332" spans="1:9" ht="17.100000000000001" customHeight="1">
      <c r="A332" s="594">
        <v>144102</v>
      </c>
      <c r="B332" s="594" t="s">
        <v>1011</v>
      </c>
      <c r="C332" s="595">
        <v>15031238.33</v>
      </c>
      <c r="D332" s="596">
        <v>0</v>
      </c>
      <c r="E332" s="595">
        <v>-1091323.5900000001</v>
      </c>
      <c r="F332" s="596">
        <v>0</v>
      </c>
      <c r="G332" s="595">
        <v>13939914.74</v>
      </c>
      <c r="H332" s="596">
        <v>0</v>
      </c>
      <c r="I332" s="594" t="s">
        <v>1012</v>
      </c>
    </row>
    <row r="333" spans="1:9" ht="17.100000000000001" customHeight="1">
      <c r="A333" s="594">
        <v>14410201</v>
      </c>
      <c r="B333" s="594" t="s">
        <v>1011</v>
      </c>
      <c r="C333" s="595">
        <v>15031238.33</v>
      </c>
      <c r="D333" s="596">
        <v>0</v>
      </c>
      <c r="E333" s="595">
        <v>-1091323.5900000001</v>
      </c>
      <c r="F333" s="596">
        <v>0</v>
      </c>
      <c r="G333" s="595">
        <v>13939914.74</v>
      </c>
      <c r="H333" s="596">
        <v>0</v>
      </c>
      <c r="I333" s="594" t="s">
        <v>1013</v>
      </c>
    </row>
    <row r="334" spans="1:9" ht="17.100000000000001" customHeight="1">
      <c r="A334" s="594">
        <v>1442</v>
      </c>
      <c r="B334" s="594" t="s">
        <v>1017</v>
      </c>
      <c r="C334" s="596">
        <v>0</v>
      </c>
      <c r="D334" s="595">
        <v>85201671.769999996</v>
      </c>
      <c r="E334" s="595">
        <v>29537169.59</v>
      </c>
      <c r="F334" s="595">
        <v>7640969.9900000002</v>
      </c>
      <c r="G334" s="596">
        <v>0</v>
      </c>
      <c r="H334" s="595">
        <v>63305472.170000002</v>
      </c>
      <c r="I334" s="594" t="s">
        <v>1018</v>
      </c>
    </row>
    <row r="335" spans="1:9" ht="17.100000000000001" customHeight="1">
      <c r="A335" s="594">
        <v>144201</v>
      </c>
      <c r="B335" s="594" t="s">
        <v>1019</v>
      </c>
      <c r="C335" s="596">
        <v>0</v>
      </c>
      <c r="D335" s="595">
        <v>65299210.600000001</v>
      </c>
      <c r="E335" s="595">
        <v>28366046</v>
      </c>
      <c r="F335" s="595">
        <v>4850342.08</v>
      </c>
      <c r="G335" s="596">
        <v>0</v>
      </c>
      <c r="H335" s="595">
        <v>41783506.68</v>
      </c>
      <c r="I335" s="594" t="s">
        <v>1020</v>
      </c>
    </row>
    <row r="336" spans="1:9" ht="17.100000000000001" customHeight="1">
      <c r="A336" s="594">
        <v>14420101</v>
      </c>
      <c r="B336" s="594" t="s">
        <v>1019</v>
      </c>
      <c r="C336" s="596">
        <v>0</v>
      </c>
      <c r="D336" s="595">
        <v>65299210.600000001</v>
      </c>
      <c r="E336" s="595">
        <v>28366046</v>
      </c>
      <c r="F336" s="595">
        <v>4850342.08</v>
      </c>
      <c r="G336" s="596">
        <v>0</v>
      </c>
      <c r="H336" s="595">
        <v>41783506.68</v>
      </c>
      <c r="I336" s="594" t="s">
        <v>1021</v>
      </c>
    </row>
    <row r="337" spans="1:9" ht="17.100000000000001" customHeight="1">
      <c r="A337" s="594">
        <v>144202</v>
      </c>
      <c r="B337" s="594" t="s">
        <v>1022</v>
      </c>
      <c r="C337" s="596">
        <v>0</v>
      </c>
      <c r="D337" s="595">
        <v>19902461.170000002</v>
      </c>
      <c r="E337" s="595">
        <v>1171123.5900000001</v>
      </c>
      <c r="F337" s="595">
        <v>2790627.91</v>
      </c>
      <c r="G337" s="596">
        <v>0</v>
      </c>
      <c r="H337" s="595">
        <v>21521965.489999998</v>
      </c>
      <c r="I337" s="594" t="s">
        <v>1023</v>
      </c>
    </row>
    <row r="338" spans="1:9" ht="17.100000000000001" customHeight="1">
      <c r="A338" s="594">
        <v>14420201</v>
      </c>
      <c r="B338" s="594" t="s">
        <v>1022</v>
      </c>
      <c r="C338" s="596">
        <v>0</v>
      </c>
      <c r="D338" s="595">
        <v>19902461.170000002</v>
      </c>
      <c r="E338" s="595">
        <v>1171123.5900000001</v>
      </c>
      <c r="F338" s="595">
        <v>2790627.91</v>
      </c>
      <c r="G338" s="596">
        <v>0</v>
      </c>
      <c r="H338" s="595">
        <v>21521965.489999998</v>
      </c>
      <c r="I338" s="594" t="s">
        <v>1024</v>
      </c>
    </row>
    <row r="339" spans="1:9" ht="17.100000000000001" customHeight="1">
      <c r="A339" s="594">
        <v>1501</v>
      </c>
      <c r="B339" s="594" t="s">
        <v>1028</v>
      </c>
      <c r="C339" s="595">
        <v>30758372057.16</v>
      </c>
      <c r="D339" s="596">
        <v>0</v>
      </c>
      <c r="E339" s="595">
        <v>7704120.21</v>
      </c>
      <c r="F339" s="595">
        <v>528939886.73000002</v>
      </c>
      <c r="G339" s="595">
        <v>30237136290.639999</v>
      </c>
      <c r="H339" s="596">
        <v>0</v>
      </c>
      <c r="I339" s="594" t="s">
        <v>1029</v>
      </c>
    </row>
    <row r="340" spans="1:9" ht="17.100000000000001" customHeight="1">
      <c r="A340" s="594">
        <v>150101</v>
      </c>
      <c r="B340" s="594" t="s">
        <v>1030</v>
      </c>
      <c r="C340" s="595">
        <v>28398436212.689999</v>
      </c>
      <c r="D340" s="596">
        <v>0</v>
      </c>
      <c r="E340" s="595">
        <v>2074690.91</v>
      </c>
      <c r="F340" s="595">
        <v>328863684.73000002</v>
      </c>
      <c r="G340" s="595">
        <v>28071647218.869999</v>
      </c>
      <c r="H340" s="596">
        <v>0</v>
      </c>
      <c r="I340" s="594" t="s">
        <v>1031</v>
      </c>
    </row>
    <row r="341" spans="1:9" ht="17.100000000000001" customHeight="1">
      <c r="A341" s="594">
        <v>15010101</v>
      </c>
      <c r="B341" s="594" t="s">
        <v>1032</v>
      </c>
      <c r="C341" s="595">
        <v>28356780000</v>
      </c>
      <c r="D341" s="596">
        <v>0</v>
      </c>
      <c r="E341" s="596">
        <v>0</v>
      </c>
      <c r="F341" s="595">
        <v>320000000</v>
      </c>
      <c r="G341" s="595">
        <v>28036780000</v>
      </c>
      <c r="H341" s="596">
        <v>0</v>
      </c>
      <c r="I341" s="594" t="s">
        <v>1033</v>
      </c>
    </row>
    <row r="342" spans="1:9" ht="17.100000000000001" customHeight="1">
      <c r="A342" s="594">
        <v>15010102</v>
      </c>
      <c r="B342" s="594" t="s">
        <v>1034</v>
      </c>
      <c r="C342" s="595">
        <v>41656212.689999998</v>
      </c>
      <c r="D342" s="596">
        <v>0</v>
      </c>
      <c r="E342" s="595">
        <v>2074690.91</v>
      </c>
      <c r="F342" s="595">
        <v>8863684.7300000004</v>
      </c>
      <c r="G342" s="595">
        <v>34867218.869999997</v>
      </c>
      <c r="H342" s="596">
        <v>0</v>
      </c>
      <c r="I342" s="594" t="s">
        <v>1035</v>
      </c>
    </row>
    <row r="343" spans="1:9" ht="17.100000000000001" customHeight="1">
      <c r="A343" s="594">
        <v>150199</v>
      </c>
      <c r="B343" s="594" t="s">
        <v>3669</v>
      </c>
      <c r="C343" s="595">
        <v>2359935844.4699998</v>
      </c>
      <c r="D343" s="596">
        <v>0</v>
      </c>
      <c r="E343" s="595">
        <v>5629429.2999999998</v>
      </c>
      <c r="F343" s="595">
        <v>200076202</v>
      </c>
      <c r="G343" s="595">
        <v>2165489071.77</v>
      </c>
      <c r="H343" s="596">
        <v>0</v>
      </c>
      <c r="I343" s="594" t="s">
        <v>3724</v>
      </c>
    </row>
    <row r="344" spans="1:9" ht="17.100000000000001" customHeight="1">
      <c r="A344" s="594">
        <v>15019901</v>
      </c>
      <c r="B344" s="594" t="s">
        <v>3670</v>
      </c>
      <c r="C344" s="595">
        <v>2296787540</v>
      </c>
      <c r="D344" s="596">
        <v>0</v>
      </c>
      <c r="E344" s="596">
        <v>0</v>
      </c>
      <c r="F344" s="595">
        <v>193517200</v>
      </c>
      <c r="G344" s="595">
        <v>2103270340</v>
      </c>
      <c r="H344" s="596">
        <v>0</v>
      </c>
      <c r="I344" s="594" t="s">
        <v>3725</v>
      </c>
    </row>
    <row r="345" spans="1:9" ht="17.100000000000001" customHeight="1">
      <c r="A345" s="594">
        <v>15019902</v>
      </c>
      <c r="B345" s="594" t="s">
        <v>3671</v>
      </c>
      <c r="C345" s="595">
        <v>97211.32</v>
      </c>
      <c r="D345" s="596">
        <v>0</v>
      </c>
      <c r="E345" s="595">
        <v>20472.03</v>
      </c>
      <c r="F345" s="595">
        <v>76202</v>
      </c>
      <c r="G345" s="595">
        <v>41481.35</v>
      </c>
      <c r="H345" s="596">
        <v>0</v>
      </c>
      <c r="I345" s="594" t="s">
        <v>3726</v>
      </c>
    </row>
    <row r="346" spans="1:9" ht="17.100000000000001" customHeight="1">
      <c r="A346" s="594">
        <v>15019903</v>
      </c>
      <c r="B346" s="594" t="s">
        <v>3672</v>
      </c>
      <c r="C346" s="595">
        <v>63051093.149999999</v>
      </c>
      <c r="D346" s="596">
        <v>0</v>
      </c>
      <c r="E346" s="595">
        <v>5608957.2699999996</v>
      </c>
      <c r="F346" s="595">
        <v>6482800</v>
      </c>
      <c r="G346" s="595">
        <v>62177250.420000002</v>
      </c>
      <c r="H346" s="596">
        <v>0</v>
      </c>
      <c r="I346" s="594" t="s">
        <v>3727</v>
      </c>
    </row>
    <row r="347" spans="1:9" ht="17.100000000000001" customHeight="1">
      <c r="A347" s="594">
        <v>1502</v>
      </c>
      <c r="B347" s="594" t="s">
        <v>2782</v>
      </c>
      <c r="C347" s="596">
        <v>0</v>
      </c>
      <c r="D347" s="595">
        <v>5800000</v>
      </c>
      <c r="E347" s="596">
        <v>0</v>
      </c>
      <c r="F347" s="595">
        <v>-5800000</v>
      </c>
      <c r="G347" s="596">
        <v>0</v>
      </c>
      <c r="H347" s="596">
        <v>0</v>
      </c>
      <c r="I347" s="594" t="s">
        <v>2783</v>
      </c>
    </row>
    <row r="348" spans="1:9" ht="17.100000000000001" customHeight="1">
      <c r="A348" s="594">
        <v>150202</v>
      </c>
      <c r="B348" s="594" t="s">
        <v>2784</v>
      </c>
      <c r="C348" s="596">
        <v>0</v>
      </c>
      <c r="D348" s="595">
        <v>5800000</v>
      </c>
      <c r="E348" s="596">
        <v>0</v>
      </c>
      <c r="F348" s="595">
        <v>-5800000</v>
      </c>
      <c r="G348" s="596">
        <v>0</v>
      </c>
      <c r="H348" s="596">
        <v>0</v>
      </c>
      <c r="I348" s="594" t="s">
        <v>2785</v>
      </c>
    </row>
    <row r="349" spans="1:9" ht="28.5" customHeight="1">
      <c r="A349" s="320"/>
      <c r="B349" s="320"/>
      <c r="C349" s="320"/>
      <c r="D349" s="557" t="s">
        <v>4198</v>
      </c>
      <c r="E349" s="320" t="s">
        <v>3728</v>
      </c>
      <c r="F349" s="320"/>
      <c r="G349" s="320"/>
      <c r="H349" s="320"/>
      <c r="I349" s="320"/>
    </row>
    <row r="350" spans="1:9">
      <c r="A350" s="671"/>
      <c r="B350" s="671"/>
      <c r="C350" s="671"/>
      <c r="D350" s="671"/>
      <c r="E350" s="671"/>
      <c r="F350" s="671"/>
      <c r="G350" s="671"/>
      <c r="H350" s="671"/>
      <c r="I350" s="671"/>
    </row>
    <row r="351" spans="1:9" ht="24.75">
      <c r="A351" s="320"/>
      <c r="B351" s="320"/>
      <c r="C351" s="589" t="s">
        <v>3707</v>
      </c>
      <c r="D351" s="320"/>
      <c r="E351" s="320"/>
      <c r="F351" s="671"/>
      <c r="G351" s="671"/>
      <c r="H351" s="671"/>
      <c r="I351" s="671"/>
    </row>
    <row r="352" spans="1:9" ht="17.25">
      <c r="A352" s="590" t="s">
        <v>3708</v>
      </c>
      <c r="B352" s="590"/>
      <c r="C352" s="597">
        <v>42887</v>
      </c>
      <c r="D352" s="590"/>
      <c r="E352" s="557" t="s">
        <v>3709</v>
      </c>
      <c r="F352" s="671"/>
      <c r="G352" s="671"/>
      <c r="H352" s="671"/>
      <c r="I352" s="671"/>
    </row>
    <row r="353" spans="1:9" ht="28.5" customHeight="1">
      <c r="A353" s="593" t="s">
        <v>596</v>
      </c>
      <c r="B353" s="593" t="s">
        <v>597</v>
      </c>
      <c r="C353" s="593" t="s">
        <v>3710</v>
      </c>
      <c r="D353" s="593" t="s">
        <v>3711</v>
      </c>
      <c r="E353" s="593" t="s">
        <v>3712</v>
      </c>
      <c r="F353" s="593" t="s">
        <v>3713</v>
      </c>
      <c r="G353" s="593" t="s">
        <v>3714</v>
      </c>
      <c r="H353" s="593" t="s">
        <v>3715</v>
      </c>
      <c r="I353" s="593" t="s">
        <v>596</v>
      </c>
    </row>
    <row r="354" spans="1:9" ht="17.100000000000001" customHeight="1">
      <c r="A354" s="594">
        <v>15020201</v>
      </c>
      <c r="B354" s="594" t="s">
        <v>2784</v>
      </c>
      <c r="C354" s="596">
        <v>0</v>
      </c>
      <c r="D354" s="595">
        <v>5800000</v>
      </c>
      <c r="E354" s="596">
        <v>0</v>
      </c>
      <c r="F354" s="595">
        <v>-5800000</v>
      </c>
      <c r="G354" s="596">
        <v>0</v>
      </c>
      <c r="H354" s="596">
        <v>0</v>
      </c>
      <c r="I354" s="594" t="s">
        <v>2786</v>
      </c>
    </row>
    <row r="355" spans="1:9" ht="17.100000000000001" customHeight="1">
      <c r="A355" s="594">
        <v>1503</v>
      </c>
      <c r="B355" s="594" t="s">
        <v>1036</v>
      </c>
      <c r="C355" s="595">
        <v>60502565972.239998</v>
      </c>
      <c r="D355" s="596">
        <v>0</v>
      </c>
      <c r="E355" s="595">
        <v>893050470.34000003</v>
      </c>
      <c r="F355" s="595">
        <v>1838317696.3499999</v>
      </c>
      <c r="G355" s="595">
        <v>59557298746.230003</v>
      </c>
      <c r="H355" s="596">
        <v>0</v>
      </c>
      <c r="I355" s="594" t="s">
        <v>1037</v>
      </c>
    </row>
    <row r="356" spans="1:9" ht="17.100000000000001" customHeight="1">
      <c r="A356" s="594">
        <v>150301</v>
      </c>
      <c r="B356" s="594" t="s">
        <v>1038</v>
      </c>
      <c r="C356" s="595">
        <v>60251241945.699997</v>
      </c>
      <c r="D356" s="596">
        <v>0</v>
      </c>
      <c r="E356" s="595">
        <v>891083973.74000001</v>
      </c>
      <c r="F356" s="595">
        <v>1838083228.52</v>
      </c>
      <c r="G356" s="595">
        <v>59304242690.919998</v>
      </c>
      <c r="H356" s="596">
        <v>0</v>
      </c>
      <c r="I356" s="594" t="s">
        <v>1039</v>
      </c>
    </row>
    <row r="357" spans="1:9" ht="17.100000000000001" customHeight="1">
      <c r="A357" s="594">
        <v>15030101</v>
      </c>
      <c r="B357" s="594" t="s">
        <v>1040</v>
      </c>
      <c r="C357" s="595">
        <v>61374662000</v>
      </c>
      <c r="D357" s="596">
        <v>0</v>
      </c>
      <c r="E357" s="595">
        <v>230000000</v>
      </c>
      <c r="F357" s="595">
        <v>1670000000</v>
      </c>
      <c r="G357" s="595">
        <v>59934662000</v>
      </c>
      <c r="H357" s="596">
        <v>0</v>
      </c>
      <c r="I357" s="594" t="s">
        <v>1041</v>
      </c>
    </row>
    <row r="358" spans="1:9" ht="17.100000000000001" customHeight="1">
      <c r="A358" s="594">
        <v>15030102</v>
      </c>
      <c r="B358" s="594" t="s">
        <v>1042</v>
      </c>
      <c r="C358" s="595">
        <v>979555442.00999999</v>
      </c>
      <c r="D358" s="596">
        <v>0</v>
      </c>
      <c r="E358" s="595">
        <v>5718453.7300000004</v>
      </c>
      <c r="F358" s="595">
        <v>27113991.210000001</v>
      </c>
      <c r="G358" s="595">
        <v>958159904.52999997</v>
      </c>
      <c r="H358" s="596">
        <v>0</v>
      </c>
      <c r="I358" s="594" t="s">
        <v>1043</v>
      </c>
    </row>
    <row r="359" spans="1:9" ht="17.100000000000001" customHeight="1">
      <c r="A359" s="594">
        <v>15030104</v>
      </c>
      <c r="B359" s="594" t="s">
        <v>1044</v>
      </c>
      <c r="C359" s="596">
        <v>0</v>
      </c>
      <c r="D359" s="595">
        <v>2102975496.3099999</v>
      </c>
      <c r="E359" s="595">
        <v>655365520.00999999</v>
      </c>
      <c r="F359" s="595">
        <v>140969237.31</v>
      </c>
      <c r="G359" s="596">
        <v>0</v>
      </c>
      <c r="H359" s="595">
        <v>1588579213.6099999</v>
      </c>
      <c r="I359" s="594" t="s">
        <v>1045</v>
      </c>
    </row>
    <row r="360" spans="1:9" ht="17.100000000000001" customHeight="1">
      <c r="A360" s="594">
        <v>150302</v>
      </c>
      <c r="B360" s="594" t="s">
        <v>2590</v>
      </c>
      <c r="C360" s="595">
        <v>41053959.009999998</v>
      </c>
      <c r="D360" s="596">
        <v>0</v>
      </c>
      <c r="E360" s="596">
        <v>0</v>
      </c>
      <c r="F360" s="596">
        <v>0</v>
      </c>
      <c r="G360" s="595">
        <v>41053959.009999998</v>
      </c>
      <c r="H360" s="596">
        <v>0</v>
      </c>
      <c r="I360" s="594" t="s">
        <v>2591</v>
      </c>
    </row>
    <row r="361" spans="1:9" ht="17.100000000000001" customHeight="1">
      <c r="A361" s="594">
        <v>15030201</v>
      </c>
      <c r="B361" s="594" t="s">
        <v>2592</v>
      </c>
      <c r="C361" s="595">
        <v>41053959.009999998</v>
      </c>
      <c r="D361" s="596">
        <v>0</v>
      </c>
      <c r="E361" s="596">
        <v>0</v>
      </c>
      <c r="F361" s="596">
        <v>0</v>
      </c>
      <c r="G361" s="595">
        <v>41053959.009999998</v>
      </c>
      <c r="H361" s="596">
        <v>0</v>
      </c>
      <c r="I361" s="594" t="s">
        <v>2593</v>
      </c>
    </row>
    <row r="362" spans="1:9" ht="17.100000000000001" customHeight="1">
      <c r="A362" s="594">
        <v>150399</v>
      </c>
      <c r="B362" s="594" t="s">
        <v>1046</v>
      </c>
      <c r="C362" s="595">
        <v>210270067.53</v>
      </c>
      <c r="D362" s="596">
        <v>0</v>
      </c>
      <c r="E362" s="595">
        <v>1966496.6</v>
      </c>
      <c r="F362" s="595">
        <v>234467.83</v>
      </c>
      <c r="G362" s="595">
        <v>212002096.30000001</v>
      </c>
      <c r="H362" s="596">
        <v>0</v>
      </c>
      <c r="I362" s="594" t="s">
        <v>1047</v>
      </c>
    </row>
    <row r="363" spans="1:9" ht="17.100000000000001" customHeight="1">
      <c r="A363" s="594">
        <v>15039901</v>
      </c>
      <c r="B363" s="594" t="s">
        <v>1048</v>
      </c>
      <c r="C363" s="595">
        <v>206930000</v>
      </c>
      <c r="D363" s="596">
        <v>0</v>
      </c>
      <c r="E363" s="596">
        <v>0</v>
      </c>
      <c r="F363" s="596">
        <v>0</v>
      </c>
      <c r="G363" s="595">
        <v>206930000</v>
      </c>
      <c r="H363" s="596">
        <v>0</v>
      </c>
      <c r="I363" s="594" t="s">
        <v>1049</v>
      </c>
    </row>
    <row r="364" spans="1:9" ht="17.100000000000001" customHeight="1">
      <c r="A364" s="594">
        <v>15039902</v>
      </c>
      <c r="B364" s="594" t="s">
        <v>3848</v>
      </c>
      <c r="C364" s="595">
        <v>4222581.29</v>
      </c>
      <c r="D364" s="596">
        <v>0</v>
      </c>
      <c r="E364" s="596">
        <v>0</v>
      </c>
      <c r="F364" s="595">
        <v>34007.72</v>
      </c>
      <c r="G364" s="595">
        <v>4188573.57</v>
      </c>
      <c r="H364" s="596">
        <v>0</v>
      </c>
      <c r="I364" s="594" t="s">
        <v>3849</v>
      </c>
    </row>
    <row r="365" spans="1:9" ht="17.100000000000001" customHeight="1">
      <c r="A365" s="594">
        <v>15039903</v>
      </c>
      <c r="B365" s="594" t="s">
        <v>3576</v>
      </c>
      <c r="C365" s="595">
        <v>2497017.5299999998</v>
      </c>
      <c r="D365" s="596">
        <v>0</v>
      </c>
      <c r="E365" s="595">
        <v>252328.77</v>
      </c>
      <c r="F365" s="596">
        <v>0</v>
      </c>
      <c r="G365" s="595">
        <v>2749346.3</v>
      </c>
      <c r="H365" s="596">
        <v>0</v>
      </c>
      <c r="I365" s="594" t="s">
        <v>3577</v>
      </c>
    </row>
    <row r="366" spans="1:9" ht="17.100000000000001" customHeight="1">
      <c r="A366" s="594">
        <v>15039904</v>
      </c>
      <c r="B366" s="594" t="s">
        <v>2787</v>
      </c>
      <c r="C366" s="596">
        <v>0</v>
      </c>
      <c r="D366" s="595">
        <v>3379531.29</v>
      </c>
      <c r="E366" s="595">
        <v>1714167.83</v>
      </c>
      <c r="F366" s="595">
        <v>200460.11</v>
      </c>
      <c r="G366" s="596">
        <v>0</v>
      </c>
      <c r="H366" s="595">
        <v>1865823.57</v>
      </c>
      <c r="I366" s="594" t="s">
        <v>2788</v>
      </c>
    </row>
    <row r="367" spans="1:9" ht="17.100000000000001" customHeight="1">
      <c r="A367" s="594">
        <v>1511</v>
      </c>
      <c r="B367" s="594" t="s">
        <v>1050</v>
      </c>
      <c r="C367" s="595">
        <v>2109736650</v>
      </c>
      <c r="D367" s="596">
        <v>0</v>
      </c>
      <c r="E367" s="596">
        <v>0</v>
      </c>
      <c r="F367" s="596">
        <v>0</v>
      </c>
      <c r="G367" s="595">
        <v>2109736650</v>
      </c>
      <c r="H367" s="596">
        <v>0</v>
      </c>
      <c r="I367" s="594" t="s">
        <v>1051</v>
      </c>
    </row>
    <row r="368" spans="1:9" ht="17.100000000000001" customHeight="1">
      <c r="A368" s="594">
        <v>151101</v>
      </c>
      <c r="B368" s="594" t="s">
        <v>2789</v>
      </c>
      <c r="C368" s="595">
        <v>2109736650</v>
      </c>
      <c r="D368" s="596">
        <v>0</v>
      </c>
      <c r="E368" s="596">
        <v>0</v>
      </c>
      <c r="F368" s="596">
        <v>0</v>
      </c>
      <c r="G368" s="595">
        <v>2109736650</v>
      </c>
      <c r="H368" s="596">
        <v>0</v>
      </c>
      <c r="I368" s="594" t="s">
        <v>2790</v>
      </c>
    </row>
    <row r="369" spans="1:9" ht="17.100000000000001" customHeight="1">
      <c r="A369" s="594">
        <v>15110101</v>
      </c>
      <c r="B369" s="594" t="s">
        <v>2791</v>
      </c>
      <c r="C369" s="595">
        <v>2109578000</v>
      </c>
      <c r="D369" s="596">
        <v>0</v>
      </c>
      <c r="E369" s="596">
        <v>0</v>
      </c>
      <c r="F369" s="596">
        <v>0</v>
      </c>
      <c r="G369" s="595">
        <v>2109578000</v>
      </c>
      <c r="H369" s="596">
        <v>0</v>
      </c>
      <c r="I369" s="594" t="s">
        <v>2792</v>
      </c>
    </row>
    <row r="370" spans="1:9" ht="17.100000000000001" customHeight="1">
      <c r="A370" s="594">
        <v>15110104</v>
      </c>
      <c r="B370" s="594" t="s">
        <v>3368</v>
      </c>
      <c r="C370" s="595">
        <v>158650</v>
      </c>
      <c r="D370" s="596">
        <v>0</v>
      </c>
      <c r="E370" s="596">
        <v>0</v>
      </c>
      <c r="F370" s="596">
        <v>0</v>
      </c>
      <c r="G370" s="595">
        <v>158650</v>
      </c>
      <c r="H370" s="596">
        <v>0</v>
      </c>
      <c r="I370" s="594" t="s">
        <v>3369</v>
      </c>
    </row>
    <row r="371" spans="1:9" ht="17.100000000000001" customHeight="1">
      <c r="A371" s="594">
        <v>1521</v>
      </c>
      <c r="B371" s="594" t="s">
        <v>1052</v>
      </c>
      <c r="C371" s="595">
        <v>447801821.86000001</v>
      </c>
      <c r="D371" s="596">
        <v>0</v>
      </c>
      <c r="E371" s="596">
        <v>0</v>
      </c>
      <c r="F371" s="596">
        <v>0</v>
      </c>
      <c r="G371" s="595">
        <v>447801821.86000001</v>
      </c>
      <c r="H371" s="596">
        <v>0</v>
      </c>
      <c r="I371" s="594" t="s">
        <v>1053</v>
      </c>
    </row>
    <row r="372" spans="1:9" ht="17.100000000000001" customHeight="1">
      <c r="A372" s="594">
        <v>152101</v>
      </c>
      <c r="B372" s="594" t="s">
        <v>1054</v>
      </c>
      <c r="C372" s="595">
        <v>447801821.86000001</v>
      </c>
      <c r="D372" s="596">
        <v>0</v>
      </c>
      <c r="E372" s="596">
        <v>0</v>
      </c>
      <c r="F372" s="596">
        <v>0</v>
      </c>
      <c r="G372" s="595">
        <v>447801821.86000001</v>
      </c>
      <c r="H372" s="596">
        <v>0</v>
      </c>
      <c r="I372" s="594" t="s">
        <v>1055</v>
      </c>
    </row>
    <row r="373" spans="1:9" ht="17.100000000000001" customHeight="1">
      <c r="A373" s="594">
        <v>15210101</v>
      </c>
      <c r="B373" s="594" t="s">
        <v>1054</v>
      </c>
      <c r="C373" s="595">
        <v>447801821.86000001</v>
      </c>
      <c r="D373" s="596">
        <v>0</v>
      </c>
      <c r="E373" s="596">
        <v>0</v>
      </c>
      <c r="F373" s="596">
        <v>0</v>
      </c>
      <c r="G373" s="595">
        <v>447801821.86000001</v>
      </c>
      <c r="H373" s="596">
        <v>0</v>
      </c>
      <c r="I373" s="594" t="s">
        <v>1056</v>
      </c>
    </row>
    <row r="374" spans="1:9" ht="17.100000000000001" customHeight="1">
      <c r="A374" s="594">
        <v>1522</v>
      </c>
      <c r="B374" s="594" t="s">
        <v>1057</v>
      </c>
      <c r="C374" s="596">
        <v>0</v>
      </c>
      <c r="D374" s="595">
        <v>268040349.19999999</v>
      </c>
      <c r="E374" s="596">
        <v>0</v>
      </c>
      <c r="F374" s="595">
        <v>1835355.51</v>
      </c>
      <c r="G374" s="596">
        <v>0</v>
      </c>
      <c r="H374" s="595">
        <v>269875704.70999998</v>
      </c>
      <c r="I374" s="594" t="s">
        <v>1058</v>
      </c>
    </row>
    <row r="375" spans="1:9" ht="17.100000000000001" customHeight="1">
      <c r="A375" s="594">
        <v>152201</v>
      </c>
      <c r="B375" s="594" t="s">
        <v>1059</v>
      </c>
      <c r="C375" s="596">
        <v>0</v>
      </c>
      <c r="D375" s="595">
        <v>268040349.19999999</v>
      </c>
      <c r="E375" s="596">
        <v>0</v>
      </c>
      <c r="F375" s="595">
        <v>1835355.51</v>
      </c>
      <c r="G375" s="596">
        <v>0</v>
      </c>
      <c r="H375" s="595">
        <v>269875704.70999998</v>
      </c>
      <c r="I375" s="594" t="s">
        <v>1060</v>
      </c>
    </row>
    <row r="376" spans="1:9" ht="17.100000000000001" customHeight="1">
      <c r="A376" s="594">
        <v>15220101</v>
      </c>
      <c r="B376" s="594" t="s">
        <v>1059</v>
      </c>
      <c r="C376" s="596">
        <v>0</v>
      </c>
      <c r="D376" s="595">
        <v>268040349.19999999</v>
      </c>
      <c r="E376" s="596">
        <v>0</v>
      </c>
      <c r="F376" s="595">
        <v>1835355.51</v>
      </c>
      <c r="G376" s="596">
        <v>0</v>
      </c>
      <c r="H376" s="595">
        <v>269875704.70999998</v>
      </c>
      <c r="I376" s="594" t="s">
        <v>1061</v>
      </c>
    </row>
    <row r="377" spans="1:9" ht="17.100000000000001" customHeight="1">
      <c r="A377" s="594">
        <v>1531</v>
      </c>
      <c r="B377" s="594" t="s">
        <v>1062</v>
      </c>
      <c r="C377" s="595">
        <v>131586648762.17</v>
      </c>
      <c r="D377" s="596">
        <v>0</v>
      </c>
      <c r="E377" s="595">
        <v>57288386516.230003</v>
      </c>
      <c r="F377" s="595">
        <v>51965036112.059998</v>
      </c>
      <c r="G377" s="595">
        <v>136909999166.34</v>
      </c>
      <c r="H377" s="596">
        <v>0</v>
      </c>
      <c r="I377" s="594" t="s">
        <v>1063</v>
      </c>
    </row>
    <row r="378" spans="1:9" ht="17.100000000000001" customHeight="1">
      <c r="A378" s="594">
        <v>153199</v>
      </c>
      <c r="B378" s="594" t="s">
        <v>1064</v>
      </c>
      <c r="C378" s="595">
        <v>131586648762.17</v>
      </c>
      <c r="D378" s="596">
        <v>0</v>
      </c>
      <c r="E378" s="595">
        <v>57288386516.230003</v>
      </c>
      <c r="F378" s="595">
        <v>51965036112.059998</v>
      </c>
      <c r="G378" s="595">
        <v>136909999166.34</v>
      </c>
      <c r="H378" s="596">
        <v>0</v>
      </c>
      <c r="I378" s="594" t="s">
        <v>1065</v>
      </c>
    </row>
    <row r="379" spans="1:9" ht="17.100000000000001" customHeight="1">
      <c r="A379" s="594">
        <v>15319901</v>
      </c>
      <c r="B379" s="594" t="s">
        <v>1066</v>
      </c>
      <c r="C379" s="595">
        <v>131039509571.91</v>
      </c>
      <c r="D379" s="596">
        <v>0</v>
      </c>
      <c r="E379" s="595">
        <v>57133831917.239998</v>
      </c>
      <c r="F379" s="595">
        <v>51834966512.870003</v>
      </c>
      <c r="G379" s="595">
        <v>136338374976.28</v>
      </c>
      <c r="H379" s="596">
        <v>0</v>
      </c>
      <c r="I379" s="594" t="s">
        <v>1067</v>
      </c>
    </row>
    <row r="380" spans="1:9" ht="17.100000000000001" customHeight="1">
      <c r="A380" s="594">
        <v>15319902</v>
      </c>
      <c r="B380" s="594" t="s">
        <v>3440</v>
      </c>
      <c r="C380" s="595">
        <v>252857.06</v>
      </c>
      <c r="D380" s="596">
        <v>0</v>
      </c>
      <c r="E380" s="595">
        <v>175171</v>
      </c>
      <c r="F380" s="595">
        <v>548248.79</v>
      </c>
      <c r="G380" s="596">
        <v>0</v>
      </c>
      <c r="H380" s="595">
        <v>120220.73</v>
      </c>
      <c r="I380" s="594" t="s">
        <v>3441</v>
      </c>
    </row>
    <row r="381" spans="1:9" ht="17.100000000000001" customHeight="1">
      <c r="A381" s="594">
        <v>15319903</v>
      </c>
      <c r="B381" s="594" t="s">
        <v>1068</v>
      </c>
      <c r="C381" s="595">
        <v>546886333.20000005</v>
      </c>
      <c r="D381" s="596">
        <v>0</v>
      </c>
      <c r="E381" s="595">
        <v>154379427.99000001</v>
      </c>
      <c r="F381" s="595">
        <v>129521350.40000001</v>
      </c>
      <c r="G381" s="595">
        <v>571744410.78999996</v>
      </c>
      <c r="H381" s="596">
        <v>0</v>
      </c>
      <c r="I381" s="594" t="s">
        <v>1069</v>
      </c>
    </row>
    <row r="382" spans="1:9" ht="17.100000000000001" customHeight="1">
      <c r="A382" s="594">
        <v>1601</v>
      </c>
      <c r="B382" s="594" t="s">
        <v>1070</v>
      </c>
      <c r="C382" s="595">
        <v>5062445954.9799995</v>
      </c>
      <c r="D382" s="596">
        <v>0</v>
      </c>
      <c r="E382" s="595">
        <v>8693249.8300000001</v>
      </c>
      <c r="F382" s="595">
        <v>932883.49</v>
      </c>
      <c r="G382" s="595">
        <v>5070206321.3199997</v>
      </c>
      <c r="H382" s="596">
        <v>0</v>
      </c>
      <c r="I382" s="594" t="s">
        <v>1071</v>
      </c>
    </row>
    <row r="383" spans="1:9" ht="17.100000000000001" customHeight="1">
      <c r="A383" s="594">
        <v>160101</v>
      </c>
      <c r="B383" s="594" t="s">
        <v>1070</v>
      </c>
      <c r="C383" s="595">
        <v>5062445954.9799995</v>
      </c>
      <c r="D383" s="596">
        <v>0</v>
      </c>
      <c r="E383" s="595">
        <v>8693249.8300000001</v>
      </c>
      <c r="F383" s="595">
        <v>932883.49</v>
      </c>
      <c r="G383" s="595">
        <v>5070206321.3199997</v>
      </c>
      <c r="H383" s="596">
        <v>0</v>
      </c>
      <c r="I383" s="594" t="s">
        <v>1072</v>
      </c>
    </row>
    <row r="384" spans="1:9" ht="17.100000000000001" customHeight="1">
      <c r="A384" s="594">
        <v>16010101</v>
      </c>
      <c r="B384" s="594" t="s">
        <v>1070</v>
      </c>
      <c r="C384" s="595">
        <v>5062445954.9799995</v>
      </c>
      <c r="D384" s="596">
        <v>0</v>
      </c>
      <c r="E384" s="595">
        <v>8693249.8300000001</v>
      </c>
      <c r="F384" s="595">
        <v>932883.49</v>
      </c>
      <c r="G384" s="595">
        <v>5070206321.3199997</v>
      </c>
      <c r="H384" s="596">
        <v>0</v>
      </c>
      <c r="I384" s="594" t="s">
        <v>1073</v>
      </c>
    </row>
    <row r="385" spans="1:9" ht="17.100000000000001" customHeight="1">
      <c r="A385" s="594">
        <v>1602</v>
      </c>
      <c r="B385" s="594" t="s">
        <v>1074</v>
      </c>
      <c r="C385" s="596">
        <v>0</v>
      </c>
      <c r="D385" s="595">
        <v>3730096758.8099999</v>
      </c>
      <c r="E385" s="595">
        <v>869292.73</v>
      </c>
      <c r="F385" s="595">
        <v>27158654.969999999</v>
      </c>
      <c r="G385" s="596">
        <v>0</v>
      </c>
      <c r="H385" s="595">
        <v>3756386121.0500002</v>
      </c>
      <c r="I385" s="594" t="s">
        <v>1075</v>
      </c>
    </row>
    <row r="386" spans="1:9" ht="17.100000000000001" customHeight="1">
      <c r="A386" s="594">
        <v>160201</v>
      </c>
      <c r="B386" s="594" t="s">
        <v>1074</v>
      </c>
      <c r="C386" s="596">
        <v>0</v>
      </c>
      <c r="D386" s="595">
        <v>3730096758.8099999</v>
      </c>
      <c r="E386" s="595">
        <v>869292.73</v>
      </c>
      <c r="F386" s="595">
        <v>27158654.969999999</v>
      </c>
      <c r="G386" s="596">
        <v>0</v>
      </c>
      <c r="H386" s="595">
        <v>3756386121.0500002</v>
      </c>
      <c r="I386" s="594" t="s">
        <v>1076</v>
      </c>
    </row>
    <row r="387" spans="1:9" ht="17.100000000000001" customHeight="1">
      <c r="A387" s="594">
        <v>16020101</v>
      </c>
      <c r="B387" s="594" t="s">
        <v>1074</v>
      </c>
      <c r="C387" s="596">
        <v>0</v>
      </c>
      <c r="D387" s="595">
        <v>3730096758.8099999</v>
      </c>
      <c r="E387" s="595">
        <v>869292.73</v>
      </c>
      <c r="F387" s="595">
        <v>27158654.969999999</v>
      </c>
      <c r="G387" s="596">
        <v>0</v>
      </c>
      <c r="H387" s="595">
        <v>3756386121.0500002</v>
      </c>
      <c r="I387" s="594" t="s">
        <v>1077</v>
      </c>
    </row>
    <row r="388" spans="1:9" ht="28.5" customHeight="1">
      <c r="A388" s="320"/>
      <c r="B388" s="320"/>
      <c r="C388" s="320"/>
      <c r="D388" s="557" t="s">
        <v>4198</v>
      </c>
      <c r="E388" s="320" t="s">
        <v>3729</v>
      </c>
      <c r="F388" s="320"/>
      <c r="G388" s="320"/>
      <c r="H388" s="320"/>
      <c r="I388" s="320"/>
    </row>
    <row r="389" spans="1:9">
      <c r="A389" s="671"/>
      <c r="B389" s="671"/>
      <c r="C389" s="671"/>
      <c r="D389" s="671"/>
      <c r="E389" s="671"/>
      <c r="F389" s="671"/>
      <c r="G389" s="671"/>
      <c r="H389" s="671"/>
      <c r="I389" s="671"/>
    </row>
    <row r="390" spans="1:9" ht="24.75">
      <c r="A390" s="320"/>
      <c r="B390" s="320"/>
      <c r="C390" s="589" t="s">
        <v>3707</v>
      </c>
      <c r="D390" s="320"/>
      <c r="E390" s="320"/>
      <c r="F390" s="671"/>
      <c r="G390" s="671"/>
      <c r="H390" s="671"/>
      <c r="I390" s="671"/>
    </row>
    <row r="391" spans="1:9" ht="17.25">
      <c r="A391" s="590" t="s">
        <v>3708</v>
      </c>
      <c r="B391" s="590"/>
      <c r="C391" s="597">
        <v>42887</v>
      </c>
      <c r="D391" s="590"/>
      <c r="E391" s="557" t="s">
        <v>3709</v>
      </c>
      <c r="F391" s="671"/>
      <c r="G391" s="671"/>
      <c r="H391" s="671"/>
      <c r="I391" s="671"/>
    </row>
    <row r="392" spans="1:9" ht="28.5" customHeight="1">
      <c r="A392" s="593" t="s">
        <v>596</v>
      </c>
      <c r="B392" s="593" t="s">
        <v>597</v>
      </c>
      <c r="C392" s="593" t="s">
        <v>3710</v>
      </c>
      <c r="D392" s="593" t="s">
        <v>3711</v>
      </c>
      <c r="E392" s="593" t="s">
        <v>3712</v>
      </c>
      <c r="F392" s="593" t="s">
        <v>3713</v>
      </c>
      <c r="G392" s="593" t="s">
        <v>3714</v>
      </c>
      <c r="H392" s="593" t="s">
        <v>3715</v>
      </c>
      <c r="I392" s="593" t="s">
        <v>596</v>
      </c>
    </row>
    <row r="393" spans="1:9" ht="17.100000000000001" customHeight="1">
      <c r="A393" s="594">
        <v>1604</v>
      </c>
      <c r="B393" s="594" t="s">
        <v>1078</v>
      </c>
      <c r="C393" s="595">
        <v>167576433.46000001</v>
      </c>
      <c r="D393" s="596">
        <v>0</v>
      </c>
      <c r="E393" s="595">
        <v>6373766.2999999998</v>
      </c>
      <c r="F393" s="595">
        <v>8332211.9000000004</v>
      </c>
      <c r="G393" s="595">
        <v>165617987.86000001</v>
      </c>
      <c r="H393" s="596">
        <v>0</v>
      </c>
      <c r="I393" s="594" t="s">
        <v>1079</v>
      </c>
    </row>
    <row r="394" spans="1:9" ht="17.100000000000001" customHeight="1">
      <c r="A394" s="594">
        <v>160401</v>
      </c>
      <c r="B394" s="594" t="s">
        <v>1078</v>
      </c>
      <c r="C394" s="595">
        <v>167576433.46000001</v>
      </c>
      <c r="D394" s="596">
        <v>0</v>
      </c>
      <c r="E394" s="595">
        <v>6373766.2999999998</v>
      </c>
      <c r="F394" s="595">
        <v>8332211.9000000004</v>
      </c>
      <c r="G394" s="595">
        <v>165617987.86000001</v>
      </c>
      <c r="H394" s="596">
        <v>0</v>
      </c>
      <c r="I394" s="594" t="s">
        <v>1080</v>
      </c>
    </row>
    <row r="395" spans="1:9" ht="17.100000000000001" customHeight="1">
      <c r="A395" s="594">
        <v>16040101</v>
      </c>
      <c r="B395" s="594" t="s">
        <v>1078</v>
      </c>
      <c r="C395" s="595">
        <v>167576433.46000001</v>
      </c>
      <c r="D395" s="596">
        <v>0</v>
      </c>
      <c r="E395" s="595">
        <v>6373766.2999999998</v>
      </c>
      <c r="F395" s="595">
        <v>8332211.9000000004</v>
      </c>
      <c r="G395" s="595">
        <v>165617987.86000001</v>
      </c>
      <c r="H395" s="596">
        <v>0</v>
      </c>
      <c r="I395" s="594" t="s">
        <v>1081</v>
      </c>
    </row>
    <row r="396" spans="1:9" ht="17.100000000000001" customHeight="1">
      <c r="A396" s="594">
        <v>1606</v>
      </c>
      <c r="B396" s="594" t="s">
        <v>1082</v>
      </c>
      <c r="C396" s="595">
        <v>6972226.2199999997</v>
      </c>
      <c r="D396" s="596">
        <v>0</v>
      </c>
      <c r="E396" s="595">
        <v>36227.480000000003</v>
      </c>
      <c r="F396" s="595">
        <v>316444.44</v>
      </c>
      <c r="G396" s="595">
        <v>6692009.2599999998</v>
      </c>
      <c r="H396" s="596">
        <v>0</v>
      </c>
      <c r="I396" s="594" t="s">
        <v>1083</v>
      </c>
    </row>
    <row r="397" spans="1:9" ht="17.100000000000001" customHeight="1">
      <c r="A397" s="594">
        <v>160601</v>
      </c>
      <c r="B397" s="594" t="s">
        <v>3442</v>
      </c>
      <c r="C397" s="595">
        <v>6972226.2199999997</v>
      </c>
      <c r="D397" s="596">
        <v>0</v>
      </c>
      <c r="E397" s="595">
        <v>36227.480000000003</v>
      </c>
      <c r="F397" s="595">
        <v>316444.44</v>
      </c>
      <c r="G397" s="595">
        <v>6692009.2599999998</v>
      </c>
      <c r="H397" s="596">
        <v>0</v>
      </c>
      <c r="I397" s="594" t="s">
        <v>1084</v>
      </c>
    </row>
    <row r="398" spans="1:9" ht="17.100000000000001" customHeight="1">
      <c r="A398" s="594">
        <v>16060101</v>
      </c>
      <c r="B398" s="594" t="s">
        <v>3443</v>
      </c>
      <c r="C398" s="595">
        <v>6972226.2199999997</v>
      </c>
      <c r="D398" s="596">
        <v>0</v>
      </c>
      <c r="E398" s="595">
        <v>36227.480000000003</v>
      </c>
      <c r="F398" s="595">
        <v>316444.44</v>
      </c>
      <c r="G398" s="595">
        <v>6692009.2599999998</v>
      </c>
      <c r="H398" s="596">
        <v>0</v>
      </c>
      <c r="I398" s="594" t="s">
        <v>1085</v>
      </c>
    </row>
    <row r="399" spans="1:9" ht="17.100000000000001" customHeight="1">
      <c r="A399" s="594" t="s">
        <v>3850</v>
      </c>
      <c r="B399" s="594" t="s">
        <v>3851</v>
      </c>
      <c r="C399" s="596">
        <v>0</v>
      </c>
      <c r="D399" s="596">
        <v>0</v>
      </c>
      <c r="E399" s="595">
        <v>21485478.719999999</v>
      </c>
      <c r="F399" s="595">
        <v>21485478.719999999</v>
      </c>
      <c r="G399" s="596">
        <v>0</v>
      </c>
      <c r="H399" s="596">
        <v>0</v>
      </c>
      <c r="I399" s="594" t="s">
        <v>3852</v>
      </c>
    </row>
    <row r="400" spans="1:9" ht="17.100000000000001" customHeight="1">
      <c r="A400" s="594" t="s">
        <v>1086</v>
      </c>
      <c r="B400" s="594" t="s">
        <v>1087</v>
      </c>
      <c r="C400" s="595">
        <v>-29094340.870000001</v>
      </c>
      <c r="D400" s="596">
        <v>0</v>
      </c>
      <c r="E400" s="595">
        <v>4323169.63</v>
      </c>
      <c r="F400" s="595">
        <v>9084908.7200000007</v>
      </c>
      <c r="G400" s="595">
        <v>-33856079.960000001</v>
      </c>
      <c r="H400" s="596">
        <v>0</v>
      </c>
      <c r="I400" s="594" t="s">
        <v>1088</v>
      </c>
    </row>
    <row r="401" spans="1:9" ht="17.100000000000001" customHeight="1">
      <c r="A401" s="594" t="s">
        <v>1089</v>
      </c>
      <c r="B401" s="594" t="s">
        <v>1087</v>
      </c>
      <c r="C401" s="595">
        <v>-29094340.870000001</v>
      </c>
      <c r="D401" s="596">
        <v>0</v>
      </c>
      <c r="E401" s="595">
        <v>4323169.63</v>
      </c>
      <c r="F401" s="595">
        <v>9084908.7200000007</v>
      </c>
      <c r="G401" s="595">
        <v>-33856079.960000001</v>
      </c>
      <c r="H401" s="596">
        <v>0</v>
      </c>
      <c r="I401" s="594" t="s">
        <v>1090</v>
      </c>
    </row>
    <row r="402" spans="1:9" ht="17.100000000000001" customHeight="1">
      <c r="A402" s="594" t="s">
        <v>1091</v>
      </c>
      <c r="B402" s="594" t="s">
        <v>1092</v>
      </c>
      <c r="C402" s="595">
        <v>-22048511.989999998</v>
      </c>
      <c r="D402" s="596">
        <v>0</v>
      </c>
      <c r="E402" s="596">
        <v>0</v>
      </c>
      <c r="F402" s="595">
        <v>1438766.78</v>
      </c>
      <c r="G402" s="595">
        <v>-23487278.77</v>
      </c>
      <c r="H402" s="596">
        <v>0</v>
      </c>
      <c r="I402" s="594" t="s">
        <v>1093</v>
      </c>
    </row>
    <row r="403" spans="1:9" ht="17.100000000000001" customHeight="1">
      <c r="A403" s="594" t="s">
        <v>1094</v>
      </c>
      <c r="B403" s="594" t="s">
        <v>1092</v>
      </c>
      <c r="C403" s="595">
        <v>-22048511.989999998</v>
      </c>
      <c r="D403" s="596">
        <v>0</v>
      </c>
      <c r="E403" s="596">
        <v>0</v>
      </c>
      <c r="F403" s="595">
        <v>1438766.78</v>
      </c>
      <c r="G403" s="595">
        <v>-23487278.77</v>
      </c>
      <c r="H403" s="596">
        <v>0</v>
      </c>
      <c r="I403" s="594" t="s">
        <v>1095</v>
      </c>
    </row>
    <row r="404" spans="1:9" ht="17.100000000000001" customHeight="1">
      <c r="A404" s="594" t="s">
        <v>3967</v>
      </c>
      <c r="B404" s="594" t="s">
        <v>3968</v>
      </c>
      <c r="C404" s="595">
        <v>-80263102.430000007</v>
      </c>
      <c r="D404" s="596">
        <v>0</v>
      </c>
      <c r="E404" s="595">
        <v>25641.03</v>
      </c>
      <c r="F404" s="595">
        <v>4562652.3</v>
      </c>
      <c r="G404" s="595">
        <v>-84800113.700000003</v>
      </c>
      <c r="H404" s="596">
        <v>0</v>
      </c>
      <c r="I404" s="594" t="s">
        <v>3969</v>
      </c>
    </row>
    <row r="405" spans="1:9" ht="17.100000000000001" customHeight="1">
      <c r="A405" s="594" t="s">
        <v>3970</v>
      </c>
      <c r="B405" s="594" t="s">
        <v>3968</v>
      </c>
      <c r="C405" s="595">
        <v>-80263102.430000007</v>
      </c>
      <c r="D405" s="596">
        <v>0</v>
      </c>
      <c r="E405" s="595">
        <v>25641.03</v>
      </c>
      <c r="F405" s="595">
        <v>4562652.3</v>
      </c>
      <c r="G405" s="595">
        <v>-84800113.700000003</v>
      </c>
      <c r="H405" s="596">
        <v>0</v>
      </c>
      <c r="I405" s="594" t="s">
        <v>3971</v>
      </c>
    </row>
    <row r="406" spans="1:9" ht="17.100000000000001" customHeight="1">
      <c r="A406" s="594" t="s">
        <v>1096</v>
      </c>
      <c r="B406" s="594" t="s">
        <v>1097</v>
      </c>
      <c r="C406" s="595">
        <v>133771277.79000001</v>
      </c>
      <c r="D406" s="596">
        <v>0</v>
      </c>
      <c r="E406" s="595">
        <v>17136668.059999999</v>
      </c>
      <c r="F406" s="595">
        <v>6399150.9199999999</v>
      </c>
      <c r="G406" s="595">
        <v>144508794.93000001</v>
      </c>
      <c r="H406" s="596">
        <v>0</v>
      </c>
      <c r="I406" s="594" t="s">
        <v>1098</v>
      </c>
    </row>
    <row r="407" spans="1:9" ht="17.100000000000001" customHeight="1">
      <c r="A407" s="594" t="s">
        <v>1099</v>
      </c>
      <c r="B407" s="594" t="s">
        <v>1097</v>
      </c>
      <c r="C407" s="595">
        <v>133771277.79000001</v>
      </c>
      <c r="D407" s="596">
        <v>0</v>
      </c>
      <c r="E407" s="595">
        <v>17136668.059999999</v>
      </c>
      <c r="F407" s="595">
        <v>6399150.9199999999</v>
      </c>
      <c r="G407" s="595">
        <v>144508794.93000001</v>
      </c>
      <c r="H407" s="596">
        <v>0</v>
      </c>
      <c r="I407" s="594" t="s">
        <v>1100</v>
      </c>
    </row>
    <row r="408" spans="1:9" ht="17.100000000000001" customHeight="1">
      <c r="A408" s="594" t="s">
        <v>3578</v>
      </c>
      <c r="B408" s="594" t="s">
        <v>3579</v>
      </c>
      <c r="C408" s="595">
        <v>-2365322.5</v>
      </c>
      <c r="D408" s="596">
        <v>0</v>
      </c>
      <c r="E408" s="596">
        <v>0</v>
      </c>
      <c r="F408" s="596">
        <v>0</v>
      </c>
      <c r="G408" s="595">
        <v>-2365322.5</v>
      </c>
      <c r="H408" s="596">
        <v>0</v>
      </c>
      <c r="I408" s="594" t="s">
        <v>3580</v>
      </c>
    </row>
    <row r="409" spans="1:9" ht="17.100000000000001" customHeight="1">
      <c r="A409" s="594" t="s">
        <v>3581</v>
      </c>
      <c r="B409" s="594" t="s">
        <v>3579</v>
      </c>
      <c r="C409" s="595">
        <v>-2365322.5</v>
      </c>
      <c r="D409" s="596">
        <v>0</v>
      </c>
      <c r="E409" s="596">
        <v>0</v>
      </c>
      <c r="F409" s="596">
        <v>0</v>
      </c>
      <c r="G409" s="595">
        <v>-2365322.5</v>
      </c>
      <c r="H409" s="596">
        <v>0</v>
      </c>
      <c r="I409" s="594" t="s">
        <v>3582</v>
      </c>
    </row>
    <row r="410" spans="1:9" ht="17.100000000000001" customHeight="1">
      <c r="A410" s="594">
        <v>1701</v>
      </c>
      <c r="B410" s="594" t="s">
        <v>1101</v>
      </c>
      <c r="C410" s="595">
        <v>333107190.16000003</v>
      </c>
      <c r="D410" s="596">
        <v>0</v>
      </c>
      <c r="E410" s="595">
        <v>4562652.3</v>
      </c>
      <c r="F410" s="596">
        <v>0</v>
      </c>
      <c r="G410" s="595">
        <v>337669842.45999998</v>
      </c>
      <c r="H410" s="596">
        <v>0</v>
      </c>
      <c r="I410" s="594" t="s">
        <v>1102</v>
      </c>
    </row>
    <row r="411" spans="1:9" ht="17.100000000000001" customHeight="1">
      <c r="A411" s="594">
        <v>170101</v>
      </c>
      <c r="B411" s="594" t="s">
        <v>1101</v>
      </c>
      <c r="C411" s="595">
        <v>333107190.16000003</v>
      </c>
      <c r="D411" s="596">
        <v>0</v>
      </c>
      <c r="E411" s="595">
        <v>4562652.3</v>
      </c>
      <c r="F411" s="596">
        <v>0</v>
      </c>
      <c r="G411" s="595">
        <v>337669842.45999998</v>
      </c>
      <c r="H411" s="596">
        <v>0</v>
      </c>
      <c r="I411" s="594" t="s">
        <v>1103</v>
      </c>
    </row>
    <row r="412" spans="1:9" ht="17.100000000000001" customHeight="1">
      <c r="A412" s="594">
        <v>17010101</v>
      </c>
      <c r="B412" s="594" t="s">
        <v>1101</v>
      </c>
      <c r="C412" s="595">
        <v>333107190.16000003</v>
      </c>
      <c r="D412" s="596">
        <v>0</v>
      </c>
      <c r="E412" s="595">
        <v>4562652.3</v>
      </c>
      <c r="F412" s="596">
        <v>0</v>
      </c>
      <c r="G412" s="595">
        <v>337669842.45999998</v>
      </c>
      <c r="H412" s="596">
        <v>0</v>
      </c>
      <c r="I412" s="594" t="s">
        <v>1104</v>
      </c>
    </row>
    <row r="413" spans="1:9" ht="28.5" customHeight="1">
      <c r="A413" s="594">
        <v>1702</v>
      </c>
      <c r="B413" s="594" t="s">
        <v>1105</v>
      </c>
      <c r="C413" s="596">
        <v>0</v>
      </c>
      <c r="D413" s="595">
        <v>168918459.30000001</v>
      </c>
      <c r="E413" s="596">
        <v>0</v>
      </c>
      <c r="F413" s="595">
        <v>5591034.5899999999</v>
      </c>
      <c r="G413" s="596">
        <v>0</v>
      </c>
      <c r="H413" s="595">
        <v>174509493.88999999</v>
      </c>
      <c r="I413" s="594" t="s">
        <v>1106</v>
      </c>
    </row>
    <row r="414" spans="1:9">
      <c r="A414" s="594">
        <v>170201</v>
      </c>
      <c r="B414" s="594" t="s">
        <v>1105</v>
      </c>
      <c r="C414" s="596">
        <v>0</v>
      </c>
      <c r="D414" s="595">
        <v>168918459.30000001</v>
      </c>
      <c r="E414" s="596">
        <v>0</v>
      </c>
      <c r="F414" s="595">
        <v>5591034.5899999999</v>
      </c>
      <c r="G414" s="596">
        <v>0</v>
      </c>
      <c r="H414" s="595">
        <v>174509493.88999999</v>
      </c>
      <c r="I414" s="594" t="s">
        <v>1107</v>
      </c>
    </row>
    <row r="415" spans="1:9">
      <c r="A415" s="594">
        <v>17020101</v>
      </c>
      <c r="B415" s="594" t="s">
        <v>1105</v>
      </c>
      <c r="C415" s="596">
        <v>0</v>
      </c>
      <c r="D415" s="595">
        <v>168918459.30000001</v>
      </c>
      <c r="E415" s="596">
        <v>0</v>
      </c>
      <c r="F415" s="595">
        <v>5591034.5899999999</v>
      </c>
      <c r="G415" s="596">
        <v>0</v>
      </c>
      <c r="H415" s="595">
        <v>174509493.88999999</v>
      </c>
      <c r="I415" s="594" t="s">
        <v>1108</v>
      </c>
    </row>
    <row r="416" spans="1:9">
      <c r="A416" s="594">
        <v>1801</v>
      </c>
      <c r="B416" s="594" t="s">
        <v>1092</v>
      </c>
      <c r="C416" s="595">
        <v>105132336.72</v>
      </c>
      <c r="D416" s="596">
        <v>0</v>
      </c>
      <c r="E416" s="595">
        <v>1438766.78</v>
      </c>
      <c r="F416" s="595">
        <v>4280042.8499999996</v>
      </c>
      <c r="G416" s="595">
        <v>102291060.65000001</v>
      </c>
      <c r="H416" s="596">
        <v>0</v>
      </c>
      <c r="I416" s="594" t="s">
        <v>1109</v>
      </c>
    </row>
    <row r="417" spans="1:9" ht="28.5" customHeight="1">
      <c r="A417" s="594">
        <v>180101</v>
      </c>
      <c r="B417" s="594" t="s">
        <v>4213</v>
      </c>
      <c r="C417" s="595">
        <v>28832897.100000001</v>
      </c>
      <c r="D417" s="596">
        <v>0</v>
      </c>
      <c r="E417" s="595">
        <v>66921.78</v>
      </c>
      <c r="F417" s="595">
        <v>757706.97</v>
      </c>
      <c r="G417" s="595">
        <v>28142111.91</v>
      </c>
      <c r="H417" s="596">
        <v>0</v>
      </c>
      <c r="I417" s="594" t="s">
        <v>1110</v>
      </c>
    </row>
    <row r="418" spans="1:9" ht="17.100000000000001" customHeight="1">
      <c r="A418" s="594">
        <v>18010101</v>
      </c>
      <c r="B418" s="594" t="s">
        <v>4213</v>
      </c>
      <c r="C418" s="595">
        <v>28832897.100000001</v>
      </c>
      <c r="D418" s="596">
        <v>0</v>
      </c>
      <c r="E418" s="595">
        <v>66921.78</v>
      </c>
      <c r="F418" s="595">
        <v>757706.97</v>
      </c>
      <c r="G418" s="595">
        <v>28142111.91</v>
      </c>
      <c r="H418" s="596">
        <v>0</v>
      </c>
      <c r="I418" s="594" t="s">
        <v>1111</v>
      </c>
    </row>
    <row r="419" spans="1:9" ht="17.100000000000001" customHeight="1">
      <c r="A419" s="594">
        <v>180102</v>
      </c>
      <c r="B419" s="594" t="s">
        <v>4214</v>
      </c>
      <c r="C419" s="595">
        <v>76299439.620000005</v>
      </c>
      <c r="D419" s="596">
        <v>0</v>
      </c>
      <c r="E419" s="595">
        <v>1371845</v>
      </c>
      <c r="F419" s="595">
        <v>3522335.88</v>
      </c>
      <c r="G419" s="595">
        <v>74148948.739999995</v>
      </c>
      <c r="H419" s="596">
        <v>0</v>
      </c>
      <c r="I419" s="594" t="s">
        <v>4215</v>
      </c>
    </row>
    <row r="420" spans="1:9" ht="17.100000000000001" customHeight="1">
      <c r="A420" s="594">
        <v>18010201</v>
      </c>
      <c r="B420" s="594" t="s">
        <v>4214</v>
      </c>
      <c r="C420" s="595">
        <v>76299439.620000005</v>
      </c>
      <c r="D420" s="596">
        <v>0</v>
      </c>
      <c r="E420" s="595">
        <v>1371845</v>
      </c>
      <c r="F420" s="595">
        <v>3522335.88</v>
      </c>
      <c r="G420" s="595">
        <v>74148948.739999995</v>
      </c>
      <c r="H420" s="596">
        <v>0</v>
      </c>
      <c r="I420" s="594" t="s">
        <v>4216</v>
      </c>
    </row>
    <row r="421" spans="1:9" ht="17.100000000000001" customHeight="1">
      <c r="A421" s="594">
        <v>1811</v>
      </c>
      <c r="B421" s="594" t="s">
        <v>1112</v>
      </c>
      <c r="C421" s="595">
        <v>2981441588.8800001</v>
      </c>
      <c r="D421" s="596">
        <v>0</v>
      </c>
      <c r="E421" s="596">
        <v>0</v>
      </c>
      <c r="F421" s="596">
        <v>0</v>
      </c>
      <c r="G421" s="595">
        <v>2981441588.8800001</v>
      </c>
      <c r="H421" s="596">
        <v>0</v>
      </c>
      <c r="I421" s="594" t="s">
        <v>1113</v>
      </c>
    </row>
    <row r="422" spans="1:9" ht="17.100000000000001" customHeight="1">
      <c r="A422" s="594">
        <v>181199</v>
      </c>
      <c r="B422" s="594" t="s">
        <v>1114</v>
      </c>
      <c r="C422" s="595">
        <v>2981441588.8800001</v>
      </c>
      <c r="D422" s="596">
        <v>0</v>
      </c>
      <c r="E422" s="596">
        <v>0</v>
      </c>
      <c r="F422" s="596">
        <v>0</v>
      </c>
      <c r="G422" s="595">
        <v>2981441588.8800001</v>
      </c>
      <c r="H422" s="596">
        <v>0</v>
      </c>
      <c r="I422" s="594" t="s">
        <v>1115</v>
      </c>
    </row>
    <row r="423" spans="1:9" ht="17.100000000000001" customHeight="1">
      <c r="A423" s="594">
        <v>18119999</v>
      </c>
      <c r="B423" s="594" t="s">
        <v>1114</v>
      </c>
      <c r="C423" s="595">
        <v>2981441588.8800001</v>
      </c>
      <c r="D423" s="596">
        <v>0</v>
      </c>
      <c r="E423" s="596">
        <v>0</v>
      </c>
      <c r="F423" s="596">
        <v>0</v>
      </c>
      <c r="G423" s="595">
        <v>2981441588.8800001</v>
      </c>
      <c r="H423" s="596">
        <v>0</v>
      </c>
      <c r="I423" s="594" t="s">
        <v>1116</v>
      </c>
    </row>
    <row r="424" spans="1:9" ht="17.100000000000001" customHeight="1">
      <c r="A424" s="594">
        <v>1901</v>
      </c>
      <c r="B424" s="594" t="s">
        <v>1117</v>
      </c>
      <c r="C424" s="595">
        <v>297365914.58999997</v>
      </c>
      <c r="D424" s="596">
        <v>0</v>
      </c>
      <c r="E424" s="596">
        <v>0</v>
      </c>
      <c r="F424" s="596">
        <v>0</v>
      </c>
      <c r="G424" s="595">
        <v>297365914.58999997</v>
      </c>
      <c r="H424" s="596">
        <v>0</v>
      </c>
      <c r="I424" s="594" t="s">
        <v>1118</v>
      </c>
    </row>
    <row r="425" spans="1:9" ht="17.100000000000001" customHeight="1">
      <c r="A425" s="594">
        <v>190101</v>
      </c>
      <c r="B425" s="594" t="s">
        <v>1119</v>
      </c>
      <c r="C425" s="595">
        <v>786917.37</v>
      </c>
      <c r="D425" s="596">
        <v>0</v>
      </c>
      <c r="E425" s="596">
        <v>0</v>
      </c>
      <c r="F425" s="596">
        <v>0</v>
      </c>
      <c r="G425" s="595">
        <v>786917.37</v>
      </c>
      <c r="H425" s="596">
        <v>0</v>
      </c>
      <c r="I425" s="594" t="s">
        <v>1120</v>
      </c>
    </row>
    <row r="426" spans="1:9" ht="17.100000000000001" customHeight="1">
      <c r="A426" s="594">
        <v>19010101</v>
      </c>
      <c r="B426" s="594" t="s">
        <v>1119</v>
      </c>
      <c r="C426" s="595">
        <v>786917.37</v>
      </c>
      <c r="D426" s="596">
        <v>0</v>
      </c>
      <c r="E426" s="596">
        <v>0</v>
      </c>
      <c r="F426" s="596">
        <v>0</v>
      </c>
      <c r="G426" s="595">
        <v>786917.37</v>
      </c>
      <c r="H426" s="596">
        <v>0</v>
      </c>
      <c r="I426" s="594" t="s">
        <v>1121</v>
      </c>
    </row>
    <row r="427" spans="1:9" ht="17.100000000000001" customHeight="1">
      <c r="A427" s="320"/>
      <c r="B427" s="320"/>
      <c r="C427" s="320"/>
      <c r="D427" s="557" t="s">
        <v>4198</v>
      </c>
      <c r="E427" s="320" t="s">
        <v>3731</v>
      </c>
      <c r="F427" s="320"/>
      <c r="G427" s="320"/>
      <c r="H427" s="320"/>
      <c r="I427" s="320"/>
    </row>
    <row r="428" spans="1:9" ht="17.100000000000001" customHeight="1">
      <c r="A428" s="671"/>
      <c r="B428" s="671"/>
      <c r="C428" s="671"/>
      <c r="D428" s="671"/>
      <c r="E428" s="671"/>
      <c r="F428" s="671"/>
      <c r="G428" s="671"/>
      <c r="H428" s="671"/>
      <c r="I428" s="671"/>
    </row>
    <row r="429" spans="1:9" ht="17.100000000000001" customHeight="1">
      <c r="A429" s="320"/>
      <c r="B429" s="320"/>
      <c r="C429" s="589" t="s">
        <v>3707</v>
      </c>
      <c r="D429" s="320"/>
      <c r="E429" s="320"/>
      <c r="F429" s="671"/>
      <c r="G429" s="671"/>
      <c r="H429" s="671"/>
      <c r="I429" s="671"/>
    </row>
    <row r="430" spans="1:9" ht="17.100000000000001" customHeight="1">
      <c r="A430" s="590" t="s">
        <v>3708</v>
      </c>
      <c r="B430" s="590"/>
      <c r="C430" s="597">
        <v>42887</v>
      </c>
      <c r="D430" s="590"/>
      <c r="E430" s="557" t="s">
        <v>3709</v>
      </c>
      <c r="F430" s="671"/>
      <c r="G430" s="671"/>
      <c r="H430" s="671"/>
      <c r="I430" s="671"/>
    </row>
    <row r="431" spans="1:9" ht="17.100000000000001" customHeight="1">
      <c r="A431" s="593" t="s">
        <v>596</v>
      </c>
      <c r="B431" s="593" t="s">
        <v>597</v>
      </c>
      <c r="C431" s="593" t="s">
        <v>3710</v>
      </c>
      <c r="D431" s="593" t="s">
        <v>3711</v>
      </c>
      <c r="E431" s="593" t="s">
        <v>3712</v>
      </c>
      <c r="F431" s="593" t="s">
        <v>3713</v>
      </c>
      <c r="G431" s="593" t="s">
        <v>3714</v>
      </c>
      <c r="H431" s="593" t="s">
        <v>3715</v>
      </c>
      <c r="I431" s="593" t="s">
        <v>596</v>
      </c>
    </row>
    <row r="432" spans="1:9" ht="17.100000000000001" customHeight="1">
      <c r="A432" s="594">
        <v>190102</v>
      </c>
      <c r="B432" s="594" t="s">
        <v>1122</v>
      </c>
      <c r="C432" s="595">
        <v>296578997.22000003</v>
      </c>
      <c r="D432" s="596">
        <v>0</v>
      </c>
      <c r="E432" s="596">
        <v>0</v>
      </c>
      <c r="F432" s="596">
        <v>0</v>
      </c>
      <c r="G432" s="595">
        <v>296578997.22000003</v>
      </c>
      <c r="H432" s="596">
        <v>0</v>
      </c>
      <c r="I432" s="594" t="s">
        <v>1123</v>
      </c>
    </row>
    <row r="433" spans="1:9" ht="17.100000000000001" customHeight="1">
      <c r="A433" s="594">
        <v>19010201</v>
      </c>
      <c r="B433" s="594" t="s">
        <v>1122</v>
      </c>
      <c r="C433" s="595">
        <v>296578997.22000003</v>
      </c>
      <c r="D433" s="596">
        <v>0</v>
      </c>
      <c r="E433" s="596">
        <v>0</v>
      </c>
      <c r="F433" s="596">
        <v>0</v>
      </c>
      <c r="G433" s="595">
        <v>296578997.22000003</v>
      </c>
      <c r="H433" s="596">
        <v>0</v>
      </c>
      <c r="I433" s="594" t="s">
        <v>1124</v>
      </c>
    </row>
    <row r="434" spans="1:9" ht="17.100000000000001" customHeight="1">
      <c r="A434" s="594" t="s">
        <v>3853</v>
      </c>
      <c r="B434" s="594" t="s">
        <v>3854</v>
      </c>
      <c r="C434" s="596">
        <v>0</v>
      </c>
      <c r="D434" s="596">
        <v>0</v>
      </c>
      <c r="E434" s="595">
        <v>294633621.64999998</v>
      </c>
      <c r="F434" s="595">
        <v>294633621.64999998</v>
      </c>
      <c r="G434" s="596">
        <v>0</v>
      </c>
      <c r="H434" s="596">
        <v>0</v>
      </c>
      <c r="I434" s="594" t="s">
        <v>3855</v>
      </c>
    </row>
    <row r="435" spans="1:9" ht="17.100000000000001" customHeight="1">
      <c r="A435" s="594" t="s">
        <v>3856</v>
      </c>
      <c r="B435" s="594" t="s">
        <v>3854</v>
      </c>
      <c r="C435" s="596">
        <v>0</v>
      </c>
      <c r="D435" s="596">
        <v>0</v>
      </c>
      <c r="E435" s="595">
        <v>294633621.64999998</v>
      </c>
      <c r="F435" s="595">
        <v>294633621.64999998</v>
      </c>
      <c r="G435" s="596">
        <v>0</v>
      </c>
      <c r="H435" s="596">
        <v>0</v>
      </c>
      <c r="I435" s="594" t="s">
        <v>3857</v>
      </c>
    </row>
    <row r="436" spans="1:9" ht="17.100000000000001" customHeight="1">
      <c r="A436" s="594" t="s">
        <v>3858</v>
      </c>
      <c r="B436" s="594" t="s">
        <v>3859</v>
      </c>
      <c r="C436" s="596">
        <v>0</v>
      </c>
      <c r="D436" s="596">
        <v>0</v>
      </c>
      <c r="E436" s="595">
        <v>294633621.64999998</v>
      </c>
      <c r="F436" s="595">
        <v>294633621.64999998</v>
      </c>
      <c r="G436" s="596">
        <v>0</v>
      </c>
      <c r="H436" s="596">
        <v>0</v>
      </c>
      <c r="I436" s="594" t="s">
        <v>3860</v>
      </c>
    </row>
    <row r="437" spans="1:9" ht="17.100000000000001" customHeight="1">
      <c r="A437" s="594"/>
      <c r="B437" s="598" t="s">
        <v>3730</v>
      </c>
      <c r="C437" s="595">
        <v>817254969975.17004</v>
      </c>
      <c r="D437" s="595">
        <v>14683246720.65</v>
      </c>
      <c r="E437" s="595">
        <v>2895464203747.6899</v>
      </c>
      <c r="F437" s="595">
        <v>2880885179186.2202</v>
      </c>
      <c r="G437" s="595">
        <v>831621055432.98999</v>
      </c>
      <c r="H437" s="595">
        <v>14470307617</v>
      </c>
      <c r="I437" s="594" t="s">
        <v>1125</v>
      </c>
    </row>
    <row r="438" spans="1:9" ht="17.100000000000001" customHeight="1">
      <c r="A438" s="320"/>
      <c r="B438" s="320"/>
      <c r="C438" s="320"/>
      <c r="D438" s="557" t="s">
        <v>4198</v>
      </c>
      <c r="E438" s="320" t="s">
        <v>3732</v>
      </c>
      <c r="F438" s="320"/>
      <c r="G438" s="320"/>
      <c r="H438" s="320"/>
      <c r="I438" s="320"/>
    </row>
    <row r="439" spans="1:9" ht="17.100000000000001" customHeight="1">
      <c r="A439" s="671"/>
      <c r="B439" s="671"/>
      <c r="C439" s="671"/>
      <c r="D439" s="671"/>
      <c r="E439" s="671"/>
      <c r="F439" s="671"/>
      <c r="G439" s="671"/>
      <c r="H439" s="671"/>
      <c r="I439" s="671"/>
    </row>
    <row r="440" spans="1:9" ht="17.100000000000001" customHeight="1">
      <c r="A440" s="320"/>
      <c r="B440" s="320"/>
      <c r="C440" s="589" t="s">
        <v>3707</v>
      </c>
      <c r="D440" s="320"/>
      <c r="E440" s="320"/>
      <c r="F440" s="671"/>
      <c r="G440" s="671"/>
      <c r="H440" s="671"/>
      <c r="I440" s="671"/>
    </row>
    <row r="441" spans="1:9" ht="17.100000000000001" customHeight="1">
      <c r="A441" s="590" t="s">
        <v>3708</v>
      </c>
      <c r="B441" s="590"/>
      <c r="C441" s="597">
        <v>42887</v>
      </c>
      <c r="D441" s="590"/>
      <c r="E441" s="557" t="s">
        <v>3709</v>
      </c>
      <c r="F441" s="671"/>
      <c r="G441" s="671"/>
      <c r="H441" s="671"/>
      <c r="I441" s="671"/>
    </row>
    <row r="442" spans="1:9" ht="17.100000000000001" customHeight="1">
      <c r="A442" s="593" t="s">
        <v>596</v>
      </c>
      <c r="B442" s="593" t="s">
        <v>597</v>
      </c>
      <c r="C442" s="593" t="s">
        <v>3710</v>
      </c>
      <c r="D442" s="593" t="s">
        <v>3711</v>
      </c>
      <c r="E442" s="593" t="s">
        <v>3712</v>
      </c>
      <c r="F442" s="593" t="s">
        <v>3713</v>
      </c>
      <c r="G442" s="593" t="s">
        <v>3714</v>
      </c>
      <c r="H442" s="593" t="s">
        <v>3715</v>
      </c>
      <c r="I442" s="593" t="s">
        <v>596</v>
      </c>
    </row>
    <row r="443" spans="1:9" ht="17.100000000000001" customHeight="1">
      <c r="A443" s="594">
        <v>2001</v>
      </c>
      <c r="B443" s="594" t="s">
        <v>230</v>
      </c>
      <c r="C443" s="596">
        <v>0</v>
      </c>
      <c r="D443" s="595">
        <v>72719859991.179993</v>
      </c>
      <c r="E443" s="595">
        <v>211452459162.57001</v>
      </c>
      <c r="F443" s="595">
        <v>221016224397.78</v>
      </c>
      <c r="G443" s="596">
        <v>0</v>
      </c>
      <c r="H443" s="595">
        <v>82283625226.389999</v>
      </c>
      <c r="I443" s="594" t="s">
        <v>1126</v>
      </c>
    </row>
    <row r="444" spans="1:9" ht="17.100000000000001" customHeight="1">
      <c r="A444" s="594">
        <v>200101</v>
      </c>
      <c r="B444" s="594" t="s">
        <v>230</v>
      </c>
      <c r="C444" s="596">
        <v>0</v>
      </c>
      <c r="D444" s="595">
        <v>72719859991.179993</v>
      </c>
      <c r="E444" s="595">
        <v>211452459162.57001</v>
      </c>
      <c r="F444" s="595">
        <v>221016224397.78</v>
      </c>
      <c r="G444" s="596">
        <v>0</v>
      </c>
      <c r="H444" s="595">
        <v>82283625226.389999</v>
      </c>
      <c r="I444" s="594" t="s">
        <v>1127</v>
      </c>
    </row>
    <row r="445" spans="1:9" ht="17.100000000000001" customHeight="1">
      <c r="A445" s="594">
        <v>20010101</v>
      </c>
      <c r="B445" s="594" t="s">
        <v>1128</v>
      </c>
      <c r="C445" s="596">
        <v>0</v>
      </c>
      <c r="D445" s="595">
        <v>72719859991.179993</v>
      </c>
      <c r="E445" s="595">
        <v>211452459162.57001</v>
      </c>
      <c r="F445" s="595">
        <v>221016224397.78</v>
      </c>
      <c r="G445" s="596">
        <v>0</v>
      </c>
      <c r="H445" s="595">
        <v>82283625226.389999</v>
      </c>
      <c r="I445" s="594" t="s">
        <v>1129</v>
      </c>
    </row>
    <row r="446" spans="1:9" ht="17.100000000000001" customHeight="1">
      <c r="A446" s="594">
        <v>2002</v>
      </c>
      <c r="B446" s="594" t="s">
        <v>241</v>
      </c>
      <c r="C446" s="596">
        <v>0</v>
      </c>
      <c r="D446" s="595">
        <v>77655171153.490005</v>
      </c>
      <c r="E446" s="595">
        <v>9247084850.5499992</v>
      </c>
      <c r="F446" s="595">
        <v>9798580254.7700005</v>
      </c>
      <c r="G446" s="596">
        <v>0</v>
      </c>
      <c r="H446" s="595">
        <v>78206666557.710007</v>
      </c>
      <c r="I446" s="594" t="s">
        <v>1130</v>
      </c>
    </row>
    <row r="447" spans="1:9" ht="17.100000000000001" customHeight="1">
      <c r="A447" s="594">
        <v>200201</v>
      </c>
      <c r="B447" s="594" t="s">
        <v>1131</v>
      </c>
      <c r="C447" s="596">
        <v>0</v>
      </c>
      <c r="D447" s="595">
        <v>61654898425.790001</v>
      </c>
      <c r="E447" s="595">
        <v>5054764064.9799995</v>
      </c>
      <c r="F447" s="595">
        <v>5838419120.3500004</v>
      </c>
      <c r="G447" s="596">
        <v>0</v>
      </c>
      <c r="H447" s="595">
        <v>62438553481.160004</v>
      </c>
      <c r="I447" s="594" t="s">
        <v>1132</v>
      </c>
    </row>
    <row r="448" spans="1:9" ht="17.100000000000001" customHeight="1">
      <c r="A448" s="594">
        <v>20020103</v>
      </c>
      <c r="B448" s="594" t="s">
        <v>1133</v>
      </c>
      <c r="C448" s="596">
        <v>0</v>
      </c>
      <c r="D448" s="595">
        <v>1962882263.24</v>
      </c>
      <c r="E448" s="595">
        <v>112912342.41</v>
      </c>
      <c r="F448" s="595">
        <v>92517822.180000007</v>
      </c>
      <c r="G448" s="596">
        <v>0</v>
      </c>
      <c r="H448" s="595">
        <v>1942487743.01</v>
      </c>
      <c r="I448" s="594" t="s">
        <v>1134</v>
      </c>
    </row>
    <row r="449" spans="1:9" ht="17.100000000000001" customHeight="1">
      <c r="A449" s="594">
        <v>20020105</v>
      </c>
      <c r="B449" s="594" t="s">
        <v>1135</v>
      </c>
      <c r="C449" s="596">
        <v>0</v>
      </c>
      <c r="D449" s="595">
        <v>2703384146.3899999</v>
      </c>
      <c r="E449" s="595">
        <v>56486657.719999999</v>
      </c>
      <c r="F449" s="595">
        <v>495619110.61000001</v>
      </c>
      <c r="G449" s="596">
        <v>0</v>
      </c>
      <c r="H449" s="595">
        <v>3142516599.2800002</v>
      </c>
      <c r="I449" s="594" t="s">
        <v>1136</v>
      </c>
    </row>
    <row r="450" spans="1:9" ht="17.100000000000001" customHeight="1">
      <c r="A450" s="594">
        <v>20020109</v>
      </c>
      <c r="B450" s="594" t="s">
        <v>1137</v>
      </c>
      <c r="C450" s="596">
        <v>0</v>
      </c>
      <c r="D450" s="595">
        <v>23417952140.23</v>
      </c>
      <c r="E450" s="595">
        <v>3062279476</v>
      </c>
      <c r="F450" s="595">
        <v>2976605218.1399999</v>
      </c>
      <c r="G450" s="596">
        <v>0</v>
      </c>
      <c r="H450" s="595">
        <v>23332277882.369999</v>
      </c>
      <c r="I450" s="594" t="s">
        <v>1138</v>
      </c>
    </row>
    <row r="451" spans="1:9" ht="17.100000000000001" customHeight="1">
      <c r="A451" s="594">
        <v>20020111</v>
      </c>
      <c r="B451" s="594" t="s">
        <v>1139</v>
      </c>
      <c r="C451" s="596">
        <v>0</v>
      </c>
      <c r="D451" s="595">
        <v>3253484877.8499999</v>
      </c>
      <c r="E451" s="595">
        <v>89449233.019999996</v>
      </c>
      <c r="F451" s="595">
        <v>259927854.49000001</v>
      </c>
      <c r="G451" s="596">
        <v>0</v>
      </c>
      <c r="H451" s="595">
        <v>3423963499.3200002</v>
      </c>
      <c r="I451" s="594" t="s">
        <v>1140</v>
      </c>
    </row>
    <row r="452" spans="1:9" ht="28.5" customHeight="1">
      <c r="A452" s="594">
        <v>20020113</v>
      </c>
      <c r="B452" s="594" t="s">
        <v>1141</v>
      </c>
      <c r="C452" s="596">
        <v>0</v>
      </c>
      <c r="D452" s="595">
        <v>13789030794.09</v>
      </c>
      <c r="E452" s="595">
        <v>1391531314.52</v>
      </c>
      <c r="F452" s="595">
        <v>1503078808</v>
      </c>
      <c r="G452" s="596">
        <v>0</v>
      </c>
      <c r="H452" s="595">
        <v>13900578287.57</v>
      </c>
      <c r="I452" s="594" t="s">
        <v>1142</v>
      </c>
    </row>
    <row r="453" spans="1:9">
      <c r="A453" s="594">
        <v>20020115</v>
      </c>
      <c r="B453" s="594" t="s">
        <v>1143</v>
      </c>
      <c r="C453" s="596">
        <v>0</v>
      </c>
      <c r="D453" s="595">
        <v>16528164203.99</v>
      </c>
      <c r="E453" s="595">
        <v>342105041.31</v>
      </c>
      <c r="F453" s="595">
        <v>510670306.93000001</v>
      </c>
      <c r="G453" s="596">
        <v>0</v>
      </c>
      <c r="H453" s="595">
        <v>16696729469.610001</v>
      </c>
      <c r="I453" s="594" t="s">
        <v>1144</v>
      </c>
    </row>
    <row r="454" spans="1:9">
      <c r="A454" s="594">
        <v>200202</v>
      </c>
      <c r="B454" s="594" t="s">
        <v>283</v>
      </c>
      <c r="C454" s="596">
        <v>0</v>
      </c>
      <c r="D454" s="595">
        <v>11225000000</v>
      </c>
      <c r="E454" s="595">
        <v>3000000000</v>
      </c>
      <c r="F454" s="596">
        <v>0</v>
      </c>
      <c r="G454" s="596">
        <v>0</v>
      </c>
      <c r="H454" s="595">
        <v>8225000000</v>
      </c>
      <c r="I454" s="594" t="s">
        <v>1145</v>
      </c>
    </row>
    <row r="455" spans="1:9">
      <c r="A455" s="594">
        <v>20020201</v>
      </c>
      <c r="B455" s="594" t="s">
        <v>1146</v>
      </c>
      <c r="C455" s="596">
        <v>0</v>
      </c>
      <c r="D455" s="595">
        <v>11225000000</v>
      </c>
      <c r="E455" s="595">
        <v>3000000000</v>
      </c>
      <c r="F455" s="596">
        <v>0</v>
      </c>
      <c r="G455" s="596">
        <v>0</v>
      </c>
      <c r="H455" s="595">
        <v>8225000000</v>
      </c>
      <c r="I455" s="594" t="s">
        <v>1147</v>
      </c>
    </row>
    <row r="456" spans="1:9" ht="28.5" customHeight="1">
      <c r="A456" s="594">
        <v>200203</v>
      </c>
      <c r="B456" s="594" t="s">
        <v>1148</v>
      </c>
      <c r="C456" s="596">
        <v>0</v>
      </c>
      <c r="D456" s="595">
        <v>2335558892.6999998</v>
      </c>
      <c r="E456" s="595">
        <v>1142320785.5699999</v>
      </c>
      <c r="F456" s="595">
        <v>505161134.42000002</v>
      </c>
      <c r="G456" s="596">
        <v>0</v>
      </c>
      <c r="H456" s="595">
        <v>1698399241.55</v>
      </c>
      <c r="I456" s="594" t="s">
        <v>1149</v>
      </c>
    </row>
    <row r="457" spans="1:9" ht="17.100000000000001" customHeight="1">
      <c r="A457" s="594">
        <v>20020301</v>
      </c>
      <c r="B457" s="594" t="s">
        <v>1150</v>
      </c>
      <c r="C457" s="596">
        <v>0</v>
      </c>
      <c r="D457" s="595">
        <v>2335558892.6999998</v>
      </c>
      <c r="E457" s="595">
        <v>1142320785.5699999</v>
      </c>
      <c r="F457" s="595">
        <v>505161134.42000002</v>
      </c>
      <c r="G457" s="596">
        <v>0</v>
      </c>
      <c r="H457" s="595">
        <v>1698399241.55</v>
      </c>
      <c r="I457" s="594" t="s">
        <v>1151</v>
      </c>
    </row>
    <row r="458" spans="1:9" ht="17.100000000000001" customHeight="1">
      <c r="A458" s="594">
        <v>200204</v>
      </c>
      <c r="B458" s="594" t="s">
        <v>2668</v>
      </c>
      <c r="C458" s="596">
        <v>0</v>
      </c>
      <c r="D458" s="595">
        <v>2439713835</v>
      </c>
      <c r="E458" s="595">
        <v>50000000</v>
      </c>
      <c r="F458" s="595">
        <v>3455000000</v>
      </c>
      <c r="G458" s="596">
        <v>0</v>
      </c>
      <c r="H458" s="595">
        <v>5844713835</v>
      </c>
      <c r="I458" s="594" t="s">
        <v>2669</v>
      </c>
    </row>
    <row r="459" spans="1:9" ht="17.100000000000001" customHeight="1">
      <c r="A459" s="594">
        <v>20020401</v>
      </c>
      <c r="B459" s="594" t="s">
        <v>2670</v>
      </c>
      <c r="C459" s="596">
        <v>0</v>
      </c>
      <c r="D459" s="595">
        <v>2439713835</v>
      </c>
      <c r="E459" s="595">
        <v>50000000</v>
      </c>
      <c r="F459" s="595">
        <v>3455000000</v>
      </c>
      <c r="G459" s="596">
        <v>0</v>
      </c>
      <c r="H459" s="595">
        <v>5844713835</v>
      </c>
      <c r="I459" s="594" t="s">
        <v>2671</v>
      </c>
    </row>
    <row r="460" spans="1:9" ht="17.100000000000001" customHeight="1">
      <c r="A460" s="594">
        <v>2003</v>
      </c>
      <c r="B460" s="594" t="s">
        <v>325</v>
      </c>
      <c r="C460" s="596">
        <v>0</v>
      </c>
      <c r="D460" s="595">
        <v>80105048683.529999</v>
      </c>
      <c r="E460" s="595">
        <v>97194640054.399994</v>
      </c>
      <c r="F460" s="595">
        <v>99391366430.289993</v>
      </c>
      <c r="G460" s="596">
        <v>0</v>
      </c>
      <c r="H460" s="595">
        <v>82301775059.419998</v>
      </c>
      <c r="I460" s="594" t="s">
        <v>1152</v>
      </c>
    </row>
    <row r="461" spans="1:9" ht="17.100000000000001" customHeight="1">
      <c r="A461" s="594">
        <v>200301</v>
      </c>
      <c r="B461" s="594" t="s">
        <v>1153</v>
      </c>
      <c r="C461" s="596">
        <v>0</v>
      </c>
      <c r="D461" s="595">
        <v>835472505.44000006</v>
      </c>
      <c r="E461" s="595">
        <v>106106085.51000001</v>
      </c>
      <c r="F461" s="595">
        <v>97394843.719999999</v>
      </c>
      <c r="G461" s="596">
        <v>0</v>
      </c>
      <c r="H461" s="595">
        <v>826761263.64999998</v>
      </c>
      <c r="I461" s="594" t="s">
        <v>1154</v>
      </c>
    </row>
    <row r="462" spans="1:9" ht="17.100000000000001" customHeight="1">
      <c r="A462" s="594">
        <v>20030101</v>
      </c>
      <c r="B462" s="594" t="s">
        <v>1155</v>
      </c>
      <c r="C462" s="596">
        <v>0</v>
      </c>
      <c r="D462" s="595">
        <v>834965067.28999996</v>
      </c>
      <c r="E462" s="595">
        <v>106106085.51000001</v>
      </c>
      <c r="F462" s="595">
        <v>97394843.719999999</v>
      </c>
      <c r="G462" s="596">
        <v>0</v>
      </c>
      <c r="H462" s="595">
        <v>826253825.5</v>
      </c>
      <c r="I462" s="594" t="s">
        <v>1156</v>
      </c>
    </row>
    <row r="463" spans="1:9" ht="17.100000000000001" customHeight="1">
      <c r="A463" s="594">
        <v>20030103</v>
      </c>
      <c r="B463" s="594" t="s">
        <v>1157</v>
      </c>
      <c r="C463" s="596">
        <v>0</v>
      </c>
      <c r="D463" s="595">
        <v>507438.15</v>
      </c>
      <c r="E463" s="596">
        <v>0</v>
      </c>
      <c r="F463" s="596">
        <v>0</v>
      </c>
      <c r="G463" s="596">
        <v>0</v>
      </c>
      <c r="H463" s="595">
        <v>507438.15</v>
      </c>
      <c r="I463" s="594" t="s">
        <v>1158</v>
      </c>
    </row>
    <row r="464" spans="1:9" ht="17.100000000000001" customHeight="1">
      <c r="A464" s="594">
        <v>200302</v>
      </c>
      <c r="B464" s="594" t="s">
        <v>1159</v>
      </c>
      <c r="C464" s="596">
        <v>0</v>
      </c>
      <c r="D464" s="595">
        <v>79269576178.089996</v>
      </c>
      <c r="E464" s="595">
        <v>97088533968.889999</v>
      </c>
      <c r="F464" s="595">
        <v>99293971586.570007</v>
      </c>
      <c r="G464" s="596">
        <v>0</v>
      </c>
      <c r="H464" s="595">
        <v>81475013795.770004</v>
      </c>
      <c r="I464" s="594" t="s">
        <v>1160</v>
      </c>
    </row>
    <row r="465" spans="1:9" ht="17.100000000000001" customHeight="1">
      <c r="A465" s="594">
        <v>20030201</v>
      </c>
      <c r="B465" s="594" t="s">
        <v>1161</v>
      </c>
      <c r="C465" s="596">
        <v>0</v>
      </c>
      <c r="D465" s="595">
        <v>79269576178.089996</v>
      </c>
      <c r="E465" s="595">
        <v>97088533968.889999</v>
      </c>
      <c r="F465" s="595">
        <v>99293971586.570007</v>
      </c>
      <c r="G465" s="596">
        <v>0</v>
      </c>
      <c r="H465" s="595">
        <v>81475013795.770004</v>
      </c>
      <c r="I465" s="594" t="s">
        <v>1162</v>
      </c>
    </row>
    <row r="466" spans="1:9" ht="17.100000000000001" customHeight="1">
      <c r="A466" s="594">
        <v>2004</v>
      </c>
      <c r="B466" s="594" t="s">
        <v>334</v>
      </c>
      <c r="C466" s="596">
        <v>0</v>
      </c>
      <c r="D466" s="595">
        <v>106511962389.41</v>
      </c>
      <c r="E466" s="595">
        <v>6918331670.8299999</v>
      </c>
      <c r="F466" s="595">
        <v>7154974275.1599998</v>
      </c>
      <c r="G466" s="596">
        <v>0</v>
      </c>
      <c r="H466" s="595">
        <v>106748604993.74001</v>
      </c>
      <c r="I466" s="594" t="s">
        <v>1163</v>
      </c>
    </row>
    <row r="467" spans="1:9" ht="17.100000000000001" customHeight="1">
      <c r="A467" s="594">
        <v>200401</v>
      </c>
      <c r="B467" s="594" t="s">
        <v>1164</v>
      </c>
      <c r="C467" s="596">
        <v>0</v>
      </c>
      <c r="D467" s="595">
        <v>103333106784.98</v>
      </c>
      <c r="E467" s="595">
        <v>5795765607.6099997</v>
      </c>
      <c r="F467" s="595">
        <v>5925192150.8000002</v>
      </c>
      <c r="G467" s="596">
        <v>0</v>
      </c>
      <c r="H467" s="595">
        <v>103462533328.17</v>
      </c>
      <c r="I467" s="594" t="s">
        <v>1165</v>
      </c>
    </row>
    <row r="468" spans="1:9" ht="17.100000000000001" customHeight="1">
      <c r="A468" s="594">
        <v>20040101</v>
      </c>
      <c r="B468" s="594" t="s">
        <v>1166</v>
      </c>
      <c r="C468" s="596">
        <v>0</v>
      </c>
      <c r="D468" s="595">
        <v>155956.43</v>
      </c>
      <c r="E468" s="595">
        <v>2376.4</v>
      </c>
      <c r="F468" s="595">
        <v>24497.81</v>
      </c>
      <c r="G468" s="596">
        <v>0</v>
      </c>
      <c r="H468" s="595">
        <v>178077.84</v>
      </c>
      <c r="I468" s="594" t="s">
        <v>1167</v>
      </c>
    </row>
    <row r="469" spans="1:9" ht="17.100000000000001" customHeight="1">
      <c r="A469" s="594">
        <v>20040103</v>
      </c>
      <c r="B469" s="594" t="s">
        <v>1168</v>
      </c>
      <c r="C469" s="596">
        <v>0</v>
      </c>
      <c r="D469" s="595">
        <v>4024459086.1700001</v>
      </c>
      <c r="E469" s="595">
        <v>535947628.43000001</v>
      </c>
      <c r="F469" s="595">
        <v>573178303.54999995</v>
      </c>
      <c r="G469" s="596">
        <v>0</v>
      </c>
      <c r="H469" s="595">
        <v>4061689761.29</v>
      </c>
      <c r="I469" s="594" t="s">
        <v>1169</v>
      </c>
    </row>
    <row r="470" spans="1:9" ht="17.100000000000001" customHeight="1">
      <c r="A470" s="594">
        <v>20040105</v>
      </c>
      <c r="B470" s="594" t="s">
        <v>1170</v>
      </c>
      <c r="C470" s="596">
        <v>0</v>
      </c>
      <c r="D470" s="595">
        <v>5588587175.3800001</v>
      </c>
      <c r="E470" s="595">
        <v>389818127.55000001</v>
      </c>
      <c r="F470" s="595">
        <v>465589757.98000002</v>
      </c>
      <c r="G470" s="596">
        <v>0</v>
      </c>
      <c r="H470" s="595">
        <v>5664358805.8100004</v>
      </c>
      <c r="I470" s="594" t="s">
        <v>1171</v>
      </c>
    </row>
    <row r="471" spans="1:9" ht="17.100000000000001" customHeight="1">
      <c r="A471" s="594">
        <v>20040107</v>
      </c>
      <c r="B471" s="594" t="s">
        <v>1172</v>
      </c>
      <c r="C471" s="596">
        <v>0</v>
      </c>
      <c r="D471" s="595">
        <v>5171.87</v>
      </c>
      <c r="E471" s="596">
        <v>0</v>
      </c>
      <c r="F471" s="596">
        <v>0</v>
      </c>
      <c r="G471" s="596">
        <v>0</v>
      </c>
      <c r="H471" s="595">
        <v>5171.87</v>
      </c>
      <c r="I471" s="594" t="s">
        <v>1173</v>
      </c>
    </row>
    <row r="472" spans="1:9" ht="17.100000000000001" customHeight="1">
      <c r="A472" s="594">
        <v>20040109</v>
      </c>
      <c r="B472" s="594" t="s">
        <v>1174</v>
      </c>
      <c r="C472" s="596">
        <v>0</v>
      </c>
      <c r="D472" s="595">
        <v>55135760562.370003</v>
      </c>
      <c r="E472" s="595">
        <v>3991667928.04</v>
      </c>
      <c r="F472" s="595">
        <v>4065149246.9000001</v>
      </c>
      <c r="G472" s="596">
        <v>0</v>
      </c>
      <c r="H472" s="595">
        <v>55209241881.230003</v>
      </c>
      <c r="I472" s="594" t="s">
        <v>1175</v>
      </c>
    </row>
    <row r="473" spans="1:9" ht="17.100000000000001" customHeight="1">
      <c r="A473" s="594">
        <v>20040111</v>
      </c>
      <c r="B473" s="594" t="s">
        <v>1176</v>
      </c>
      <c r="C473" s="596">
        <v>0</v>
      </c>
      <c r="D473" s="595">
        <v>15850597097.709999</v>
      </c>
      <c r="E473" s="595">
        <v>465695427.49000001</v>
      </c>
      <c r="F473" s="595">
        <v>426368608.57999998</v>
      </c>
      <c r="G473" s="596">
        <v>0</v>
      </c>
      <c r="H473" s="595">
        <v>15811270278.799999</v>
      </c>
      <c r="I473" s="594" t="s">
        <v>1177</v>
      </c>
    </row>
    <row r="474" spans="1:9" ht="17.100000000000001" customHeight="1">
      <c r="A474" s="594">
        <v>20040113</v>
      </c>
      <c r="B474" s="594" t="s">
        <v>1178</v>
      </c>
      <c r="C474" s="596">
        <v>0</v>
      </c>
      <c r="D474" s="595">
        <v>16271435967.09</v>
      </c>
      <c r="E474" s="595">
        <v>302264324.54000002</v>
      </c>
      <c r="F474" s="595">
        <v>308329440.80000001</v>
      </c>
      <c r="G474" s="596">
        <v>0</v>
      </c>
      <c r="H474" s="595">
        <v>16277501083.35</v>
      </c>
      <c r="I474" s="594" t="s">
        <v>1179</v>
      </c>
    </row>
    <row r="475" spans="1:9" ht="17.100000000000001" customHeight="1">
      <c r="A475" s="594">
        <v>20040115</v>
      </c>
      <c r="B475" s="594" t="s">
        <v>1180</v>
      </c>
      <c r="C475" s="596">
        <v>0</v>
      </c>
      <c r="D475" s="595">
        <v>6461974006.7299995</v>
      </c>
      <c r="E475" s="595">
        <v>110368995.16</v>
      </c>
      <c r="F475" s="595">
        <v>86552295.180000007</v>
      </c>
      <c r="G475" s="596">
        <v>0</v>
      </c>
      <c r="H475" s="595">
        <v>6438157306.75</v>
      </c>
      <c r="I475" s="594" t="s">
        <v>1181</v>
      </c>
    </row>
    <row r="476" spans="1:9" ht="17.100000000000001" customHeight="1">
      <c r="A476" s="594">
        <v>20040117</v>
      </c>
      <c r="B476" s="594" t="s">
        <v>1182</v>
      </c>
      <c r="C476" s="596">
        <v>0</v>
      </c>
      <c r="D476" s="595">
        <v>131761.23000000001</v>
      </c>
      <c r="E476" s="596">
        <v>800</v>
      </c>
      <c r="F476" s="596">
        <v>0</v>
      </c>
      <c r="G476" s="596">
        <v>0</v>
      </c>
      <c r="H476" s="595">
        <v>130961.23</v>
      </c>
      <c r="I476" s="594" t="s">
        <v>1183</v>
      </c>
    </row>
    <row r="477" spans="1:9" ht="17.100000000000001" customHeight="1">
      <c r="A477" s="320"/>
      <c r="B477" s="320"/>
      <c r="C477" s="320"/>
      <c r="D477" s="557" t="s">
        <v>4198</v>
      </c>
      <c r="E477" s="320" t="s">
        <v>3733</v>
      </c>
      <c r="F477" s="320"/>
      <c r="G477" s="320"/>
      <c r="H477" s="320"/>
      <c r="I477" s="320"/>
    </row>
    <row r="478" spans="1:9" ht="17.100000000000001" customHeight="1">
      <c r="A478" s="671"/>
      <c r="B478" s="671"/>
      <c r="C478" s="671"/>
      <c r="D478" s="671"/>
      <c r="E478" s="671"/>
      <c r="F478" s="671"/>
      <c r="G478" s="671"/>
      <c r="H478" s="671"/>
      <c r="I478" s="671"/>
    </row>
    <row r="479" spans="1:9" ht="17.100000000000001" customHeight="1">
      <c r="A479" s="320"/>
      <c r="B479" s="320"/>
      <c r="C479" s="589" t="s">
        <v>3707</v>
      </c>
      <c r="D479" s="320"/>
      <c r="E479" s="320"/>
      <c r="F479" s="671"/>
      <c r="G479" s="671"/>
      <c r="H479" s="671"/>
      <c r="I479" s="671"/>
    </row>
    <row r="480" spans="1:9" ht="17.100000000000001" customHeight="1">
      <c r="A480" s="590" t="s">
        <v>3708</v>
      </c>
      <c r="B480" s="590"/>
      <c r="C480" s="597">
        <v>42887</v>
      </c>
      <c r="D480" s="590"/>
      <c r="E480" s="557" t="s">
        <v>3709</v>
      </c>
      <c r="F480" s="671"/>
      <c r="G480" s="671"/>
      <c r="H480" s="671"/>
      <c r="I480" s="671"/>
    </row>
    <row r="481" spans="1:9" ht="17.100000000000001" customHeight="1">
      <c r="A481" s="593" t="s">
        <v>596</v>
      </c>
      <c r="B481" s="593" t="s">
        <v>597</v>
      </c>
      <c r="C481" s="593" t="s">
        <v>3710</v>
      </c>
      <c r="D481" s="593" t="s">
        <v>3711</v>
      </c>
      <c r="E481" s="593" t="s">
        <v>3712</v>
      </c>
      <c r="F481" s="593" t="s">
        <v>3713</v>
      </c>
      <c r="G481" s="593" t="s">
        <v>3714</v>
      </c>
      <c r="H481" s="593" t="s">
        <v>3715</v>
      </c>
      <c r="I481" s="593" t="s">
        <v>596</v>
      </c>
    </row>
    <row r="482" spans="1:9" ht="17.100000000000001" customHeight="1">
      <c r="A482" s="594">
        <v>200402</v>
      </c>
      <c r="B482" s="594" t="s">
        <v>1184</v>
      </c>
      <c r="C482" s="596">
        <v>0</v>
      </c>
      <c r="D482" s="595">
        <v>1395935</v>
      </c>
      <c r="E482" s="595">
        <v>50000</v>
      </c>
      <c r="F482" s="595">
        <v>105980</v>
      </c>
      <c r="G482" s="596">
        <v>0</v>
      </c>
      <c r="H482" s="595">
        <v>1451915</v>
      </c>
      <c r="I482" s="594" t="s">
        <v>1185</v>
      </c>
    </row>
    <row r="483" spans="1:9" ht="17.100000000000001" customHeight="1">
      <c r="A483" s="594">
        <v>20040201</v>
      </c>
      <c r="B483" s="594" t="s">
        <v>1186</v>
      </c>
      <c r="C483" s="596">
        <v>0</v>
      </c>
      <c r="D483" s="595">
        <v>1034585</v>
      </c>
      <c r="E483" s="595">
        <v>50000</v>
      </c>
      <c r="F483" s="595">
        <v>101480</v>
      </c>
      <c r="G483" s="596">
        <v>0</v>
      </c>
      <c r="H483" s="595">
        <v>1086065</v>
      </c>
      <c r="I483" s="594" t="s">
        <v>1187</v>
      </c>
    </row>
    <row r="484" spans="1:9" ht="17.100000000000001" customHeight="1">
      <c r="A484" s="594">
        <v>20040203</v>
      </c>
      <c r="B484" s="594" t="s">
        <v>1188</v>
      </c>
      <c r="C484" s="596">
        <v>0</v>
      </c>
      <c r="D484" s="595">
        <v>193500</v>
      </c>
      <c r="E484" s="596">
        <v>0</v>
      </c>
      <c r="F484" s="595">
        <v>3200</v>
      </c>
      <c r="G484" s="596">
        <v>0</v>
      </c>
      <c r="H484" s="595">
        <v>196700</v>
      </c>
      <c r="I484" s="594" t="s">
        <v>1189</v>
      </c>
    </row>
    <row r="485" spans="1:9" ht="17.100000000000001" customHeight="1">
      <c r="A485" s="594">
        <v>20040205</v>
      </c>
      <c r="B485" s="594" t="s">
        <v>1190</v>
      </c>
      <c r="C485" s="596">
        <v>0</v>
      </c>
      <c r="D485" s="595">
        <v>167850</v>
      </c>
      <c r="E485" s="596">
        <v>0</v>
      </c>
      <c r="F485" s="595">
        <v>1300</v>
      </c>
      <c r="G485" s="596">
        <v>0</v>
      </c>
      <c r="H485" s="595">
        <v>169150</v>
      </c>
      <c r="I485" s="594" t="s">
        <v>1191</v>
      </c>
    </row>
    <row r="486" spans="1:9" ht="17.100000000000001" customHeight="1">
      <c r="A486" s="594">
        <v>200403</v>
      </c>
      <c r="B486" s="594" t="s">
        <v>1192</v>
      </c>
      <c r="C486" s="596">
        <v>0</v>
      </c>
      <c r="D486" s="595">
        <v>250000</v>
      </c>
      <c r="E486" s="596">
        <v>0</v>
      </c>
      <c r="F486" s="596">
        <v>0</v>
      </c>
      <c r="G486" s="596">
        <v>0</v>
      </c>
      <c r="H486" s="595">
        <v>250000</v>
      </c>
      <c r="I486" s="594" t="s">
        <v>1193</v>
      </c>
    </row>
    <row r="487" spans="1:9" ht="17.100000000000001" customHeight="1">
      <c r="A487" s="594">
        <v>20040303</v>
      </c>
      <c r="B487" s="594" t="s">
        <v>1194</v>
      </c>
      <c r="C487" s="596">
        <v>0</v>
      </c>
      <c r="D487" s="595">
        <v>250000</v>
      </c>
      <c r="E487" s="596">
        <v>0</v>
      </c>
      <c r="F487" s="596">
        <v>0</v>
      </c>
      <c r="G487" s="596">
        <v>0</v>
      </c>
      <c r="H487" s="595">
        <v>250000</v>
      </c>
      <c r="I487" s="594" t="s">
        <v>1195</v>
      </c>
    </row>
    <row r="488" spans="1:9" ht="17.100000000000001" customHeight="1">
      <c r="A488" s="594">
        <v>200406</v>
      </c>
      <c r="B488" s="594" t="s">
        <v>1196</v>
      </c>
      <c r="C488" s="596">
        <v>0</v>
      </c>
      <c r="D488" s="595">
        <v>1357742744.8</v>
      </c>
      <c r="E488" s="595">
        <v>1034245563.22</v>
      </c>
      <c r="F488" s="595">
        <v>1002278644.36</v>
      </c>
      <c r="G488" s="596">
        <v>0</v>
      </c>
      <c r="H488" s="595">
        <v>1325775825.9400001</v>
      </c>
      <c r="I488" s="594" t="s">
        <v>1197</v>
      </c>
    </row>
    <row r="489" spans="1:9" ht="17.100000000000001" customHeight="1">
      <c r="A489" s="594">
        <v>20040601</v>
      </c>
      <c r="B489" s="594" t="s">
        <v>1198</v>
      </c>
      <c r="C489" s="596">
        <v>0</v>
      </c>
      <c r="D489" s="595">
        <v>1357742744.8</v>
      </c>
      <c r="E489" s="595">
        <v>1034245563.22</v>
      </c>
      <c r="F489" s="595">
        <v>1002278644.36</v>
      </c>
      <c r="G489" s="596">
        <v>0</v>
      </c>
      <c r="H489" s="595">
        <v>1325775825.9400001</v>
      </c>
      <c r="I489" s="594" t="s">
        <v>1199</v>
      </c>
    </row>
    <row r="490" spans="1:9" ht="17.100000000000001" customHeight="1">
      <c r="A490" s="594">
        <v>200407</v>
      </c>
      <c r="B490" s="594" t="s">
        <v>1200</v>
      </c>
      <c r="C490" s="596">
        <v>0</v>
      </c>
      <c r="D490" s="595">
        <v>57084.6</v>
      </c>
      <c r="E490" s="596">
        <v>500</v>
      </c>
      <c r="F490" s="595">
        <v>7500</v>
      </c>
      <c r="G490" s="596">
        <v>0</v>
      </c>
      <c r="H490" s="595">
        <v>64084.6</v>
      </c>
      <c r="I490" s="594" t="s">
        <v>1201</v>
      </c>
    </row>
    <row r="491" spans="1:9" ht="28.5" customHeight="1">
      <c r="A491" s="594">
        <v>20040701</v>
      </c>
      <c r="B491" s="594" t="s">
        <v>1202</v>
      </c>
      <c r="C491" s="596">
        <v>0</v>
      </c>
      <c r="D491" s="595">
        <v>57084.6</v>
      </c>
      <c r="E491" s="596">
        <v>500</v>
      </c>
      <c r="F491" s="595">
        <v>7500</v>
      </c>
      <c r="G491" s="596">
        <v>0</v>
      </c>
      <c r="H491" s="595">
        <v>64084.6</v>
      </c>
      <c r="I491" s="594" t="s">
        <v>1203</v>
      </c>
    </row>
    <row r="492" spans="1:9">
      <c r="A492" s="594">
        <v>200408</v>
      </c>
      <c r="B492" s="594" t="s">
        <v>1204</v>
      </c>
      <c r="C492" s="596">
        <v>0</v>
      </c>
      <c r="D492" s="595">
        <v>924439.03</v>
      </c>
      <c r="E492" s="596">
        <v>0</v>
      </c>
      <c r="F492" s="596">
        <v>0</v>
      </c>
      <c r="G492" s="596">
        <v>0</v>
      </c>
      <c r="H492" s="595">
        <v>924439.03</v>
      </c>
      <c r="I492" s="594" t="s">
        <v>1205</v>
      </c>
    </row>
    <row r="493" spans="1:9">
      <c r="A493" s="594">
        <v>20040801</v>
      </c>
      <c r="B493" s="594" t="s">
        <v>1204</v>
      </c>
      <c r="C493" s="596">
        <v>0</v>
      </c>
      <c r="D493" s="595">
        <v>924439.03</v>
      </c>
      <c r="E493" s="596">
        <v>0</v>
      </c>
      <c r="F493" s="596">
        <v>0</v>
      </c>
      <c r="G493" s="596">
        <v>0</v>
      </c>
      <c r="H493" s="595">
        <v>924439.03</v>
      </c>
      <c r="I493" s="594" t="s">
        <v>1206</v>
      </c>
    </row>
    <row r="494" spans="1:9">
      <c r="A494" s="594">
        <v>200409</v>
      </c>
      <c r="B494" s="594" t="s">
        <v>2672</v>
      </c>
      <c r="C494" s="596">
        <v>0</v>
      </c>
      <c r="D494" s="595">
        <v>1816890000</v>
      </c>
      <c r="E494" s="595">
        <v>86600000</v>
      </c>
      <c r="F494" s="595">
        <v>217710000</v>
      </c>
      <c r="G494" s="596">
        <v>0</v>
      </c>
      <c r="H494" s="595">
        <v>1948000000</v>
      </c>
      <c r="I494" s="594" t="s">
        <v>2673</v>
      </c>
    </row>
    <row r="495" spans="1:9" ht="28.5" customHeight="1">
      <c r="A495" s="594">
        <v>20040901</v>
      </c>
      <c r="B495" s="594" t="s">
        <v>2674</v>
      </c>
      <c r="C495" s="596">
        <v>0</v>
      </c>
      <c r="D495" s="595">
        <v>1816890000</v>
      </c>
      <c r="E495" s="595">
        <v>86600000</v>
      </c>
      <c r="F495" s="595">
        <v>217710000</v>
      </c>
      <c r="G495" s="596">
        <v>0</v>
      </c>
      <c r="H495" s="595">
        <v>1948000000</v>
      </c>
      <c r="I495" s="594" t="s">
        <v>2675</v>
      </c>
    </row>
    <row r="496" spans="1:9" ht="17.100000000000001" customHeight="1">
      <c r="A496" s="594">
        <v>200499</v>
      </c>
      <c r="B496" s="594" t="s">
        <v>368</v>
      </c>
      <c r="C496" s="596">
        <v>0</v>
      </c>
      <c r="D496" s="595">
        <v>1595401</v>
      </c>
      <c r="E496" s="595">
        <v>1670000</v>
      </c>
      <c r="F496" s="595">
        <v>9680000</v>
      </c>
      <c r="G496" s="596">
        <v>0</v>
      </c>
      <c r="H496" s="595">
        <v>9605401</v>
      </c>
      <c r="I496" s="594" t="s">
        <v>1207</v>
      </c>
    </row>
    <row r="497" spans="1:9" ht="17.100000000000001" customHeight="1">
      <c r="A497" s="594">
        <v>20049901</v>
      </c>
      <c r="B497" s="594" t="s">
        <v>1208</v>
      </c>
      <c r="C497" s="596">
        <v>0</v>
      </c>
      <c r="D497" s="595">
        <v>1595401</v>
      </c>
      <c r="E497" s="595">
        <v>1670000</v>
      </c>
      <c r="F497" s="595">
        <v>9680000</v>
      </c>
      <c r="G497" s="596">
        <v>0</v>
      </c>
      <c r="H497" s="595">
        <v>9605401</v>
      </c>
      <c r="I497" s="594" t="s">
        <v>1209</v>
      </c>
    </row>
    <row r="498" spans="1:9" ht="15.75" customHeight="1">
      <c r="A498" s="594">
        <v>2005</v>
      </c>
      <c r="B498" s="594" t="s">
        <v>521</v>
      </c>
      <c r="C498" s="596">
        <v>0</v>
      </c>
      <c r="D498" s="595">
        <v>46773436.229999997</v>
      </c>
      <c r="E498" s="595">
        <v>145074402.09</v>
      </c>
      <c r="F498" s="595">
        <v>146228897.97999999</v>
      </c>
      <c r="G498" s="596">
        <v>0</v>
      </c>
      <c r="H498" s="595">
        <v>47927932.119999997</v>
      </c>
      <c r="I498" s="594" t="s">
        <v>1210</v>
      </c>
    </row>
    <row r="499" spans="1:9" ht="17.100000000000001" customHeight="1">
      <c r="A499" s="594">
        <v>200503</v>
      </c>
      <c r="B499" s="594" t="s">
        <v>1211</v>
      </c>
      <c r="C499" s="596">
        <v>0</v>
      </c>
      <c r="D499" s="595">
        <v>45585054.75</v>
      </c>
      <c r="E499" s="595">
        <v>144979817.18000001</v>
      </c>
      <c r="F499" s="595">
        <v>146107221.56999999</v>
      </c>
      <c r="G499" s="596">
        <v>0</v>
      </c>
      <c r="H499" s="595">
        <v>46712459.140000001</v>
      </c>
      <c r="I499" s="594" t="s">
        <v>1212</v>
      </c>
    </row>
    <row r="500" spans="1:9" ht="17.100000000000001" customHeight="1">
      <c r="A500" s="594">
        <v>20050303</v>
      </c>
      <c r="B500" s="594" t="s">
        <v>1213</v>
      </c>
      <c r="C500" s="596">
        <v>0</v>
      </c>
      <c r="D500" s="595">
        <v>45585054.75</v>
      </c>
      <c r="E500" s="595">
        <v>144979817.18000001</v>
      </c>
      <c r="F500" s="595">
        <v>146107221.56999999</v>
      </c>
      <c r="G500" s="596">
        <v>0</v>
      </c>
      <c r="H500" s="595">
        <v>46712459.140000001</v>
      </c>
      <c r="I500" s="594" t="s">
        <v>1214</v>
      </c>
    </row>
    <row r="501" spans="1:9" ht="17.100000000000001" customHeight="1">
      <c r="A501" s="594">
        <v>200505</v>
      </c>
      <c r="B501" s="594" t="s">
        <v>1215</v>
      </c>
      <c r="C501" s="596">
        <v>0</v>
      </c>
      <c r="D501" s="595">
        <v>1188381.48</v>
      </c>
      <c r="E501" s="595">
        <v>94584.91</v>
      </c>
      <c r="F501" s="595">
        <v>121676.41</v>
      </c>
      <c r="G501" s="596">
        <v>0</v>
      </c>
      <c r="H501" s="595">
        <v>1215472.98</v>
      </c>
      <c r="I501" s="594" t="s">
        <v>1216</v>
      </c>
    </row>
    <row r="502" spans="1:9" ht="17.100000000000001" customHeight="1">
      <c r="A502" s="594">
        <v>20050501</v>
      </c>
      <c r="B502" s="594" t="s">
        <v>1217</v>
      </c>
      <c r="C502" s="596">
        <v>0</v>
      </c>
      <c r="D502" s="595">
        <v>481734.29</v>
      </c>
      <c r="E502" s="595">
        <v>40464.199999999997</v>
      </c>
      <c r="F502" s="595">
        <v>62591.11</v>
      </c>
      <c r="G502" s="596">
        <v>0</v>
      </c>
      <c r="H502" s="595">
        <v>503861.2</v>
      </c>
      <c r="I502" s="594" t="s">
        <v>1218</v>
      </c>
    </row>
    <row r="503" spans="1:9" ht="17.100000000000001" customHeight="1">
      <c r="A503" s="594">
        <v>20050502</v>
      </c>
      <c r="B503" s="594" t="s">
        <v>1219</v>
      </c>
      <c r="C503" s="596">
        <v>0</v>
      </c>
      <c r="D503" s="595">
        <v>17506.09</v>
      </c>
      <c r="E503" s="595">
        <v>37697.9</v>
      </c>
      <c r="F503" s="595">
        <v>36050.300000000003</v>
      </c>
      <c r="G503" s="596">
        <v>0</v>
      </c>
      <c r="H503" s="595">
        <v>15858.49</v>
      </c>
      <c r="I503" s="594" t="s">
        <v>1220</v>
      </c>
    </row>
    <row r="504" spans="1:9" ht="17.100000000000001" customHeight="1">
      <c r="A504" s="594">
        <v>20050503</v>
      </c>
      <c r="B504" s="594" t="s">
        <v>1221</v>
      </c>
      <c r="C504" s="596">
        <v>0</v>
      </c>
      <c r="D504" s="595">
        <v>689141.1</v>
      </c>
      <c r="E504" s="595">
        <v>16422.810000000001</v>
      </c>
      <c r="F504" s="595">
        <v>23035</v>
      </c>
      <c r="G504" s="596">
        <v>0</v>
      </c>
      <c r="H504" s="595">
        <v>695753.29</v>
      </c>
      <c r="I504" s="594" t="s">
        <v>1222</v>
      </c>
    </row>
    <row r="505" spans="1:9" ht="17.100000000000001" customHeight="1">
      <c r="A505" s="594">
        <v>2006</v>
      </c>
      <c r="B505" s="594" t="s">
        <v>324</v>
      </c>
      <c r="C505" s="596">
        <v>0</v>
      </c>
      <c r="D505" s="595">
        <v>936125775.88999999</v>
      </c>
      <c r="E505" s="595">
        <v>66603114.759999998</v>
      </c>
      <c r="F505" s="595">
        <v>250764712.69999999</v>
      </c>
      <c r="G505" s="596">
        <v>0</v>
      </c>
      <c r="H505" s="595">
        <v>1120287373.8299999</v>
      </c>
      <c r="I505" s="594" t="s">
        <v>1223</v>
      </c>
    </row>
    <row r="506" spans="1:9" ht="17.100000000000001" customHeight="1">
      <c r="A506" s="594">
        <v>200601</v>
      </c>
      <c r="B506" s="594" t="s">
        <v>324</v>
      </c>
      <c r="C506" s="596">
        <v>0</v>
      </c>
      <c r="D506" s="595">
        <v>936125775.88999999</v>
      </c>
      <c r="E506" s="595">
        <v>66603114.759999998</v>
      </c>
      <c r="F506" s="595">
        <v>250764712.69999999</v>
      </c>
      <c r="G506" s="596">
        <v>0</v>
      </c>
      <c r="H506" s="595">
        <v>1120287373.8299999</v>
      </c>
      <c r="I506" s="594" t="s">
        <v>1224</v>
      </c>
    </row>
    <row r="507" spans="1:9" ht="17.100000000000001" customHeight="1">
      <c r="A507" s="594">
        <v>20060101</v>
      </c>
      <c r="B507" s="594" t="s">
        <v>1225</v>
      </c>
      <c r="C507" s="596">
        <v>0</v>
      </c>
      <c r="D507" s="595">
        <v>936125775.88999999</v>
      </c>
      <c r="E507" s="595">
        <v>66603114.759999998</v>
      </c>
      <c r="F507" s="595">
        <v>250764712.69999999</v>
      </c>
      <c r="G507" s="596">
        <v>0</v>
      </c>
      <c r="H507" s="595">
        <v>1120287373.8299999</v>
      </c>
      <c r="I507" s="594" t="s">
        <v>1226</v>
      </c>
    </row>
    <row r="508" spans="1:9" ht="17.100000000000001" customHeight="1">
      <c r="A508" s="594">
        <v>2007</v>
      </c>
      <c r="B508" s="594" t="s">
        <v>522</v>
      </c>
      <c r="C508" s="596">
        <v>0</v>
      </c>
      <c r="D508" s="595">
        <v>74563023.859999999</v>
      </c>
      <c r="E508" s="595">
        <v>1830106656.6500001</v>
      </c>
      <c r="F508" s="595">
        <v>1853654857.2</v>
      </c>
      <c r="G508" s="596">
        <v>0</v>
      </c>
      <c r="H508" s="595">
        <v>98111224.409999996</v>
      </c>
      <c r="I508" s="594" t="s">
        <v>1227</v>
      </c>
    </row>
    <row r="509" spans="1:9" ht="17.100000000000001" customHeight="1">
      <c r="A509" s="594">
        <v>200701</v>
      </c>
      <c r="B509" s="594" t="s">
        <v>522</v>
      </c>
      <c r="C509" s="596">
        <v>0</v>
      </c>
      <c r="D509" s="595">
        <v>6736169.0899999999</v>
      </c>
      <c r="E509" s="595">
        <v>693402274.48000002</v>
      </c>
      <c r="F509" s="595">
        <v>692562405.00999999</v>
      </c>
      <c r="G509" s="596">
        <v>0</v>
      </c>
      <c r="H509" s="595">
        <v>5896299.6200000001</v>
      </c>
      <c r="I509" s="594" t="s">
        <v>1228</v>
      </c>
    </row>
    <row r="510" spans="1:9" ht="17.100000000000001" customHeight="1">
      <c r="A510" s="594">
        <v>20070101</v>
      </c>
      <c r="B510" s="594" t="s">
        <v>1229</v>
      </c>
      <c r="C510" s="596">
        <v>0</v>
      </c>
      <c r="D510" s="595">
        <v>6736169.0899999999</v>
      </c>
      <c r="E510" s="595">
        <v>693402274.48000002</v>
      </c>
      <c r="F510" s="595">
        <v>692562405.00999999</v>
      </c>
      <c r="G510" s="596">
        <v>0</v>
      </c>
      <c r="H510" s="595">
        <v>5896299.6200000001</v>
      </c>
      <c r="I510" s="594" t="s">
        <v>1230</v>
      </c>
    </row>
    <row r="511" spans="1:9" ht="17.100000000000001" customHeight="1">
      <c r="A511" s="594">
        <v>200704</v>
      </c>
      <c r="B511" s="594" t="s">
        <v>4181</v>
      </c>
      <c r="C511" s="596">
        <v>0</v>
      </c>
      <c r="D511" s="596">
        <v>0</v>
      </c>
      <c r="E511" s="595">
        <v>30746689.239999998</v>
      </c>
      <c r="F511" s="595">
        <v>120434774.61</v>
      </c>
      <c r="G511" s="596">
        <v>0</v>
      </c>
      <c r="H511" s="595">
        <v>89688085.370000005</v>
      </c>
      <c r="I511" s="594" t="s">
        <v>4217</v>
      </c>
    </row>
    <row r="512" spans="1:9" ht="17.100000000000001" customHeight="1">
      <c r="A512" s="594">
        <v>20070401</v>
      </c>
      <c r="B512" s="594" t="s">
        <v>4218</v>
      </c>
      <c r="C512" s="596">
        <v>0</v>
      </c>
      <c r="D512" s="596">
        <v>0</v>
      </c>
      <c r="E512" s="595">
        <v>30746689.239999998</v>
      </c>
      <c r="F512" s="595">
        <v>120434774.61</v>
      </c>
      <c r="G512" s="596">
        <v>0</v>
      </c>
      <c r="H512" s="595">
        <v>89688085.370000005</v>
      </c>
      <c r="I512" s="594" t="s">
        <v>4219</v>
      </c>
    </row>
    <row r="513" spans="1:9" ht="17.100000000000001" customHeight="1">
      <c r="A513" s="594">
        <v>200705</v>
      </c>
      <c r="B513" s="594" t="s">
        <v>3861</v>
      </c>
      <c r="C513" s="596">
        <v>0</v>
      </c>
      <c r="D513" s="595">
        <v>67826854.769999996</v>
      </c>
      <c r="E513" s="595">
        <v>1105957692.9300001</v>
      </c>
      <c r="F513" s="595">
        <v>1040657677.58</v>
      </c>
      <c r="G513" s="596">
        <v>0</v>
      </c>
      <c r="H513" s="595">
        <v>2526839.42</v>
      </c>
      <c r="I513" s="594" t="s">
        <v>3862</v>
      </c>
    </row>
    <row r="514" spans="1:9" ht="17.100000000000001" customHeight="1">
      <c r="A514" s="594">
        <v>20070501</v>
      </c>
      <c r="B514" s="594" t="s">
        <v>3861</v>
      </c>
      <c r="C514" s="596">
        <v>0</v>
      </c>
      <c r="D514" s="595">
        <v>67826854.769999996</v>
      </c>
      <c r="E514" s="595">
        <v>1105957692.9300001</v>
      </c>
      <c r="F514" s="595">
        <v>1040657677.58</v>
      </c>
      <c r="G514" s="596">
        <v>0</v>
      </c>
      <c r="H514" s="595">
        <v>2526839.42</v>
      </c>
      <c r="I514" s="594" t="s">
        <v>3863</v>
      </c>
    </row>
    <row r="515" spans="1:9" ht="17.100000000000001" customHeight="1">
      <c r="A515" s="594">
        <v>2008</v>
      </c>
      <c r="B515" s="594" t="s">
        <v>523</v>
      </c>
      <c r="C515" s="596">
        <v>0</v>
      </c>
      <c r="D515" s="595">
        <v>47243795000</v>
      </c>
      <c r="E515" s="595">
        <v>15676130000</v>
      </c>
      <c r="F515" s="595">
        <v>14966280000</v>
      </c>
      <c r="G515" s="596">
        <v>0</v>
      </c>
      <c r="H515" s="595">
        <v>46533945000</v>
      </c>
      <c r="I515" s="594" t="s">
        <v>1231</v>
      </c>
    </row>
    <row r="516" spans="1:9" ht="17.100000000000001" customHeight="1">
      <c r="A516" s="320"/>
      <c r="B516" s="320"/>
      <c r="C516" s="320"/>
      <c r="D516" s="557" t="s">
        <v>4198</v>
      </c>
      <c r="E516" s="320" t="s">
        <v>3734</v>
      </c>
      <c r="F516" s="320"/>
      <c r="G516" s="320"/>
      <c r="H516" s="320"/>
      <c r="I516" s="320"/>
    </row>
    <row r="517" spans="1:9" ht="17.100000000000001" customHeight="1">
      <c r="A517" s="671"/>
      <c r="B517" s="671"/>
      <c r="C517" s="671"/>
      <c r="D517" s="671"/>
      <c r="E517" s="671"/>
      <c r="F517" s="671"/>
      <c r="G517" s="671"/>
      <c r="H517" s="671"/>
      <c r="I517" s="671"/>
    </row>
    <row r="518" spans="1:9" ht="17.100000000000001" customHeight="1">
      <c r="A518" s="320"/>
      <c r="B518" s="320"/>
      <c r="C518" s="589" t="s">
        <v>3707</v>
      </c>
      <c r="D518" s="320"/>
      <c r="E518" s="320"/>
      <c r="F518" s="671"/>
      <c r="G518" s="671"/>
      <c r="H518" s="671"/>
      <c r="I518" s="671"/>
    </row>
    <row r="519" spans="1:9" ht="17.100000000000001" customHeight="1">
      <c r="A519" s="590" t="s">
        <v>3708</v>
      </c>
      <c r="B519" s="590"/>
      <c r="C519" s="597">
        <v>42887</v>
      </c>
      <c r="D519" s="590"/>
      <c r="E519" s="557" t="s">
        <v>3709</v>
      </c>
      <c r="F519" s="671"/>
      <c r="G519" s="671"/>
      <c r="H519" s="671"/>
      <c r="I519" s="671"/>
    </row>
    <row r="520" spans="1:9" ht="17.100000000000001" customHeight="1">
      <c r="A520" s="593" t="s">
        <v>596</v>
      </c>
      <c r="B520" s="593" t="s">
        <v>597</v>
      </c>
      <c r="C520" s="593" t="s">
        <v>3710</v>
      </c>
      <c r="D520" s="593" t="s">
        <v>3711</v>
      </c>
      <c r="E520" s="593" t="s">
        <v>3712</v>
      </c>
      <c r="F520" s="593" t="s">
        <v>3713</v>
      </c>
      <c r="G520" s="593" t="s">
        <v>3714</v>
      </c>
      <c r="H520" s="593" t="s">
        <v>3715</v>
      </c>
      <c r="I520" s="593" t="s">
        <v>596</v>
      </c>
    </row>
    <row r="521" spans="1:9" ht="17.100000000000001" customHeight="1">
      <c r="A521" s="594">
        <v>200801</v>
      </c>
      <c r="B521" s="594" t="s">
        <v>3444</v>
      </c>
      <c r="C521" s="596">
        <v>0</v>
      </c>
      <c r="D521" s="595">
        <v>6764875000</v>
      </c>
      <c r="E521" s="595">
        <v>4638400000</v>
      </c>
      <c r="F521" s="595">
        <v>5023400000</v>
      </c>
      <c r="G521" s="596">
        <v>0</v>
      </c>
      <c r="H521" s="595">
        <v>7149875000</v>
      </c>
      <c r="I521" s="594" t="s">
        <v>3445</v>
      </c>
    </row>
    <row r="522" spans="1:9" ht="17.100000000000001" customHeight="1">
      <c r="A522" s="594">
        <v>20080101</v>
      </c>
      <c r="B522" s="594" t="s">
        <v>3446</v>
      </c>
      <c r="C522" s="596">
        <v>0</v>
      </c>
      <c r="D522" s="595">
        <v>6764875000</v>
      </c>
      <c r="E522" s="595">
        <v>4638400000</v>
      </c>
      <c r="F522" s="595">
        <v>5023400000</v>
      </c>
      <c r="G522" s="596">
        <v>0</v>
      </c>
      <c r="H522" s="595">
        <v>7149875000</v>
      </c>
      <c r="I522" s="594" t="s">
        <v>3447</v>
      </c>
    </row>
    <row r="523" spans="1:9" ht="17.100000000000001" customHeight="1">
      <c r="A523" s="594">
        <v>200802</v>
      </c>
      <c r="B523" s="594" t="s">
        <v>1232</v>
      </c>
      <c r="C523" s="596">
        <v>0</v>
      </c>
      <c r="D523" s="595">
        <v>18607340000</v>
      </c>
      <c r="E523" s="595">
        <v>4920400000</v>
      </c>
      <c r="F523" s="595">
        <v>4437700000</v>
      </c>
      <c r="G523" s="596">
        <v>0</v>
      </c>
      <c r="H523" s="595">
        <v>18124640000</v>
      </c>
      <c r="I523" s="594" t="s">
        <v>1233</v>
      </c>
    </row>
    <row r="524" spans="1:9" ht="17.100000000000001" customHeight="1">
      <c r="A524" s="594">
        <v>20080201</v>
      </c>
      <c r="B524" s="594" t="s">
        <v>1234</v>
      </c>
      <c r="C524" s="596">
        <v>0</v>
      </c>
      <c r="D524" s="595">
        <v>16517340000</v>
      </c>
      <c r="E524" s="595">
        <v>4540400000</v>
      </c>
      <c r="F524" s="595">
        <v>4287700000</v>
      </c>
      <c r="G524" s="596">
        <v>0</v>
      </c>
      <c r="H524" s="595">
        <v>16264640000</v>
      </c>
      <c r="I524" s="594" t="s">
        <v>1235</v>
      </c>
    </row>
    <row r="525" spans="1:9" ht="17.100000000000001" customHeight="1">
      <c r="A525" s="594">
        <v>20080203</v>
      </c>
      <c r="B525" s="594" t="s">
        <v>2793</v>
      </c>
      <c r="C525" s="596">
        <v>0</v>
      </c>
      <c r="D525" s="595">
        <v>2090000000</v>
      </c>
      <c r="E525" s="595">
        <v>380000000</v>
      </c>
      <c r="F525" s="595">
        <v>150000000</v>
      </c>
      <c r="G525" s="596">
        <v>0</v>
      </c>
      <c r="H525" s="595">
        <v>1860000000</v>
      </c>
      <c r="I525" s="594" t="s">
        <v>2794</v>
      </c>
    </row>
    <row r="526" spans="1:9" ht="17.100000000000001" customHeight="1">
      <c r="A526" s="594">
        <v>200803</v>
      </c>
      <c r="B526" s="594" t="s">
        <v>3448</v>
      </c>
      <c r="C526" s="596">
        <v>0</v>
      </c>
      <c r="D526" s="595">
        <v>5760430000</v>
      </c>
      <c r="E526" s="595">
        <v>3253640000</v>
      </c>
      <c r="F526" s="595">
        <v>3506920000</v>
      </c>
      <c r="G526" s="596">
        <v>0</v>
      </c>
      <c r="H526" s="595">
        <v>6013710000</v>
      </c>
      <c r="I526" s="594" t="s">
        <v>3449</v>
      </c>
    </row>
    <row r="527" spans="1:9" ht="17.100000000000001" customHeight="1">
      <c r="A527" s="594">
        <v>20080301</v>
      </c>
      <c r="B527" s="594" t="s">
        <v>3450</v>
      </c>
      <c r="C527" s="596">
        <v>0</v>
      </c>
      <c r="D527" s="595">
        <v>5760430000</v>
      </c>
      <c r="E527" s="595">
        <v>3253640000</v>
      </c>
      <c r="F527" s="595">
        <v>3506920000</v>
      </c>
      <c r="G527" s="596">
        <v>0</v>
      </c>
      <c r="H527" s="595">
        <v>6013710000</v>
      </c>
      <c r="I527" s="594" t="s">
        <v>3451</v>
      </c>
    </row>
    <row r="528" spans="1:9" ht="17.100000000000001" customHeight="1">
      <c r="A528" s="594">
        <v>200804</v>
      </c>
      <c r="B528" s="594" t="s">
        <v>1236</v>
      </c>
      <c r="C528" s="596">
        <v>0</v>
      </c>
      <c r="D528" s="595">
        <v>16111150000</v>
      </c>
      <c r="E528" s="595">
        <v>2863690000</v>
      </c>
      <c r="F528" s="595">
        <v>1998260000</v>
      </c>
      <c r="G528" s="596">
        <v>0</v>
      </c>
      <c r="H528" s="595">
        <v>15245720000</v>
      </c>
      <c r="I528" s="594" t="s">
        <v>1237</v>
      </c>
    </row>
    <row r="529" spans="1:9" ht="17.100000000000001" customHeight="1">
      <c r="A529" s="594">
        <v>20080401</v>
      </c>
      <c r="B529" s="594" t="s">
        <v>1238</v>
      </c>
      <c r="C529" s="596">
        <v>0</v>
      </c>
      <c r="D529" s="595">
        <v>16111150000</v>
      </c>
      <c r="E529" s="595">
        <v>2863690000</v>
      </c>
      <c r="F529" s="595">
        <v>1998260000</v>
      </c>
      <c r="G529" s="596">
        <v>0</v>
      </c>
      <c r="H529" s="595">
        <v>15245720000</v>
      </c>
      <c r="I529" s="594" t="s">
        <v>1239</v>
      </c>
    </row>
    <row r="530" spans="1:9" ht="28.5" customHeight="1">
      <c r="A530" s="594">
        <v>2009</v>
      </c>
      <c r="B530" s="594" t="s">
        <v>524</v>
      </c>
      <c r="C530" s="596">
        <v>0</v>
      </c>
      <c r="D530" s="595">
        <v>6200000000</v>
      </c>
      <c r="E530" s="595">
        <v>3000000000</v>
      </c>
      <c r="F530" s="596">
        <v>0</v>
      </c>
      <c r="G530" s="596">
        <v>0</v>
      </c>
      <c r="H530" s="595">
        <v>3200000000</v>
      </c>
      <c r="I530" s="594" t="s">
        <v>1240</v>
      </c>
    </row>
    <row r="531" spans="1:9">
      <c r="A531" s="594">
        <v>200901</v>
      </c>
      <c r="B531" s="594" t="s">
        <v>524</v>
      </c>
      <c r="C531" s="596">
        <v>0</v>
      </c>
      <c r="D531" s="595">
        <v>6200000000</v>
      </c>
      <c r="E531" s="595">
        <v>3000000000</v>
      </c>
      <c r="F531" s="596">
        <v>0</v>
      </c>
      <c r="G531" s="596">
        <v>0</v>
      </c>
      <c r="H531" s="595">
        <v>3200000000</v>
      </c>
      <c r="I531" s="594" t="s">
        <v>1241</v>
      </c>
    </row>
    <row r="532" spans="1:9">
      <c r="A532" s="594">
        <v>20090101</v>
      </c>
      <c r="B532" s="594" t="s">
        <v>1242</v>
      </c>
      <c r="C532" s="596">
        <v>0</v>
      </c>
      <c r="D532" s="595">
        <v>6200000000</v>
      </c>
      <c r="E532" s="595">
        <v>3000000000</v>
      </c>
      <c r="F532" s="596">
        <v>0</v>
      </c>
      <c r="G532" s="596">
        <v>0</v>
      </c>
      <c r="H532" s="595">
        <v>3200000000</v>
      </c>
      <c r="I532" s="594" t="s">
        <v>1243</v>
      </c>
    </row>
    <row r="533" spans="1:9">
      <c r="A533" s="594">
        <v>2011</v>
      </c>
      <c r="B533" s="594" t="s">
        <v>525</v>
      </c>
      <c r="C533" s="596">
        <v>0</v>
      </c>
      <c r="D533" s="595">
        <v>443984143.79000002</v>
      </c>
      <c r="E533" s="595">
        <v>1109474364257.51</v>
      </c>
      <c r="F533" s="595">
        <v>1109586536755.1699</v>
      </c>
      <c r="G533" s="596">
        <v>0</v>
      </c>
      <c r="H533" s="595">
        <v>556156641.45000005</v>
      </c>
      <c r="I533" s="594" t="s">
        <v>1244</v>
      </c>
    </row>
    <row r="534" spans="1:9" ht="28.5" customHeight="1">
      <c r="A534" s="594">
        <v>201102</v>
      </c>
      <c r="B534" s="594" t="s">
        <v>1245</v>
      </c>
      <c r="C534" s="596">
        <v>0</v>
      </c>
      <c r="D534" s="595">
        <v>77371102.379999995</v>
      </c>
      <c r="E534" s="595">
        <v>1591014515.02</v>
      </c>
      <c r="F534" s="595">
        <v>1577477590.75</v>
      </c>
      <c r="G534" s="596">
        <v>0</v>
      </c>
      <c r="H534" s="595">
        <v>63834178.109999999</v>
      </c>
      <c r="I534" s="594" t="s">
        <v>1246</v>
      </c>
    </row>
    <row r="535" spans="1:9" ht="17.100000000000001" customHeight="1">
      <c r="A535" s="594">
        <v>20110201</v>
      </c>
      <c r="B535" s="594" t="s">
        <v>1245</v>
      </c>
      <c r="C535" s="596">
        <v>0</v>
      </c>
      <c r="D535" s="595">
        <v>77371102.379999995</v>
      </c>
      <c r="E535" s="595">
        <v>1591014515.02</v>
      </c>
      <c r="F535" s="595">
        <v>1577477590.75</v>
      </c>
      <c r="G535" s="596">
        <v>0</v>
      </c>
      <c r="H535" s="595">
        <v>63834178.109999999</v>
      </c>
      <c r="I535" s="594" t="s">
        <v>1247</v>
      </c>
    </row>
    <row r="536" spans="1:9" ht="17.100000000000001" customHeight="1">
      <c r="A536" s="594">
        <v>201103</v>
      </c>
      <c r="B536" s="594" t="s">
        <v>3864</v>
      </c>
      <c r="C536" s="596">
        <v>0</v>
      </c>
      <c r="D536" s="595">
        <v>1231151.56</v>
      </c>
      <c r="E536" s="595">
        <v>11677061633.01</v>
      </c>
      <c r="F536" s="595">
        <v>11675901671.719999</v>
      </c>
      <c r="G536" s="596">
        <v>0</v>
      </c>
      <c r="H536" s="595">
        <v>71190.27</v>
      </c>
      <c r="I536" s="594" t="s">
        <v>3865</v>
      </c>
    </row>
    <row r="537" spans="1:9" ht="17.100000000000001" customHeight="1">
      <c r="A537" s="594">
        <v>20110301</v>
      </c>
      <c r="B537" s="594" t="s">
        <v>3864</v>
      </c>
      <c r="C537" s="596">
        <v>0</v>
      </c>
      <c r="D537" s="595">
        <v>1231151.56</v>
      </c>
      <c r="E537" s="595">
        <v>11677061633.01</v>
      </c>
      <c r="F537" s="595">
        <v>11675901671.719999</v>
      </c>
      <c r="G537" s="596">
        <v>0</v>
      </c>
      <c r="H537" s="595">
        <v>71190.27</v>
      </c>
      <c r="I537" s="594" t="s">
        <v>3866</v>
      </c>
    </row>
    <row r="538" spans="1:9" ht="17.100000000000001" customHeight="1">
      <c r="A538" s="594">
        <v>201104</v>
      </c>
      <c r="B538" s="594" t="s">
        <v>1248</v>
      </c>
      <c r="C538" s="596">
        <v>0</v>
      </c>
      <c r="D538" s="595">
        <v>10005.33</v>
      </c>
      <c r="E538" s="595">
        <v>21147156953.740002</v>
      </c>
      <c r="F538" s="595">
        <v>21147156953.740002</v>
      </c>
      <c r="G538" s="596">
        <v>0</v>
      </c>
      <c r="H538" s="595">
        <v>10005.33</v>
      </c>
      <c r="I538" s="594" t="s">
        <v>1249</v>
      </c>
    </row>
    <row r="539" spans="1:9" ht="17.100000000000001" customHeight="1">
      <c r="A539" s="594">
        <v>20110401</v>
      </c>
      <c r="B539" s="594" t="s">
        <v>1248</v>
      </c>
      <c r="C539" s="596">
        <v>0</v>
      </c>
      <c r="D539" s="595">
        <v>10005.33</v>
      </c>
      <c r="E539" s="595">
        <v>21147156953.740002</v>
      </c>
      <c r="F539" s="595">
        <v>21147156953.740002</v>
      </c>
      <c r="G539" s="596">
        <v>0</v>
      </c>
      <c r="H539" s="595">
        <v>10005.33</v>
      </c>
      <c r="I539" s="594" t="s">
        <v>1250</v>
      </c>
    </row>
    <row r="540" spans="1:9" ht="17.100000000000001" customHeight="1">
      <c r="A540" s="594">
        <v>201199</v>
      </c>
      <c r="B540" s="594" t="s">
        <v>1251</v>
      </c>
      <c r="C540" s="596">
        <v>0</v>
      </c>
      <c r="D540" s="595">
        <v>365371884.51999998</v>
      </c>
      <c r="E540" s="595">
        <v>1075059131155.74</v>
      </c>
      <c r="F540" s="595">
        <v>1075186000538.96</v>
      </c>
      <c r="G540" s="596">
        <v>0</v>
      </c>
      <c r="H540" s="595">
        <v>492241267.74000001</v>
      </c>
      <c r="I540" s="594" t="s">
        <v>1252</v>
      </c>
    </row>
    <row r="541" spans="1:9" ht="17.100000000000001" customHeight="1">
      <c r="A541" s="594">
        <v>20119999</v>
      </c>
      <c r="B541" s="594" t="s">
        <v>1251</v>
      </c>
      <c r="C541" s="596">
        <v>0</v>
      </c>
      <c r="D541" s="595">
        <v>365371884.51999998</v>
      </c>
      <c r="E541" s="595">
        <v>1075059131155.74</v>
      </c>
      <c r="F541" s="595">
        <v>1075186000538.96</v>
      </c>
      <c r="G541" s="596">
        <v>0</v>
      </c>
      <c r="H541" s="595">
        <v>492241267.74000001</v>
      </c>
      <c r="I541" s="594" t="s">
        <v>1253</v>
      </c>
    </row>
    <row r="542" spans="1:9" ht="17.100000000000001" customHeight="1">
      <c r="A542" s="594">
        <v>2012</v>
      </c>
      <c r="B542" s="594" t="s">
        <v>526</v>
      </c>
      <c r="C542" s="596">
        <v>0</v>
      </c>
      <c r="D542" s="595">
        <v>1280701.28</v>
      </c>
      <c r="E542" s="595">
        <v>4700207423.1599998</v>
      </c>
      <c r="F542" s="595">
        <v>4700197256.3500004</v>
      </c>
      <c r="G542" s="596">
        <v>0</v>
      </c>
      <c r="H542" s="595">
        <v>1270534.47</v>
      </c>
      <c r="I542" s="594" t="s">
        <v>1254</v>
      </c>
    </row>
    <row r="543" spans="1:9" ht="17.100000000000001" customHeight="1">
      <c r="A543" s="594">
        <v>201201</v>
      </c>
      <c r="B543" s="594" t="s">
        <v>526</v>
      </c>
      <c r="C543" s="596">
        <v>0</v>
      </c>
      <c r="D543" s="595">
        <v>1280701.28</v>
      </c>
      <c r="E543" s="595">
        <v>4700207423.1599998</v>
      </c>
      <c r="F543" s="595">
        <v>4700197256.3500004</v>
      </c>
      <c r="G543" s="596">
        <v>0</v>
      </c>
      <c r="H543" s="595">
        <v>1270534.47</v>
      </c>
      <c r="I543" s="594" t="s">
        <v>1255</v>
      </c>
    </row>
    <row r="544" spans="1:9" ht="17.100000000000001" customHeight="1">
      <c r="A544" s="594">
        <v>20120101</v>
      </c>
      <c r="B544" s="594" t="s">
        <v>1256</v>
      </c>
      <c r="C544" s="596">
        <v>0</v>
      </c>
      <c r="D544" s="595">
        <v>1280701.28</v>
      </c>
      <c r="E544" s="595">
        <v>4700207423.1599998</v>
      </c>
      <c r="F544" s="595">
        <v>4700197256.3500004</v>
      </c>
      <c r="G544" s="596">
        <v>0</v>
      </c>
      <c r="H544" s="595">
        <v>1270534.47</v>
      </c>
      <c r="I544" s="594" t="s">
        <v>1257</v>
      </c>
    </row>
    <row r="545" spans="1:9" ht="17.100000000000001" customHeight="1">
      <c r="A545" s="594">
        <v>2014</v>
      </c>
      <c r="B545" s="594" t="s">
        <v>528</v>
      </c>
      <c r="C545" s="596">
        <v>0</v>
      </c>
      <c r="D545" s="595">
        <v>8146159568.0100002</v>
      </c>
      <c r="E545" s="595">
        <v>2996140676.71</v>
      </c>
      <c r="F545" s="595">
        <v>3973609518.6199999</v>
      </c>
      <c r="G545" s="596">
        <v>0</v>
      </c>
      <c r="H545" s="595">
        <v>9123628409.9200001</v>
      </c>
      <c r="I545" s="594" t="s">
        <v>1258</v>
      </c>
    </row>
    <row r="546" spans="1:9" ht="17.100000000000001" customHeight="1">
      <c r="A546" s="594">
        <v>201401</v>
      </c>
      <c r="B546" s="594" t="s">
        <v>1259</v>
      </c>
      <c r="C546" s="596">
        <v>0</v>
      </c>
      <c r="D546" s="595">
        <v>2117543131.5</v>
      </c>
      <c r="E546" s="595">
        <v>1340144054.53</v>
      </c>
      <c r="F546" s="595">
        <v>1547953711.5699999</v>
      </c>
      <c r="G546" s="596">
        <v>0</v>
      </c>
      <c r="H546" s="595">
        <v>2325352788.54</v>
      </c>
      <c r="I546" s="594" t="s">
        <v>1260</v>
      </c>
    </row>
    <row r="547" spans="1:9" ht="17.100000000000001" customHeight="1">
      <c r="A547" s="594">
        <v>20140101</v>
      </c>
      <c r="B547" s="594" t="s">
        <v>1261</v>
      </c>
      <c r="C547" s="596">
        <v>0</v>
      </c>
      <c r="D547" s="595">
        <v>343031567.44999999</v>
      </c>
      <c r="E547" s="595">
        <v>968771369.25</v>
      </c>
      <c r="F547" s="595">
        <v>1216386378.0599999</v>
      </c>
      <c r="G547" s="596">
        <v>0</v>
      </c>
      <c r="H547" s="595">
        <v>590646576.25999999</v>
      </c>
      <c r="I547" s="594" t="s">
        <v>1262</v>
      </c>
    </row>
    <row r="548" spans="1:9" ht="17.100000000000001" customHeight="1">
      <c r="A548" s="594">
        <v>20140103</v>
      </c>
      <c r="B548" s="594" t="s">
        <v>1263</v>
      </c>
      <c r="C548" s="596">
        <v>0</v>
      </c>
      <c r="D548" s="595">
        <v>163028680.22</v>
      </c>
      <c r="E548" s="595">
        <v>74562146.439999998</v>
      </c>
      <c r="F548" s="595">
        <v>141702725.22999999</v>
      </c>
      <c r="G548" s="596">
        <v>0</v>
      </c>
      <c r="H548" s="595">
        <v>230169259.00999999</v>
      </c>
      <c r="I548" s="594" t="s">
        <v>1264</v>
      </c>
    </row>
    <row r="549" spans="1:9" ht="17.100000000000001" customHeight="1">
      <c r="A549" s="594">
        <v>20140105</v>
      </c>
      <c r="B549" s="594" t="s">
        <v>1265</v>
      </c>
      <c r="C549" s="596">
        <v>0</v>
      </c>
      <c r="D549" s="595">
        <v>829058982.30999994</v>
      </c>
      <c r="E549" s="595">
        <v>166307510.94</v>
      </c>
      <c r="F549" s="595">
        <v>182373690.47999999</v>
      </c>
      <c r="G549" s="596">
        <v>0</v>
      </c>
      <c r="H549" s="595">
        <v>845125161.85000002</v>
      </c>
      <c r="I549" s="594" t="s">
        <v>1266</v>
      </c>
    </row>
    <row r="550" spans="1:9" ht="17.100000000000001" customHeight="1">
      <c r="A550" s="594">
        <v>20140107</v>
      </c>
      <c r="B550" s="594" t="s">
        <v>1267</v>
      </c>
      <c r="C550" s="596">
        <v>0</v>
      </c>
      <c r="D550" s="595">
        <v>782423823.51999998</v>
      </c>
      <c r="E550" s="595">
        <v>130503027.90000001</v>
      </c>
      <c r="F550" s="595">
        <v>7490917.7999999998</v>
      </c>
      <c r="G550" s="596">
        <v>0</v>
      </c>
      <c r="H550" s="595">
        <v>659411713.41999996</v>
      </c>
      <c r="I550" s="594" t="s">
        <v>1268</v>
      </c>
    </row>
    <row r="551" spans="1:9" ht="17.100000000000001" customHeight="1">
      <c r="A551" s="594">
        <v>20140117</v>
      </c>
      <c r="B551" s="594" t="s">
        <v>3452</v>
      </c>
      <c r="C551" s="596">
        <v>0</v>
      </c>
      <c r="D551" s="596">
        <v>78</v>
      </c>
      <c r="E551" s="596">
        <v>0</v>
      </c>
      <c r="F551" s="596">
        <v>0</v>
      </c>
      <c r="G551" s="596">
        <v>0</v>
      </c>
      <c r="H551" s="596">
        <v>78</v>
      </c>
      <c r="I551" s="594" t="s">
        <v>3453</v>
      </c>
    </row>
    <row r="552" spans="1:9" ht="17.100000000000001" customHeight="1">
      <c r="A552" s="594">
        <v>201402</v>
      </c>
      <c r="B552" s="594" t="s">
        <v>308</v>
      </c>
      <c r="C552" s="596">
        <v>0</v>
      </c>
      <c r="D552" s="595">
        <v>4275969805.6799998</v>
      </c>
      <c r="E552" s="595">
        <v>919676416.51999998</v>
      </c>
      <c r="F552" s="595">
        <v>1546306158.1900001</v>
      </c>
      <c r="G552" s="596">
        <v>0</v>
      </c>
      <c r="H552" s="595">
        <v>4902599547.3500004</v>
      </c>
      <c r="I552" s="594" t="s">
        <v>1269</v>
      </c>
    </row>
    <row r="553" spans="1:9" ht="17.100000000000001" customHeight="1">
      <c r="A553" s="594">
        <v>20140201</v>
      </c>
      <c r="B553" s="594" t="s">
        <v>1270</v>
      </c>
      <c r="C553" s="596">
        <v>0</v>
      </c>
      <c r="D553" s="595">
        <v>503890063.88999999</v>
      </c>
      <c r="E553" s="595">
        <v>375517995.06999999</v>
      </c>
      <c r="F553" s="595">
        <v>507181177.56</v>
      </c>
      <c r="G553" s="596">
        <v>0</v>
      </c>
      <c r="H553" s="595">
        <v>635553246.38</v>
      </c>
      <c r="I553" s="594" t="s">
        <v>1271</v>
      </c>
    </row>
    <row r="554" spans="1:9" ht="17.100000000000001" customHeight="1">
      <c r="A554" s="594">
        <v>20140203</v>
      </c>
      <c r="B554" s="594" t="s">
        <v>1272</v>
      </c>
      <c r="C554" s="596">
        <v>0</v>
      </c>
      <c r="D554" s="595">
        <v>107026069.67</v>
      </c>
      <c r="E554" s="595">
        <v>70010091.890000001</v>
      </c>
      <c r="F554" s="596">
        <v>61.25</v>
      </c>
      <c r="G554" s="596">
        <v>0</v>
      </c>
      <c r="H554" s="595">
        <v>37016039.030000001</v>
      </c>
      <c r="I554" s="594" t="s">
        <v>1273</v>
      </c>
    </row>
    <row r="555" spans="1:9" ht="17.100000000000001" customHeight="1">
      <c r="A555" s="320"/>
      <c r="B555" s="320"/>
      <c r="C555" s="320"/>
      <c r="D555" s="557" t="s">
        <v>4198</v>
      </c>
      <c r="E555" s="320" t="s">
        <v>3735</v>
      </c>
      <c r="F555" s="320"/>
      <c r="G555" s="320"/>
      <c r="H555" s="320"/>
      <c r="I555" s="320"/>
    </row>
    <row r="556" spans="1:9" ht="17.100000000000001" customHeight="1">
      <c r="A556" s="671"/>
      <c r="B556" s="671"/>
      <c r="C556" s="671"/>
      <c r="D556" s="671"/>
      <c r="E556" s="671"/>
      <c r="F556" s="671"/>
      <c r="G556" s="671"/>
      <c r="H556" s="671"/>
      <c r="I556" s="671"/>
    </row>
    <row r="557" spans="1:9" ht="17.100000000000001" customHeight="1">
      <c r="A557" s="320"/>
      <c r="B557" s="320"/>
      <c r="C557" s="589" t="s">
        <v>3707</v>
      </c>
      <c r="D557" s="320"/>
      <c r="E557" s="320"/>
      <c r="F557" s="671"/>
      <c r="G557" s="671"/>
      <c r="H557" s="671"/>
      <c r="I557" s="671"/>
    </row>
    <row r="558" spans="1:9" ht="17.100000000000001" customHeight="1">
      <c r="A558" s="590" t="s">
        <v>3708</v>
      </c>
      <c r="B558" s="590"/>
      <c r="C558" s="597">
        <v>42887</v>
      </c>
      <c r="D558" s="590"/>
      <c r="E558" s="557" t="s">
        <v>3709</v>
      </c>
      <c r="F558" s="671"/>
      <c r="G558" s="671"/>
      <c r="H558" s="671"/>
      <c r="I558" s="671"/>
    </row>
    <row r="559" spans="1:9" ht="17.100000000000001" customHeight="1">
      <c r="A559" s="593" t="s">
        <v>596</v>
      </c>
      <c r="B559" s="593" t="s">
        <v>597</v>
      </c>
      <c r="C559" s="593" t="s">
        <v>3710</v>
      </c>
      <c r="D559" s="593" t="s">
        <v>3711</v>
      </c>
      <c r="E559" s="593" t="s">
        <v>3712</v>
      </c>
      <c r="F559" s="593" t="s">
        <v>3713</v>
      </c>
      <c r="G559" s="593" t="s">
        <v>3714</v>
      </c>
      <c r="H559" s="593" t="s">
        <v>3715</v>
      </c>
      <c r="I559" s="593" t="s">
        <v>596</v>
      </c>
    </row>
    <row r="560" spans="1:9" ht="17.100000000000001" customHeight="1">
      <c r="A560" s="594">
        <v>20140205</v>
      </c>
      <c r="B560" s="594" t="s">
        <v>1274</v>
      </c>
      <c r="C560" s="596">
        <v>0</v>
      </c>
      <c r="D560" s="595">
        <v>350410658.79000002</v>
      </c>
      <c r="E560" s="595">
        <v>9495456.8900000006</v>
      </c>
      <c r="F560" s="595">
        <v>950780658.48000002</v>
      </c>
      <c r="G560" s="596">
        <v>0</v>
      </c>
      <c r="H560" s="595">
        <v>1291695860.3800001</v>
      </c>
      <c r="I560" s="594" t="s">
        <v>1275</v>
      </c>
    </row>
    <row r="561" spans="1:9" ht="17.100000000000001" customHeight="1">
      <c r="A561" s="594">
        <v>20140207</v>
      </c>
      <c r="B561" s="594" t="s">
        <v>1276</v>
      </c>
      <c r="C561" s="596">
        <v>0</v>
      </c>
      <c r="D561" s="595">
        <v>2845780759.3000002</v>
      </c>
      <c r="E561" s="595">
        <v>376882242.80000001</v>
      </c>
      <c r="F561" s="595">
        <v>3500750</v>
      </c>
      <c r="G561" s="596">
        <v>0</v>
      </c>
      <c r="H561" s="595">
        <v>2472399266.5</v>
      </c>
      <c r="I561" s="594" t="s">
        <v>1277</v>
      </c>
    </row>
    <row r="562" spans="1:9" ht="17.100000000000001" customHeight="1">
      <c r="A562" s="594">
        <v>20140209</v>
      </c>
      <c r="B562" s="594" t="s">
        <v>1278</v>
      </c>
      <c r="C562" s="596">
        <v>0</v>
      </c>
      <c r="D562" s="595">
        <v>4156029.01</v>
      </c>
      <c r="E562" s="595">
        <v>59507006.329999998</v>
      </c>
      <c r="F562" s="595">
        <v>59537510.899999999</v>
      </c>
      <c r="G562" s="596">
        <v>0</v>
      </c>
      <c r="H562" s="595">
        <v>4186533.58</v>
      </c>
      <c r="I562" s="594" t="s">
        <v>1279</v>
      </c>
    </row>
    <row r="563" spans="1:9" ht="17.100000000000001" customHeight="1">
      <c r="A563" s="594">
        <v>20140211</v>
      </c>
      <c r="B563" s="594" t="s">
        <v>1280</v>
      </c>
      <c r="C563" s="596">
        <v>0</v>
      </c>
      <c r="D563" s="595">
        <v>1702863.83</v>
      </c>
      <c r="E563" s="596">
        <v>0</v>
      </c>
      <c r="F563" s="595">
        <v>6710000</v>
      </c>
      <c r="G563" s="596">
        <v>0</v>
      </c>
      <c r="H563" s="595">
        <v>8412863.8300000001</v>
      </c>
      <c r="I563" s="594" t="s">
        <v>1281</v>
      </c>
    </row>
    <row r="564" spans="1:9" ht="17.100000000000001" customHeight="1">
      <c r="A564" s="594">
        <v>20140213</v>
      </c>
      <c r="B564" s="594" t="s">
        <v>1282</v>
      </c>
      <c r="C564" s="596">
        <v>0</v>
      </c>
      <c r="D564" s="595">
        <v>60203833.43</v>
      </c>
      <c r="E564" s="595">
        <v>10500</v>
      </c>
      <c r="F564" s="595">
        <v>14446000</v>
      </c>
      <c r="G564" s="596">
        <v>0</v>
      </c>
      <c r="H564" s="595">
        <v>74639333.430000007</v>
      </c>
      <c r="I564" s="594" t="s">
        <v>1283</v>
      </c>
    </row>
    <row r="565" spans="1:9" ht="17.100000000000001" customHeight="1">
      <c r="A565" s="594">
        <v>20140215</v>
      </c>
      <c r="B565" s="594" t="s">
        <v>1284</v>
      </c>
      <c r="C565" s="596">
        <v>0</v>
      </c>
      <c r="D565" s="595">
        <v>77128100</v>
      </c>
      <c r="E565" s="595">
        <v>28253123.539999999</v>
      </c>
      <c r="F565" s="595">
        <v>2100000</v>
      </c>
      <c r="G565" s="596">
        <v>0</v>
      </c>
      <c r="H565" s="595">
        <v>50974976.460000001</v>
      </c>
      <c r="I565" s="594" t="s">
        <v>1285</v>
      </c>
    </row>
    <row r="566" spans="1:9" ht="17.100000000000001" customHeight="1">
      <c r="A566" s="594">
        <v>20140217</v>
      </c>
      <c r="B566" s="594" t="s">
        <v>2676</v>
      </c>
      <c r="C566" s="596">
        <v>0</v>
      </c>
      <c r="D566" s="595">
        <v>324821427.75999999</v>
      </c>
      <c r="E566" s="596">
        <v>0</v>
      </c>
      <c r="F566" s="595">
        <v>1650000</v>
      </c>
      <c r="G566" s="596">
        <v>0</v>
      </c>
      <c r="H566" s="595">
        <v>326471427.75999999</v>
      </c>
      <c r="I566" s="594" t="s">
        <v>2677</v>
      </c>
    </row>
    <row r="567" spans="1:9" ht="17.100000000000001" customHeight="1">
      <c r="A567" s="594">
        <v>20140219</v>
      </c>
      <c r="B567" s="594" t="s">
        <v>3867</v>
      </c>
      <c r="C567" s="596">
        <v>0</v>
      </c>
      <c r="D567" s="595">
        <v>850000</v>
      </c>
      <c r="E567" s="596">
        <v>0</v>
      </c>
      <c r="F567" s="595">
        <v>400000</v>
      </c>
      <c r="G567" s="596">
        <v>0</v>
      </c>
      <c r="H567" s="595">
        <v>1250000</v>
      </c>
      <c r="I567" s="594" t="s">
        <v>3868</v>
      </c>
    </row>
    <row r="568" spans="1:9" ht="17.100000000000001" customHeight="1">
      <c r="A568" s="594">
        <v>201403</v>
      </c>
      <c r="B568" s="594" t="s">
        <v>1286</v>
      </c>
      <c r="C568" s="596">
        <v>0</v>
      </c>
      <c r="D568" s="595">
        <v>1253824316.1600001</v>
      </c>
      <c r="E568" s="595">
        <v>52944217.25</v>
      </c>
      <c r="F568" s="595">
        <v>127744418.3</v>
      </c>
      <c r="G568" s="596">
        <v>0</v>
      </c>
      <c r="H568" s="595">
        <v>1328624517.21</v>
      </c>
      <c r="I568" s="594" t="s">
        <v>1287</v>
      </c>
    </row>
    <row r="569" spans="1:9" ht="28.5" customHeight="1">
      <c r="A569" s="594">
        <v>20140301</v>
      </c>
      <c r="B569" s="594" t="s">
        <v>1288</v>
      </c>
      <c r="C569" s="596">
        <v>0</v>
      </c>
      <c r="D569" s="595">
        <v>26334270.699999999</v>
      </c>
      <c r="E569" s="595">
        <v>82106.5</v>
      </c>
      <c r="F569" s="595">
        <v>14418.3</v>
      </c>
      <c r="G569" s="596">
        <v>0</v>
      </c>
      <c r="H569" s="595">
        <v>26266582.5</v>
      </c>
      <c r="I569" s="594" t="s">
        <v>1289</v>
      </c>
    </row>
    <row r="570" spans="1:9">
      <c r="A570" s="594">
        <v>20140303</v>
      </c>
      <c r="B570" s="594" t="s">
        <v>1290</v>
      </c>
      <c r="C570" s="596">
        <v>0</v>
      </c>
      <c r="D570" s="595">
        <v>130220</v>
      </c>
      <c r="E570" s="596">
        <v>0</v>
      </c>
      <c r="F570" s="596">
        <v>0</v>
      </c>
      <c r="G570" s="596">
        <v>0</v>
      </c>
      <c r="H570" s="595">
        <v>130220</v>
      </c>
      <c r="I570" s="594" t="s">
        <v>1291</v>
      </c>
    </row>
    <row r="571" spans="1:9">
      <c r="A571" s="594">
        <v>20140305</v>
      </c>
      <c r="B571" s="594" t="s">
        <v>1292</v>
      </c>
      <c r="C571" s="596">
        <v>0</v>
      </c>
      <c r="D571" s="595">
        <v>6336306.2199999997</v>
      </c>
      <c r="E571" s="595">
        <v>1030000</v>
      </c>
      <c r="F571" s="595">
        <v>2130000</v>
      </c>
      <c r="G571" s="596">
        <v>0</v>
      </c>
      <c r="H571" s="595">
        <v>7436306.2199999997</v>
      </c>
      <c r="I571" s="594" t="s">
        <v>1293</v>
      </c>
    </row>
    <row r="572" spans="1:9">
      <c r="A572" s="594">
        <v>20140307</v>
      </c>
      <c r="B572" s="594" t="s">
        <v>1294</v>
      </c>
      <c r="C572" s="596">
        <v>0</v>
      </c>
      <c r="D572" s="595">
        <v>863358498.25</v>
      </c>
      <c r="E572" s="595">
        <v>51832110.75</v>
      </c>
      <c r="F572" s="595">
        <v>125600000</v>
      </c>
      <c r="G572" s="596">
        <v>0</v>
      </c>
      <c r="H572" s="595">
        <v>937126387.5</v>
      </c>
      <c r="I572" s="594" t="s">
        <v>1295</v>
      </c>
    </row>
    <row r="573" spans="1:9" ht="28.5" customHeight="1">
      <c r="A573" s="594">
        <v>20140317</v>
      </c>
      <c r="B573" s="594" t="s">
        <v>2795</v>
      </c>
      <c r="C573" s="596">
        <v>0</v>
      </c>
      <c r="D573" s="595">
        <v>357665020.99000001</v>
      </c>
      <c r="E573" s="596">
        <v>0</v>
      </c>
      <c r="F573" s="596">
        <v>0</v>
      </c>
      <c r="G573" s="596">
        <v>0</v>
      </c>
      <c r="H573" s="595">
        <v>357665020.99000001</v>
      </c>
      <c r="I573" s="594" t="s">
        <v>2796</v>
      </c>
    </row>
    <row r="574" spans="1:9" ht="17.100000000000001" customHeight="1">
      <c r="A574" s="594">
        <v>201404</v>
      </c>
      <c r="B574" s="594" t="s">
        <v>306</v>
      </c>
      <c r="C574" s="596">
        <v>0</v>
      </c>
      <c r="D574" s="595">
        <v>18395920.850000001</v>
      </c>
      <c r="E574" s="595">
        <v>549128334.5</v>
      </c>
      <c r="F574" s="595">
        <v>571742776.75</v>
      </c>
      <c r="G574" s="596">
        <v>0</v>
      </c>
      <c r="H574" s="595">
        <v>41010363.100000001</v>
      </c>
      <c r="I574" s="594" t="s">
        <v>1296</v>
      </c>
    </row>
    <row r="575" spans="1:9" ht="17.100000000000001" customHeight="1">
      <c r="A575" s="594">
        <v>20140401</v>
      </c>
      <c r="B575" s="594" t="s">
        <v>1297</v>
      </c>
      <c r="C575" s="596">
        <v>0</v>
      </c>
      <c r="D575" s="595">
        <v>10963923.85</v>
      </c>
      <c r="E575" s="595">
        <v>547012801.5</v>
      </c>
      <c r="F575" s="595">
        <v>553449995.75</v>
      </c>
      <c r="G575" s="596">
        <v>0</v>
      </c>
      <c r="H575" s="595">
        <v>17401118.100000001</v>
      </c>
      <c r="I575" s="594" t="s">
        <v>1298</v>
      </c>
    </row>
    <row r="576" spans="1:9" ht="17.100000000000001" customHeight="1">
      <c r="A576" s="594">
        <v>20140403</v>
      </c>
      <c r="B576" s="594" t="s">
        <v>1299</v>
      </c>
      <c r="C576" s="596">
        <v>0</v>
      </c>
      <c r="D576" s="595">
        <v>175000</v>
      </c>
      <c r="E576" s="596">
        <v>0</v>
      </c>
      <c r="F576" s="596">
        <v>0</v>
      </c>
      <c r="G576" s="596">
        <v>0</v>
      </c>
      <c r="H576" s="595">
        <v>175000</v>
      </c>
      <c r="I576" s="594" t="s">
        <v>1300</v>
      </c>
    </row>
    <row r="577" spans="1:9" ht="17.100000000000001" customHeight="1">
      <c r="A577" s="594">
        <v>20140405</v>
      </c>
      <c r="B577" s="594" t="s">
        <v>1301</v>
      </c>
      <c r="C577" s="596">
        <v>0</v>
      </c>
      <c r="D577" s="595">
        <v>5696997</v>
      </c>
      <c r="E577" s="595">
        <v>2115533</v>
      </c>
      <c r="F577" s="595">
        <v>9292781</v>
      </c>
      <c r="G577" s="596">
        <v>0</v>
      </c>
      <c r="H577" s="595">
        <v>12874245</v>
      </c>
      <c r="I577" s="594" t="s">
        <v>1302</v>
      </c>
    </row>
    <row r="578" spans="1:9" ht="17.100000000000001" customHeight="1">
      <c r="A578" s="594">
        <v>20140407</v>
      </c>
      <c r="B578" s="594" t="s">
        <v>1303</v>
      </c>
      <c r="C578" s="596">
        <v>0</v>
      </c>
      <c r="D578" s="595">
        <v>1560000</v>
      </c>
      <c r="E578" s="596">
        <v>0</v>
      </c>
      <c r="F578" s="595">
        <v>9000000</v>
      </c>
      <c r="G578" s="596">
        <v>0</v>
      </c>
      <c r="H578" s="595">
        <v>10560000</v>
      </c>
      <c r="I578" s="594" t="s">
        <v>1304</v>
      </c>
    </row>
    <row r="579" spans="1:9" ht="17.100000000000001" customHeight="1">
      <c r="A579" s="594">
        <v>201405</v>
      </c>
      <c r="B579" s="594" t="s">
        <v>309</v>
      </c>
      <c r="C579" s="596">
        <v>0</v>
      </c>
      <c r="D579" s="595">
        <v>31299168.050000001</v>
      </c>
      <c r="E579" s="596">
        <v>3</v>
      </c>
      <c r="F579" s="595">
        <v>24353.279999999999</v>
      </c>
      <c r="G579" s="596">
        <v>0</v>
      </c>
      <c r="H579" s="595">
        <v>31323518.329999998</v>
      </c>
      <c r="I579" s="594" t="s">
        <v>1305</v>
      </c>
    </row>
    <row r="580" spans="1:9" ht="17.100000000000001" customHeight="1">
      <c r="A580" s="594">
        <v>20140501</v>
      </c>
      <c r="B580" s="594" t="s">
        <v>1306</v>
      </c>
      <c r="C580" s="596">
        <v>0</v>
      </c>
      <c r="D580" s="595">
        <v>31297432.73</v>
      </c>
      <c r="E580" s="596">
        <v>0</v>
      </c>
      <c r="F580" s="595">
        <v>24351.73</v>
      </c>
      <c r="G580" s="596">
        <v>0</v>
      </c>
      <c r="H580" s="595">
        <v>31321784.460000001</v>
      </c>
      <c r="I580" s="594" t="s">
        <v>1307</v>
      </c>
    </row>
    <row r="581" spans="1:9" ht="17.100000000000001" customHeight="1">
      <c r="A581" s="594">
        <v>20140509</v>
      </c>
      <c r="B581" s="594" t="s">
        <v>2594</v>
      </c>
      <c r="C581" s="596">
        <v>0</v>
      </c>
      <c r="D581" s="595">
        <v>1735.32</v>
      </c>
      <c r="E581" s="596">
        <v>3</v>
      </c>
      <c r="F581" s="596">
        <v>1.55</v>
      </c>
      <c r="G581" s="596">
        <v>0</v>
      </c>
      <c r="H581" s="595">
        <v>1733.87</v>
      </c>
      <c r="I581" s="594" t="s">
        <v>2595</v>
      </c>
    </row>
    <row r="582" spans="1:9" ht="17.100000000000001" customHeight="1">
      <c r="A582" s="594">
        <v>201406</v>
      </c>
      <c r="B582" s="594" t="s">
        <v>310</v>
      </c>
      <c r="C582" s="596">
        <v>0</v>
      </c>
      <c r="D582" s="595">
        <v>4948.63</v>
      </c>
      <c r="E582" s="596">
        <v>0</v>
      </c>
      <c r="F582" s="596">
        <v>3.79</v>
      </c>
      <c r="G582" s="596">
        <v>0</v>
      </c>
      <c r="H582" s="595">
        <v>4952.42</v>
      </c>
      <c r="I582" s="594" t="s">
        <v>1308</v>
      </c>
    </row>
    <row r="583" spans="1:9" ht="17.100000000000001" customHeight="1">
      <c r="A583" s="594">
        <v>20140601</v>
      </c>
      <c r="B583" s="594" t="s">
        <v>1309</v>
      </c>
      <c r="C583" s="596">
        <v>0</v>
      </c>
      <c r="D583" s="595">
        <v>4948.63</v>
      </c>
      <c r="E583" s="596">
        <v>0</v>
      </c>
      <c r="F583" s="596">
        <v>3.79</v>
      </c>
      <c r="G583" s="596">
        <v>0</v>
      </c>
      <c r="H583" s="595">
        <v>4952.42</v>
      </c>
      <c r="I583" s="594" t="s">
        <v>1310</v>
      </c>
    </row>
    <row r="584" spans="1:9" ht="17.100000000000001" customHeight="1">
      <c r="A584" s="594">
        <v>201407</v>
      </c>
      <c r="B584" s="594" t="s">
        <v>311</v>
      </c>
      <c r="C584" s="596">
        <v>0</v>
      </c>
      <c r="D584" s="595">
        <v>1213.9100000000001</v>
      </c>
      <c r="E584" s="596">
        <v>0</v>
      </c>
      <c r="F584" s="596">
        <v>0.93</v>
      </c>
      <c r="G584" s="596">
        <v>0</v>
      </c>
      <c r="H584" s="595">
        <v>1214.8399999999999</v>
      </c>
      <c r="I584" s="594" t="s">
        <v>1311</v>
      </c>
    </row>
    <row r="585" spans="1:9" ht="17.100000000000001" customHeight="1">
      <c r="A585" s="594">
        <v>20140701</v>
      </c>
      <c r="B585" s="594" t="s">
        <v>1312</v>
      </c>
      <c r="C585" s="596">
        <v>0</v>
      </c>
      <c r="D585" s="595">
        <v>1213.9100000000001</v>
      </c>
      <c r="E585" s="596">
        <v>0</v>
      </c>
      <c r="F585" s="596">
        <v>0.93</v>
      </c>
      <c r="G585" s="596">
        <v>0</v>
      </c>
      <c r="H585" s="595">
        <v>1214.8399999999999</v>
      </c>
      <c r="I585" s="594" t="s">
        <v>1313</v>
      </c>
    </row>
    <row r="586" spans="1:9" ht="17.100000000000001" customHeight="1">
      <c r="A586" s="594">
        <v>201499</v>
      </c>
      <c r="B586" s="594" t="s">
        <v>312</v>
      </c>
      <c r="C586" s="596">
        <v>0</v>
      </c>
      <c r="D586" s="595">
        <v>449121063.23000002</v>
      </c>
      <c r="E586" s="595">
        <v>134247650.91</v>
      </c>
      <c r="F586" s="595">
        <v>179838095.81</v>
      </c>
      <c r="G586" s="596">
        <v>0</v>
      </c>
      <c r="H586" s="595">
        <v>494711508.13</v>
      </c>
      <c r="I586" s="594" t="s">
        <v>1314</v>
      </c>
    </row>
    <row r="587" spans="1:9" ht="17.100000000000001" customHeight="1">
      <c r="A587" s="594">
        <v>20149901</v>
      </c>
      <c r="B587" s="594" t="s">
        <v>1315</v>
      </c>
      <c r="C587" s="596">
        <v>0</v>
      </c>
      <c r="D587" s="595">
        <v>101631867.23</v>
      </c>
      <c r="E587" s="595">
        <v>50770190.460000001</v>
      </c>
      <c r="F587" s="595">
        <v>46030483.009999998</v>
      </c>
      <c r="G587" s="596">
        <v>0</v>
      </c>
      <c r="H587" s="595">
        <v>96892159.780000001</v>
      </c>
      <c r="I587" s="594" t="s">
        <v>1316</v>
      </c>
    </row>
    <row r="588" spans="1:9" ht="17.100000000000001" customHeight="1">
      <c r="A588" s="594">
        <v>20149903</v>
      </c>
      <c r="B588" s="594" t="s">
        <v>1317</v>
      </c>
      <c r="C588" s="596">
        <v>0</v>
      </c>
      <c r="D588" s="595">
        <v>23204.85</v>
      </c>
      <c r="E588" s="595">
        <v>1000</v>
      </c>
      <c r="F588" s="596">
        <v>0</v>
      </c>
      <c r="G588" s="596">
        <v>0</v>
      </c>
      <c r="H588" s="595">
        <v>22204.85</v>
      </c>
      <c r="I588" s="594" t="s">
        <v>1318</v>
      </c>
    </row>
    <row r="589" spans="1:9" ht="17.100000000000001" customHeight="1">
      <c r="A589" s="594">
        <v>20149905</v>
      </c>
      <c r="B589" s="594" t="s">
        <v>1319</v>
      </c>
      <c r="C589" s="596">
        <v>0</v>
      </c>
      <c r="D589" s="595">
        <v>16174188.720000001</v>
      </c>
      <c r="E589" s="595">
        <v>459524.98</v>
      </c>
      <c r="F589" s="596">
        <v>0</v>
      </c>
      <c r="G589" s="596">
        <v>0</v>
      </c>
      <c r="H589" s="595">
        <v>15714663.74</v>
      </c>
      <c r="I589" s="594" t="s">
        <v>1320</v>
      </c>
    </row>
    <row r="590" spans="1:9" ht="17.100000000000001" customHeight="1">
      <c r="A590" s="594">
        <v>20149907</v>
      </c>
      <c r="B590" s="594" t="s">
        <v>1321</v>
      </c>
      <c r="C590" s="596">
        <v>0</v>
      </c>
      <c r="D590" s="595">
        <v>267900968.38</v>
      </c>
      <c r="E590" s="595">
        <v>19935000.98</v>
      </c>
      <c r="F590" s="595">
        <v>70979881.859999999</v>
      </c>
      <c r="G590" s="596">
        <v>0</v>
      </c>
      <c r="H590" s="595">
        <v>318945849.25999999</v>
      </c>
      <c r="I590" s="594" t="s">
        <v>1322</v>
      </c>
    </row>
    <row r="591" spans="1:9" ht="17.100000000000001" customHeight="1">
      <c r="A591" s="594">
        <v>20149909</v>
      </c>
      <c r="B591" s="594" t="s">
        <v>1323</v>
      </c>
      <c r="C591" s="596">
        <v>0</v>
      </c>
      <c r="D591" s="595">
        <v>1780710.02</v>
      </c>
      <c r="E591" s="595">
        <v>61294058.299999997</v>
      </c>
      <c r="F591" s="595">
        <v>62827730.939999998</v>
      </c>
      <c r="G591" s="596">
        <v>0</v>
      </c>
      <c r="H591" s="595">
        <v>3314382.66</v>
      </c>
      <c r="I591" s="594" t="s">
        <v>1324</v>
      </c>
    </row>
    <row r="592" spans="1:9" ht="17.100000000000001" customHeight="1">
      <c r="A592" s="594">
        <v>20149911</v>
      </c>
      <c r="B592" s="594" t="s">
        <v>2799</v>
      </c>
      <c r="C592" s="596">
        <v>0</v>
      </c>
      <c r="D592" s="595">
        <v>59407.07</v>
      </c>
      <c r="E592" s="595">
        <v>3876.19</v>
      </c>
      <c r="F592" s="596">
        <v>0</v>
      </c>
      <c r="G592" s="596">
        <v>0</v>
      </c>
      <c r="H592" s="595">
        <v>55530.879999999997</v>
      </c>
      <c r="I592" s="594" t="s">
        <v>2800</v>
      </c>
    </row>
    <row r="593" spans="1:9" ht="17.100000000000001" customHeight="1">
      <c r="A593" s="594">
        <v>20149913</v>
      </c>
      <c r="B593" s="594" t="s">
        <v>1325</v>
      </c>
      <c r="C593" s="596">
        <v>0</v>
      </c>
      <c r="D593" s="595">
        <v>16200000</v>
      </c>
      <c r="E593" s="595">
        <v>1760000</v>
      </c>
      <c r="F593" s="596">
        <v>0</v>
      </c>
      <c r="G593" s="596">
        <v>0</v>
      </c>
      <c r="H593" s="595">
        <v>14440000</v>
      </c>
      <c r="I593" s="594" t="s">
        <v>1326</v>
      </c>
    </row>
    <row r="594" spans="1:9" ht="17.100000000000001" customHeight="1">
      <c r="A594" s="320"/>
      <c r="B594" s="320"/>
      <c r="C594" s="320"/>
      <c r="D594" s="557" t="s">
        <v>4198</v>
      </c>
      <c r="E594" s="320" t="s">
        <v>3740</v>
      </c>
      <c r="F594" s="320"/>
      <c r="G594" s="320"/>
      <c r="H594" s="320"/>
      <c r="I594" s="320"/>
    </row>
    <row r="595" spans="1:9" ht="17.100000000000001" customHeight="1">
      <c r="A595" s="671"/>
      <c r="B595" s="671"/>
      <c r="C595" s="671"/>
      <c r="D595" s="671"/>
      <c r="E595" s="671"/>
      <c r="F595" s="671"/>
      <c r="G595" s="671"/>
      <c r="H595" s="671"/>
      <c r="I595" s="671"/>
    </row>
    <row r="596" spans="1:9" ht="17.100000000000001" customHeight="1">
      <c r="A596" s="320"/>
      <c r="B596" s="320"/>
      <c r="C596" s="589" t="s">
        <v>3707</v>
      </c>
      <c r="D596" s="320"/>
      <c r="E596" s="320"/>
      <c r="F596" s="671"/>
      <c r="G596" s="671"/>
      <c r="H596" s="671"/>
      <c r="I596" s="671"/>
    </row>
    <row r="597" spans="1:9" ht="17.100000000000001" customHeight="1">
      <c r="A597" s="590" t="s">
        <v>3708</v>
      </c>
      <c r="B597" s="590"/>
      <c r="C597" s="597">
        <v>42887</v>
      </c>
      <c r="D597" s="590"/>
      <c r="E597" s="557" t="s">
        <v>3709</v>
      </c>
      <c r="F597" s="671"/>
      <c r="G597" s="671"/>
      <c r="H597" s="671"/>
      <c r="I597" s="671"/>
    </row>
    <row r="598" spans="1:9" ht="17.100000000000001" customHeight="1">
      <c r="A598" s="593" t="s">
        <v>596</v>
      </c>
      <c r="B598" s="593" t="s">
        <v>597</v>
      </c>
      <c r="C598" s="593" t="s">
        <v>3710</v>
      </c>
      <c r="D598" s="593" t="s">
        <v>3711</v>
      </c>
      <c r="E598" s="593" t="s">
        <v>3712</v>
      </c>
      <c r="F598" s="593" t="s">
        <v>3713</v>
      </c>
      <c r="G598" s="593" t="s">
        <v>3714</v>
      </c>
      <c r="H598" s="593" t="s">
        <v>3715</v>
      </c>
      <c r="I598" s="593" t="s">
        <v>596</v>
      </c>
    </row>
    <row r="599" spans="1:9" ht="17.100000000000001" customHeight="1">
      <c r="A599" s="594">
        <v>20149915</v>
      </c>
      <c r="B599" s="594" t="s">
        <v>1327</v>
      </c>
      <c r="C599" s="596">
        <v>0</v>
      </c>
      <c r="D599" s="595">
        <v>12050716.960000001</v>
      </c>
      <c r="E599" s="595">
        <v>24000</v>
      </c>
      <c r="F599" s="596">
        <v>0</v>
      </c>
      <c r="G599" s="596">
        <v>0</v>
      </c>
      <c r="H599" s="595">
        <v>12026716.960000001</v>
      </c>
      <c r="I599" s="594" t="s">
        <v>1328</v>
      </c>
    </row>
    <row r="600" spans="1:9" ht="17.100000000000001" customHeight="1">
      <c r="A600" s="594">
        <v>20149917</v>
      </c>
      <c r="B600" s="594" t="s">
        <v>2801</v>
      </c>
      <c r="C600" s="596">
        <v>0</v>
      </c>
      <c r="D600" s="595">
        <v>33300000</v>
      </c>
      <c r="E600" s="596">
        <v>0</v>
      </c>
      <c r="F600" s="596">
        <v>0</v>
      </c>
      <c r="G600" s="596">
        <v>0</v>
      </c>
      <c r="H600" s="595">
        <v>33300000</v>
      </c>
      <c r="I600" s="594" t="s">
        <v>2802</v>
      </c>
    </row>
    <row r="601" spans="1:9" ht="17.100000000000001" customHeight="1">
      <c r="A601" s="594">
        <v>2016</v>
      </c>
      <c r="B601" s="594" t="s">
        <v>1329</v>
      </c>
      <c r="C601" s="596">
        <v>0</v>
      </c>
      <c r="D601" s="595">
        <v>2187881000</v>
      </c>
      <c r="E601" s="596">
        <v>0</v>
      </c>
      <c r="F601" s="596">
        <v>0</v>
      </c>
      <c r="G601" s="596">
        <v>0</v>
      </c>
      <c r="H601" s="595">
        <v>2187881000</v>
      </c>
      <c r="I601" s="594" t="s">
        <v>1330</v>
      </c>
    </row>
    <row r="602" spans="1:9" ht="17.100000000000001" customHeight="1">
      <c r="A602" s="594">
        <v>201601</v>
      </c>
      <c r="B602" s="594" t="s">
        <v>1329</v>
      </c>
      <c r="C602" s="596">
        <v>0</v>
      </c>
      <c r="D602" s="595">
        <v>2187881000</v>
      </c>
      <c r="E602" s="596">
        <v>0</v>
      </c>
      <c r="F602" s="596">
        <v>0</v>
      </c>
      <c r="G602" s="596">
        <v>0</v>
      </c>
      <c r="H602" s="595">
        <v>2187881000</v>
      </c>
      <c r="I602" s="594" t="s">
        <v>1331</v>
      </c>
    </row>
    <row r="603" spans="1:9" ht="17.100000000000001" customHeight="1">
      <c r="A603" s="594">
        <v>20160101</v>
      </c>
      <c r="B603" s="594" t="s">
        <v>1329</v>
      </c>
      <c r="C603" s="596">
        <v>0</v>
      </c>
      <c r="D603" s="595">
        <v>2187881000</v>
      </c>
      <c r="E603" s="596">
        <v>0</v>
      </c>
      <c r="F603" s="596">
        <v>0</v>
      </c>
      <c r="G603" s="596">
        <v>0</v>
      </c>
      <c r="H603" s="595">
        <v>2187881000</v>
      </c>
      <c r="I603" s="594" t="s">
        <v>1332</v>
      </c>
    </row>
    <row r="604" spans="1:9" ht="17.100000000000001" customHeight="1">
      <c r="A604" s="594">
        <v>2017</v>
      </c>
      <c r="B604" s="594" t="s">
        <v>1333</v>
      </c>
      <c r="C604" s="596">
        <v>0</v>
      </c>
      <c r="D604" s="595">
        <v>28520302229.599998</v>
      </c>
      <c r="E604" s="595">
        <v>308650441625.78003</v>
      </c>
      <c r="F604" s="595">
        <v>307614050357.17999</v>
      </c>
      <c r="G604" s="596">
        <v>0</v>
      </c>
      <c r="H604" s="595">
        <v>27483910961</v>
      </c>
      <c r="I604" s="594" t="s">
        <v>1334</v>
      </c>
    </row>
    <row r="605" spans="1:9" ht="17.100000000000001" customHeight="1">
      <c r="A605" s="594">
        <v>201701</v>
      </c>
      <c r="B605" s="594" t="s">
        <v>3972</v>
      </c>
      <c r="C605" s="596">
        <v>0</v>
      </c>
      <c r="D605" s="595">
        <v>8300000000</v>
      </c>
      <c r="E605" s="596">
        <v>0</v>
      </c>
      <c r="F605" s="596">
        <v>0</v>
      </c>
      <c r="G605" s="596">
        <v>0</v>
      </c>
      <c r="H605" s="595">
        <v>8300000000</v>
      </c>
      <c r="I605" s="594" t="s">
        <v>3973</v>
      </c>
    </row>
    <row r="606" spans="1:9" ht="17.100000000000001" customHeight="1">
      <c r="A606" s="594">
        <v>20170103</v>
      </c>
      <c r="B606" s="594" t="s">
        <v>4220</v>
      </c>
      <c r="C606" s="596">
        <v>0</v>
      </c>
      <c r="D606" s="595">
        <v>8300000000</v>
      </c>
      <c r="E606" s="596">
        <v>0</v>
      </c>
      <c r="F606" s="596">
        <v>0</v>
      </c>
      <c r="G606" s="596">
        <v>0</v>
      </c>
      <c r="H606" s="595">
        <v>8300000000</v>
      </c>
      <c r="I606" s="594" t="s">
        <v>4221</v>
      </c>
    </row>
    <row r="607" spans="1:9" ht="17.100000000000001" customHeight="1">
      <c r="A607" s="594">
        <v>201702</v>
      </c>
      <c r="B607" s="594" t="s">
        <v>1335</v>
      </c>
      <c r="C607" s="596">
        <v>0</v>
      </c>
      <c r="D607" s="595">
        <v>1744276332.7</v>
      </c>
      <c r="E607" s="595">
        <v>73814590730.949997</v>
      </c>
      <c r="F607" s="595">
        <v>76121500512.190002</v>
      </c>
      <c r="G607" s="596">
        <v>0</v>
      </c>
      <c r="H607" s="595">
        <v>4051186113.9400001</v>
      </c>
      <c r="I607" s="594" t="s">
        <v>1336</v>
      </c>
    </row>
    <row r="608" spans="1:9" ht="28.5" customHeight="1">
      <c r="A608" s="594">
        <v>20170201</v>
      </c>
      <c r="B608" s="594" t="s">
        <v>2596</v>
      </c>
      <c r="C608" s="596">
        <v>0</v>
      </c>
      <c r="D608" s="595">
        <v>744276332.70000005</v>
      </c>
      <c r="E608" s="595">
        <v>73814590730.949997</v>
      </c>
      <c r="F608" s="595">
        <v>74621500512.190002</v>
      </c>
      <c r="G608" s="596">
        <v>0</v>
      </c>
      <c r="H608" s="595">
        <v>1551186113.9400001</v>
      </c>
      <c r="I608" s="594" t="s">
        <v>2597</v>
      </c>
    </row>
    <row r="609" spans="1:9">
      <c r="A609" s="594">
        <v>20170203</v>
      </c>
      <c r="B609" s="594" t="s">
        <v>1337</v>
      </c>
      <c r="C609" s="596">
        <v>0</v>
      </c>
      <c r="D609" s="595">
        <v>1000000000</v>
      </c>
      <c r="E609" s="596">
        <v>0</v>
      </c>
      <c r="F609" s="595">
        <v>1500000000</v>
      </c>
      <c r="G609" s="596">
        <v>0</v>
      </c>
      <c r="H609" s="595">
        <v>2500000000</v>
      </c>
      <c r="I609" s="594" t="s">
        <v>1338</v>
      </c>
    </row>
    <row r="610" spans="1:9">
      <c r="A610" s="594">
        <v>201703</v>
      </c>
      <c r="B610" s="594" t="s">
        <v>4222</v>
      </c>
      <c r="C610" s="596">
        <v>0</v>
      </c>
      <c r="D610" s="596">
        <v>0</v>
      </c>
      <c r="E610" s="596">
        <v>0</v>
      </c>
      <c r="F610" s="595">
        <v>360000000</v>
      </c>
      <c r="G610" s="596">
        <v>0</v>
      </c>
      <c r="H610" s="595">
        <v>360000000</v>
      </c>
      <c r="I610" s="594" t="s">
        <v>4223</v>
      </c>
    </row>
    <row r="611" spans="1:9">
      <c r="A611" s="594">
        <v>20170303</v>
      </c>
      <c r="B611" s="594" t="s">
        <v>4224</v>
      </c>
      <c r="C611" s="596">
        <v>0</v>
      </c>
      <c r="D611" s="596">
        <v>0</v>
      </c>
      <c r="E611" s="596">
        <v>0</v>
      </c>
      <c r="F611" s="595">
        <v>360000000</v>
      </c>
      <c r="G611" s="596">
        <v>0</v>
      </c>
      <c r="H611" s="595">
        <v>360000000</v>
      </c>
      <c r="I611" s="594" t="s">
        <v>4225</v>
      </c>
    </row>
    <row r="612" spans="1:9" ht="28.5" customHeight="1">
      <c r="A612" s="594">
        <v>201705</v>
      </c>
      <c r="B612" s="594" t="s">
        <v>1339</v>
      </c>
      <c r="C612" s="596">
        <v>0</v>
      </c>
      <c r="D612" s="595">
        <v>4352243173.21</v>
      </c>
      <c r="E612" s="595">
        <v>34351446169.779999</v>
      </c>
      <c r="F612" s="595">
        <v>32960724830.380001</v>
      </c>
      <c r="G612" s="596">
        <v>0</v>
      </c>
      <c r="H612" s="595">
        <v>2961521833.8099999</v>
      </c>
      <c r="I612" s="594" t="s">
        <v>1340</v>
      </c>
    </row>
    <row r="613" spans="1:9" ht="17.100000000000001" customHeight="1">
      <c r="A613" s="594">
        <v>20170501</v>
      </c>
      <c r="B613" s="594" t="s">
        <v>1341</v>
      </c>
      <c r="C613" s="596">
        <v>0</v>
      </c>
      <c r="D613" s="595">
        <v>2243243173.21</v>
      </c>
      <c r="E613" s="595">
        <v>31002446169.779999</v>
      </c>
      <c r="F613" s="595">
        <v>30442724830.380001</v>
      </c>
      <c r="G613" s="596">
        <v>0</v>
      </c>
      <c r="H613" s="595">
        <v>1683521833.8099999</v>
      </c>
      <c r="I613" s="594" t="s">
        <v>1342</v>
      </c>
    </row>
    <row r="614" spans="1:9" ht="17.100000000000001" customHeight="1">
      <c r="A614" s="594">
        <v>20170503</v>
      </c>
      <c r="B614" s="594" t="s">
        <v>1343</v>
      </c>
      <c r="C614" s="596">
        <v>0</v>
      </c>
      <c r="D614" s="595">
        <v>2109000000</v>
      </c>
      <c r="E614" s="595">
        <v>3349000000</v>
      </c>
      <c r="F614" s="595">
        <v>2518000000</v>
      </c>
      <c r="G614" s="596">
        <v>0</v>
      </c>
      <c r="H614" s="595">
        <v>1278000000</v>
      </c>
      <c r="I614" s="594" t="s">
        <v>1344</v>
      </c>
    </row>
    <row r="615" spans="1:9" ht="17.100000000000001" customHeight="1">
      <c r="A615" s="594">
        <v>201711</v>
      </c>
      <c r="B615" s="594" t="s">
        <v>3583</v>
      </c>
      <c r="C615" s="596">
        <v>0</v>
      </c>
      <c r="D615" s="595">
        <v>160414927.58000001</v>
      </c>
      <c r="E615" s="595">
        <v>160000200</v>
      </c>
      <c r="F615" s="595">
        <v>112575.95</v>
      </c>
      <c r="G615" s="596">
        <v>0</v>
      </c>
      <c r="H615" s="595">
        <v>527303.53</v>
      </c>
      <c r="I615" s="594" t="s">
        <v>3584</v>
      </c>
    </row>
    <row r="616" spans="1:9" ht="17.100000000000001" customHeight="1">
      <c r="A616" s="594">
        <v>20171101</v>
      </c>
      <c r="B616" s="594" t="s">
        <v>3585</v>
      </c>
      <c r="C616" s="596">
        <v>0</v>
      </c>
      <c r="D616" s="595">
        <v>160414927.58000001</v>
      </c>
      <c r="E616" s="595">
        <v>160000200</v>
      </c>
      <c r="F616" s="595">
        <v>112575.95</v>
      </c>
      <c r="G616" s="596">
        <v>0</v>
      </c>
      <c r="H616" s="595">
        <v>527303.53</v>
      </c>
      <c r="I616" s="594" t="s">
        <v>3586</v>
      </c>
    </row>
    <row r="617" spans="1:9" ht="17.100000000000001" customHeight="1">
      <c r="A617" s="594">
        <v>201712</v>
      </c>
      <c r="B617" s="594" t="s">
        <v>2803</v>
      </c>
      <c r="C617" s="596">
        <v>0</v>
      </c>
      <c r="D617" s="595">
        <v>209332281.52000001</v>
      </c>
      <c r="E617" s="595">
        <v>1175706845.3599999</v>
      </c>
      <c r="F617" s="595">
        <v>1262377847.05</v>
      </c>
      <c r="G617" s="596">
        <v>0</v>
      </c>
      <c r="H617" s="595">
        <v>296003283.20999998</v>
      </c>
      <c r="I617" s="594" t="s">
        <v>2804</v>
      </c>
    </row>
    <row r="618" spans="1:9" ht="17.100000000000001" customHeight="1">
      <c r="A618" s="594">
        <v>20171207</v>
      </c>
      <c r="B618" s="594" t="s">
        <v>2805</v>
      </c>
      <c r="C618" s="596">
        <v>0</v>
      </c>
      <c r="D618" s="595">
        <v>205000000</v>
      </c>
      <c r="E618" s="595">
        <v>28000000</v>
      </c>
      <c r="F618" s="595">
        <v>115000000</v>
      </c>
      <c r="G618" s="596">
        <v>0</v>
      </c>
      <c r="H618" s="595">
        <v>292000000</v>
      </c>
      <c r="I618" s="594" t="s">
        <v>2806</v>
      </c>
    </row>
    <row r="619" spans="1:9" ht="17.100000000000001" customHeight="1">
      <c r="A619" s="594">
        <v>20171209</v>
      </c>
      <c r="B619" s="594" t="s">
        <v>3370</v>
      </c>
      <c r="C619" s="596">
        <v>0</v>
      </c>
      <c r="D619" s="595">
        <v>4332281.5199999996</v>
      </c>
      <c r="E619" s="595">
        <v>1147706845.3599999</v>
      </c>
      <c r="F619" s="595">
        <v>1147377847.05</v>
      </c>
      <c r="G619" s="596">
        <v>0</v>
      </c>
      <c r="H619" s="595">
        <v>4003283.21</v>
      </c>
      <c r="I619" s="594" t="s">
        <v>3371</v>
      </c>
    </row>
    <row r="620" spans="1:9" ht="17.100000000000001" customHeight="1">
      <c r="A620" s="594">
        <v>201713</v>
      </c>
      <c r="B620" s="594" t="s">
        <v>2807</v>
      </c>
      <c r="C620" s="596">
        <v>0</v>
      </c>
      <c r="D620" s="595">
        <v>6028783712.3000002</v>
      </c>
      <c r="E620" s="595">
        <v>1052059900.96</v>
      </c>
      <c r="F620" s="595">
        <v>1069266763.15</v>
      </c>
      <c r="G620" s="596">
        <v>0</v>
      </c>
      <c r="H620" s="595">
        <v>6045990574.4899998</v>
      </c>
      <c r="I620" s="594" t="s">
        <v>2678</v>
      </c>
    </row>
    <row r="621" spans="1:9" ht="17.100000000000001" customHeight="1">
      <c r="A621" s="594">
        <v>20171301</v>
      </c>
      <c r="B621" s="594" t="s">
        <v>2808</v>
      </c>
      <c r="C621" s="596">
        <v>0</v>
      </c>
      <c r="D621" s="595">
        <v>28759</v>
      </c>
      <c r="E621" s="595">
        <v>10733343.33</v>
      </c>
      <c r="F621" s="595">
        <v>10733456</v>
      </c>
      <c r="G621" s="596">
        <v>0</v>
      </c>
      <c r="H621" s="595">
        <v>28871.67</v>
      </c>
      <c r="I621" s="594" t="s">
        <v>2809</v>
      </c>
    </row>
    <row r="622" spans="1:9" ht="17.100000000000001" customHeight="1">
      <c r="A622" s="594">
        <v>20171303</v>
      </c>
      <c r="B622" s="594" t="s">
        <v>3673</v>
      </c>
      <c r="C622" s="596">
        <v>0</v>
      </c>
      <c r="D622" s="595">
        <v>18000000</v>
      </c>
      <c r="E622" s="596">
        <v>0</v>
      </c>
      <c r="F622" s="596">
        <v>0</v>
      </c>
      <c r="G622" s="596">
        <v>0</v>
      </c>
      <c r="H622" s="595">
        <v>18000000</v>
      </c>
      <c r="I622" s="594" t="s">
        <v>3736</v>
      </c>
    </row>
    <row r="623" spans="1:9" ht="17.100000000000001" customHeight="1">
      <c r="A623" s="594">
        <v>20171309</v>
      </c>
      <c r="B623" s="594" t="s">
        <v>2679</v>
      </c>
      <c r="C623" s="596">
        <v>0</v>
      </c>
      <c r="D623" s="595">
        <v>10754953.300000001</v>
      </c>
      <c r="E623" s="595">
        <v>41326557.630000003</v>
      </c>
      <c r="F623" s="595">
        <v>58533307.149999999</v>
      </c>
      <c r="G623" s="596">
        <v>0</v>
      </c>
      <c r="H623" s="595">
        <v>27961702.82</v>
      </c>
      <c r="I623" s="594" t="s">
        <v>2680</v>
      </c>
    </row>
    <row r="624" spans="1:9" ht="17.100000000000001" customHeight="1">
      <c r="A624" s="594">
        <v>20171311</v>
      </c>
      <c r="B624" s="594" t="s">
        <v>2810</v>
      </c>
      <c r="C624" s="596">
        <v>0</v>
      </c>
      <c r="D624" s="595">
        <v>6000000000</v>
      </c>
      <c r="E624" s="595">
        <v>1000000000</v>
      </c>
      <c r="F624" s="595">
        <v>1000000000</v>
      </c>
      <c r="G624" s="596">
        <v>0</v>
      </c>
      <c r="H624" s="595">
        <v>6000000000</v>
      </c>
      <c r="I624" s="594" t="s">
        <v>2811</v>
      </c>
    </row>
    <row r="625" spans="1:9" ht="17.100000000000001" customHeight="1">
      <c r="A625" s="594">
        <v>201798</v>
      </c>
      <c r="B625" s="594" t="s">
        <v>3978</v>
      </c>
      <c r="C625" s="596">
        <v>0</v>
      </c>
      <c r="D625" s="596">
        <v>800</v>
      </c>
      <c r="E625" s="596">
        <v>0</v>
      </c>
      <c r="F625" s="596">
        <v>0</v>
      </c>
      <c r="G625" s="596">
        <v>0</v>
      </c>
      <c r="H625" s="596">
        <v>800</v>
      </c>
      <c r="I625" s="594" t="s">
        <v>3979</v>
      </c>
    </row>
    <row r="626" spans="1:9" ht="17.100000000000001" customHeight="1">
      <c r="A626" s="594">
        <v>20179805</v>
      </c>
      <c r="B626" s="594" t="s">
        <v>4129</v>
      </c>
      <c r="C626" s="596">
        <v>0</v>
      </c>
      <c r="D626" s="596">
        <v>800</v>
      </c>
      <c r="E626" s="596">
        <v>0</v>
      </c>
      <c r="F626" s="596">
        <v>0</v>
      </c>
      <c r="G626" s="596">
        <v>0</v>
      </c>
      <c r="H626" s="596">
        <v>800</v>
      </c>
      <c r="I626" s="594" t="s">
        <v>4130</v>
      </c>
    </row>
    <row r="627" spans="1:9" ht="17.100000000000001" customHeight="1">
      <c r="A627" s="594">
        <v>201799</v>
      </c>
      <c r="B627" s="594" t="s">
        <v>2812</v>
      </c>
      <c r="C627" s="596">
        <v>0</v>
      </c>
      <c r="D627" s="595">
        <v>7725251002.29</v>
      </c>
      <c r="E627" s="595">
        <v>198096637778.73001</v>
      </c>
      <c r="F627" s="595">
        <v>195840067828.45999</v>
      </c>
      <c r="G627" s="596">
        <v>0</v>
      </c>
      <c r="H627" s="595">
        <v>5468681052.0200005</v>
      </c>
      <c r="I627" s="594" t="s">
        <v>1345</v>
      </c>
    </row>
    <row r="628" spans="1:9" ht="17.100000000000001" customHeight="1">
      <c r="A628" s="594">
        <v>20179901</v>
      </c>
      <c r="B628" s="594" t="s">
        <v>2813</v>
      </c>
      <c r="C628" s="596">
        <v>0</v>
      </c>
      <c r="D628" s="595">
        <v>7725251002.29</v>
      </c>
      <c r="E628" s="595">
        <v>198096637778.73001</v>
      </c>
      <c r="F628" s="595">
        <v>195840067828.45999</v>
      </c>
      <c r="G628" s="596">
        <v>0</v>
      </c>
      <c r="H628" s="595">
        <v>5468681052.0200005</v>
      </c>
      <c r="I628" s="594" t="s">
        <v>1346</v>
      </c>
    </row>
    <row r="629" spans="1:9" ht="17.100000000000001" customHeight="1">
      <c r="A629" s="594">
        <v>2019</v>
      </c>
      <c r="B629" s="594" t="s">
        <v>1349</v>
      </c>
      <c r="C629" s="596">
        <v>0</v>
      </c>
      <c r="D629" s="595">
        <v>3323020750</v>
      </c>
      <c r="E629" s="595">
        <v>65734636270.800003</v>
      </c>
      <c r="F629" s="595">
        <v>65842305038.400002</v>
      </c>
      <c r="G629" s="596">
        <v>0</v>
      </c>
      <c r="H629" s="595">
        <v>3430689517.5999999</v>
      </c>
      <c r="I629" s="594" t="s">
        <v>1350</v>
      </c>
    </row>
    <row r="630" spans="1:9" ht="17.100000000000001" customHeight="1">
      <c r="A630" s="594">
        <v>201901</v>
      </c>
      <c r="B630" s="594" t="s">
        <v>3984</v>
      </c>
      <c r="C630" s="596">
        <v>0</v>
      </c>
      <c r="D630" s="595">
        <v>1000000000</v>
      </c>
      <c r="E630" s="595">
        <v>14000000000</v>
      </c>
      <c r="F630" s="595">
        <v>13000000000</v>
      </c>
      <c r="G630" s="596">
        <v>0</v>
      </c>
      <c r="H630" s="596">
        <v>0</v>
      </c>
      <c r="I630" s="594" t="s">
        <v>3985</v>
      </c>
    </row>
    <row r="631" spans="1:9" ht="17.100000000000001" customHeight="1">
      <c r="A631" s="594">
        <v>20190101</v>
      </c>
      <c r="B631" s="594" t="s">
        <v>3986</v>
      </c>
      <c r="C631" s="596">
        <v>0</v>
      </c>
      <c r="D631" s="595">
        <v>1000000000</v>
      </c>
      <c r="E631" s="595">
        <v>14000000000</v>
      </c>
      <c r="F631" s="595">
        <v>13000000000</v>
      </c>
      <c r="G631" s="596">
        <v>0</v>
      </c>
      <c r="H631" s="596">
        <v>0</v>
      </c>
      <c r="I631" s="594" t="s">
        <v>3987</v>
      </c>
    </row>
    <row r="632" spans="1:9" ht="17.100000000000001" customHeight="1">
      <c r="A632" s="594">
        <v>201902</v>
      </c>
      <c r="B632" s="594" t="s">
        <v>2539</v>
      </c>
      <c r="C632" s="596">
        <v>0</v>
      </c>
      <c r="D632" s="595">
        <v>655210750</v>
      </c>
      <c r="E632" s="595">
        <v>51734438350</v>
      </c>
      <c r="F632" s="595">
        <v>51752850000</v>
      </c>
      <c r="G632" s="596">
        <v>0</v>
      </c>
      <c r="H632" s="595">
        <v>673622400</v>
      </c>
      <c r="I632" s="594" t="s">
        <v>2544</v>
      </c>
    </row>
    <row r="633" spans="1:9" ht="17.100000000000001" customHeight="1">
      <c r="A633" s="320"/>
      <c r="B633" s="320"/>
      <c r="C633" s="320"/>
      <c r="D633" s="557" t="s">
        <v>4198</v>
      </c>
      <c r="E633" s="320" t="s">
        <v>3742</v>
      </c>
      <c r="F633" s="320"/>
      <c r="G633" s="320"/>
      <c r="H633" s="320"/>
      <c r="I633" s="320"/>
    </row>
    <row r="634" spans="1:9" ht="17.100000000000001" customHeight="1">
      <c r="A634" s="671"/>
      <c r="B634" s="671"/>
      <c r="C634" s="671"/>
      <c r="D634" s="671"/>
      <c r="E634" s="671"/>
      <c r="F634" s="671"/>
      <c r="G634" s="671"/>
      <c r="H634" s="671"/>
      <c r="I634" s="671"/>
    </row>
    <row r="635" spans="1:9" ht="17.100000000000001" customHeight="1">
      <c r="A635" s="320"/>
      <c r="B635" s="320"/>
      <c r="C635" s="589" t="s">
        <v>3707</v>
      </c>
      <c r="D635" s="320"/>
      <c r="E635" s="320"/>
      <c r="F635" s="671"/>
      <c r="G635" s="671"/>
      <c r="H635" s="671"/>
      <c r="I635" s="671"/>
    </row>
    <row r="636" spans="1:9" ht="17.100000000000001" customHeight="1">
      <c r="A636" s="590" t="s">
        <v>3708</v>
      </c>
      <c r="B636" s="590"/>
      <c r="C636" s="597">
        <v>42887</v>
      </c>
      <c r="D636" s="590"/>
      <c r="E636" s="557" t="s">
        <v>3709</v>
      </c>
      <c r="F636" s="671"/>
      <c r="G636" s="671"/>
      <c r="H636" s="671"/>
      <c r="I636" s="671"/>
    </row>
    <row r="637" spans="1:9" ht="17.100000000000001" customHeight="1">
      <c r="A637" s="593" t="s">
        <v>596</v>
      </c>
      <c r="B637" s="593" t="s">
        <v>597</v>
      </c>
      <c r="C637" s="593" t="s">
        <v>3710</v>
      </c>
      <c r="D637" s="593" t="s">
        <v>3711</v>
      </c>
      <c r="E637" s="593" t="s">
        <v>3712</v>
      </c>
      <c r="F637" s="593" t="s">
        <v>3713</v>
      </c>
      <c r="G637" s="593" t="s">
        <v>3714</v>
      </c>
      <c r="H637" s="593" t="s">
        <v>3715</v>
      </c>
      <c r="I637" s="593" t="s">
        <v>596</v>
      </c>
    </row>
    <row r="638" spans="1:9" ht="17.100000000000001" customHeight="1">
      <c r="A638" s="594">
        <v>20190201</v>
      </c>
      <c r="B638" s="594" t="s">
        <v>2540</v>
      </c>
      <c r="C638" s="596">
        <v>0</v>
      </c>
      <c r="D638" s="595">
        <v>655210750</v>
      </c>
      <c r="E638" s="595">
        <v>51734438350</v>
      </c>
      <c r="F638" s="595">
        <v>51752850000</v>
      </c>
      <c r="G638" s="596">
        <v>0</v>
      </c>
      <c r="H638" s="595">
        <v>673622400</v>
      </c>
      <c r="I638" s="594" t="s">
        <v>2545</v>
      </c>
    </row>
    <row r="639" spans="1:9" ht="17.100000000000001" customHeight="1">
      <c r="A639" s="594">
        <v>201903</v>
      </c>
      <c r="B639" s="594" t="s">
        <v>3674</v>
      </c>
      <c r="C639" s="596">
        <v>0</v>
      </c>
      <c r="D639" s="595">
        <v>31874000</v>
      </c>
      <c r="E639" s="596">
        <v>0</v>
      </c>
      <c r="F639" s="596">
        <v>0</v>
      </c>
      <c r="G639" s="596">
        <v>0</v>
      </c>
      <c r="H639" s="595">
        <v>31874000</v>
      </c>
      <c r="I639" s="594" t="s">
        <v>3737</v>
      </c>
    </row>
    <row r="640" spans="1:9" ht="17.100000000000001" customHeight="1">
      <c r="A640" s="594">
        <v>20190301</v>
      </c>
      <c r="B640" s="594" t="s">
        <v>3675</v>
      </c>
      <c r="C640" s="596">
        <v>0</v>
      </c>
      <c r="D640" s="595">
        <v>31874000</v>
      </c>
      <c r="E640" s="596">
        <v>0</v>
      </c>
      <c r="F640" s="596">
        <v>0</v>
      </c>
      <c r="G640" s="596">
        <v>0</v>
      </c>
      <c r="H640" s="595">
        <v>31874000</v>
      </c>
      <c r="I640" s="594" t="s">
        <v>3738</v>
      </c>
    </row>
    <row r="641" spans="1:9" ht="17.100000000000001" customHeight="1">
      <c r="A641" s="594">
        <v>201904</v>
      </c>
      <c r="B641" s="594" t="s">
        <v>4226</v>
      </c>
      <c r="C641" s="596">
        <v>0</v>
      </c>
      <c r="D641" s="596">
        <v>0</v>
      </c>
      <c r="E641" s="595">
        <v>197920.8</v>
      </c>
      <c r="F641" s="595">
        <v>68605812</v>
      </c>
      <c r="G641" s="596">
        <v>0</v>
      </c>
      <c r="H641" s="595">
        <v>68407891.200000003</v>
      </c>
      <c r="I641" s="594" t="s">
        <v>4227</v>
      </c>
    </row>
    <row r="642" spans="1:9" ht="17.100000000000001" customHeight="1">
      <c r="A642" s="594">
        <v>20190401</v>
      </c>
      <c r="B642" s="594" t="s">
        <v>4228</v>
      </c>
      <c r="C642" s="596">
        <v>0</v>
      </c>
      <c r="D642" s="596">
        <v>0</v>
      </c>
      <c r="E642" s="595">
        <v>197920.8</v>
      </c>
      <c r="F642" s="595">
        <v>68605812</v>
      </c>
      <c r="G642" s="596">
        <v>0</v>
      </c>
      <c r="H642" s="595">
        <v>68407891.200000003</v>
      </c>
      <c r="I642" s="594" t="s">
        <v>4229</v>
      </c>
    </row>
    <row r="643" spans="1:9" ht="17.100000000000001" customHeight="1">
      <c r="A643" s="594">
        <v>201917</v>
      </c>
      <c r="B643" s="594" t="s">
        <v>3587</v>
      </c>
      <c r="C643" s="596">
        <v>0</v>
      </c>
      <c r="D643" s="595">
        <v>1635936000</v>
      </c>
      <c r="E643" s="596">
        <v>0</v>
      </c>
      <c r="F643" s="595">
        <v>1020849226.4</v>
      </c>
      <c r="G643" s="596">
        <v>0</v>
      </c>
      <c r="H643" s="595">
        <v>2656785226.4000001</v>
      </c>
      <c r="I643" s="594" t="s">
        <v>3588</v>
      </c>
    </row>
    <row r="644" spans="1:9" ht="17.100000000000001" customHeight="1">
      <c r="A644" s="594">
        <v>20191705</v>
      </c>
      <c r="B644" s="594" t="s">
        <v>3589</v>
      </c>
      <c r="C644" s="596">
        <v>0</v>
      </c>
      <c r="D644" s="595">
        <v>1635936000</v>
      </c>
      <c r="E644" s="596">
        <v>0</v>
      </c>
      <c r="F644" s="595">
        <v>1020849226.4</v>
      </c>
      <c r="G644" s="596">
        <v>0</v>
      </c>
      <c r="H644" s="595">
        <v>2656785226.4000001</v>
      </c>
      <c r="I644" s="594" t="s">
        <v>3590</v>
      </c>
    </row>
    <row r="645" spans="1:9" ht="17.100000000000001" customHeight="1">
      <c r="A645" s="594">
        <v>2111</v>
      </c>
      <c r="B645" s="594" t="s">
        <v>1351</v>
      </c>
      <c r="C645" s="596">
        <v>0</v>
      </c>
      <c r="D645" s="595">
        <v>10763902465.75</v>
      </c>
      <c r="E645" s="595">
        <v>203455378739.73001</v>
      </c>
      <c r="F645" s="595">
        <v>210584078739.73001</v>
      </c>
      <c r="G645" s="596">
        <v>0</v>
      </c>
      <c r="H645" s="595">
        <v>17892602465.75</v>
      </c>
      <c r="I645" s="594" t="s">
        <v>1352</v>
      </c>
    </row>
    <row r="646" spans="1:9" ht="17.100000000000001" customHeight="1">
      <c r="A646" s="594">
        <v>211102</v>
      </c>
      <c r="B646" s="594" t="s">
        <v>1353</v>
      </c>
      <c r="C646" s="596">
        <v>0</v>
      </c>
      <c r="D646" s="595">
        <v>10563200000</v>
      </c>
      <c r="E646" s="595">
        <v>203249400000</v>
      </c>
      <c r="F646" s="595">
        <v>210378100000</v>
      </c>
      <c r="G646" s="596">
        <v>0</v>
      </c>
      <c r="H646" s="595">
        <v>17691900000</v>
      </c>
      <c r="I646" s="594" t="s">
        <v>1354</v>
      </c>
    </row>
    <row r="647" spans="1:9" ht="28.5" customHeight="1">
      <c r="A647" s="594">
        <v>21110201</v>
      </c>
      <c r="B647" s="594" t="s">
        <v>1355</v>
      </c>
      <c r="C647" s="596">
        <v>0</v>
      </c>
      <c r="D647" s="595">
        <v>10563200000</v>
      </c>
      <c r="E647" s="595">
        <v>203249400000</v>
      </c>
      <c r="F647" s="595">
        <v>210378100000</v>
      </c>
      <c r="G647" s="596">
        <v>0</v>
      </c>
      <c r="H647" s="595">
        <v>17691900000</v>
      </c>
      <c r="I647" s="594" t="s">
        <v>1356</v>
      </c>
    </row>
    <row r="648" spans="1:9">
      <c r="A648" s="594">
        <v>211104</v>
      </c>
      <c r="B648" s="594" t="s">
        <v>3676</v>
      </c>
      <c r="C648" s="596">
        <v>0</v>
      </c>
      <c r="D648" s="595">
        <v>200702465.75</v>
      </c>
      <c r="E648" s="595">
        <v>205978739.72999999</v>
      </c>
      <c r="F648" s="595">
        <v>205978739.72999999</v>
      </c>
      <c r="G648" s="596">
        <v>0</v>
      </c>
      <c r="H648" s="595">
        <v>200702465.75</v>
      </c>
      <c r="I648" s="594" t="s">
        <v>3739</v>
      </c>
    </row>
    <row r="649" spans="1:9">
      <c r="A649" s="594">
        <v>21110401</v>
      </c>
      <c r="B649" s="594" t="s">
        <v>4131</v>
      </c>
      <c r="C649" s="596">
        <v>0</v>
      </c>
      <c r="D649" s="596">
        <v>0</v>
      </c>
      <c r="E649" s="595">
        <v>205978739.72999999</v>
      </c>
      <c r="F649" s="595">
        <v>205978739.72999999</v>
      </c>
      <c r="G649" s="596">
        <v>0</v>
      </c>
      <c r="H649" s="596">
        <v>0</v>
      </c>
      <c r="I649" s="594" t="s">
        <v>4132</v>
      </c>
    </row>
    <row r="650" spans="1:9">
      <c r="A650" s="594">
        <v>21110402</v>
      </c>
      <c r="B650" s="594" t="s">
        <v>3677</v>
      </c>
      <c r="C650" s="596">
        <v>0</v>
      </c>
      <c r="D650" s="595">
        <v>200702465.75</v>
      </c>
      <c r="E650" s="596">
        <v>0</v>
      </c>
      <c r="F650" s="596">
        <v>0</v>
      </c>
      <c r="G650" s="596">
        <v>0</v>
      </c>
      <c r="H650" s="595">
        <v>200702465.75</v>
      </c>
      <c r="I650" s="594" t="s">
        <v>3741</v>
      </c>
    </row>
    <row r="651" spans="1:9" ht="28.5" customHeight="1">
      <c r="A651" s="594">
        <v>2211</v>
      </c>
      <c r="B651" s="594" t="s">
        <v>1357</v>
      </c>
      <c r="C651" s="596">
        <v>0</v>
      </c>
      <c r="D651" s="595">
        <v>1159777927.1800001</v>
      </c>
      <c r="E651" s="595">
        <v>216104861.44999999</v>
      </c>
      <c r="F651" s="595">
        <v>678629081.39999998</v>
      </c>
      <c r="G651" s="596">
        <v>0</v>
      </c>
      <c r="H651" s="595">
        <v>1622302147.1300001</v>
      </c>
      <c r="I651" s="594" t="s">
        <v>1358</v>
      </c>
    </row>
    <row r="652" spans="1:9" ht="17.100000000000001" customHeight="1">
      <c r="A652" s="594">
        <v>221101</v>
      </c>
      <c r="B652" s="594" t="s">
        <v>1359</v>
      </c>
      <c r="C652" s="596">
        <v>0</v>
      </c>
      <c r="D652" s="595">
        <v>526145712.48000002</v>
      </c>
      <c r="E652" s="595">
        <v>142913754.56999999</v>
      </c>
      <c r="F652" s="595">
        <v>519245070.17000002</v>
      </c>
      <c r="G652" s="596">
        <v>0</v>
      </c>
      <c r="H652" s="595">
        <v>902477028.08000004</v>
      </c>
      <c r="I652" s="594" t="s">
        <v>1360</v>
      </c>
    </row>
    <row r="653" spans="1:9" ht="17.100000000000001" customHeight="1">
      <c r="A653" s="594">
        <v>22110101</v>
      </c>
      <c r="B653" s="594" t="s">
        <v>3869</v>
      </c>
      <c r="C653" s="596">
        <v>0</v>
      </c>
      <c r="D653" s="596">
        <v>0</v>
      </c>
      <c r="E653" s="595">
        <v>47651436.340000004</v>
      </c>
      <c r="F653" s="595">
        <v>47651436.340000004</v>
      </c>
      <c r="G653" s="596">
        <v>0</v>
      </c>
      <c r="H653" s="596">
        <v>0</v>
      </c>
      <c r="I653" s="594" t="s">
        <v>3870</v>
      </c>
    </row>
    <row r="654" spans="1:9" ht="17.100000000000001" customHeight="1">
      <c r="A654" s="594">
        <v>22110102</v>
      </c>
      <c r="B654" s="594" t="s">
        <v>1361</v>
      </c>
      <c r="C654" s="596">
        <v>0</v>
      </c>
      <c r="D654" s="595">
        <v>526145712.48000002</v>
      </c>
      <c r="E654" s="595">
        <v>37396572.520000003</v>
      </c>
      <c r="F654" s="595">
        <v>413727888.12</v>
      </c>
      <c r="G654" s="596">
        <v>0</v>
      </c>
      <c r="H654" s="595">
        <v>902477028.08000004</v>
      </c>
      <c r="I654" s="594" t="s">
        <v>1362</v>
      </c>
    </row>
    <row r="655" spans="1:9" ht="17.100000000000001" customHeight="1">
      <c r="A655" s="594">
        <v>22110199</v>
      </c>
      <c r="B655" s="594" t="s">
        <v>3871</v>
      </c>
      <c r="C655" s="596">
        <v>0</v>
      </c>
      <c r="D655" s="596">
        <v>0</v>
      </c>
      <c r="E655" s="595">
        <v>57865745.710000001</v>
      </c>
      <c r="F655" s="595">
        <v>57865745.710000001</v>
      </c>
      <c r="G655" s="596">
        <v>0</v>
      </c>
      <c r="H655" s="596">
        <v>0</v>
      </c>
      <c r="I655" s="594" t="s">
        <v>3872</v>
      </c>
    </row>
    <row r="656" spans="1:9" ht="17.100000000000001" customHeight="1">
      <c r="A656" s="594">
        <v>221102</v>
      </c>
      <c r="B656" s="594" t="s">
        <v>3873</v>
      </c>
      <c r="C656" s="596">
        <v>0</v>
      </c>
      <c r="D656" s="596">
        <v>0</v>
      </c>
      <c r="E656" s="595">
        <v>6831947.8799999999</v>
      </c>
      <c r="F656" s="595">
        <v>6831947.8799999999</v>
      </c>
      <c r="G656" s="596">
        <v>0</v>
      </c>
      <c r="H656" s="596">
        <v>0</v>
      </c>
      <c r="I656" s="594" t="s">
        <v>3874</v>
      </c>
    </row>
    <row r="657" spans="1:9" ht="17.100000000000001" customHeight="1">
      <c r="A657" s="594">
        <v>22110201</v>
      </c>
      <c r="B657" s="594" t="s">
        <v>3873</v>
      </c>
      <c r="C657" s="596">
        <v>0</v>
      </c>
      <c r="D657" s="596">
        <v>0</v>
      </c>
      <c r="E657" s="595">
        <v>6831947.8799999999</v>
      </c>
      <c r="F657" s="595">
        <v>6831947.8799999999</v>
      </c>
      <c r="G657" s="596">
        <v>0</v>
      </c>
      <c r="H657" s="596">
        <v>0</v>
      </c>
      <c r="I657" s="594" t="s">
        <v>3875</v>
      </c>
    </row>
    <row r="658" spans="1:9" ht="17.100000000000001" customHeight="1">
      <c r="A658" s="594">
        <v>221103</v>
      </c>
      <c r="B658" s="594" t="s">
        <v>1363</v>
      </c>
      <c r="C658" s="596">
        <v>0</v>
      </c>
      <c r="D658" s="595">
        <v>4254960.4000000004</v>
      </c>
      <c r="E658" s="595">
        <v>32586935.960000001</v>
      </c>
      <c r="F658" s="595">
        <v>32586348.609999999</v>
      </c>
      <c r="G658" s="596">
        <v>0</v>
      </c>
      <c r="H658" s="595">
        <v>4254373.05</v>
      </c>
      <c r="I658" s="594" t="s">
        <v>1364</v>
      </c>
    </row>
    <row r="659" spans="1:9" ht="17.100000000000001" customHeight="1">
      <c r="A659" s="594">
        <v>22110301</v>
      </c>
      <c r="B659" s="594" t="s">
        <v>1365</v>
      </c>
      <c r="C659" s="596">
        <v>0</v>
      </c>
      <c r="D659" s="595">
        <v>321904.96999999997</v>
      </c>
      <c r="E659" s="595">
        <v>21627081.670000002</v>
      </c>
      <c r="F659" s="595">
        <v>21616395.52</v>
      </c>
      <c r="G659" s="596">
        <v>0</v>
      </c>
      <c r="H659" s="595">
        <v>311218.82</v>
      </c>
      <c r="I659" s="594" t="s">
        <v>1366</v>
      </c>
    </row>
    <row r="660" spans="1:9" ht="17.100000000000001" customHeight="1">
      <c r="A660" s="594">
        <v>22110302</v>
      </c>
      <c r="B660" s="594" t="s">
        <v>1367</v>
      </c>
      <c r="C660" s="596">
        <v>0</v>
      </c>
      <c r="D660" s="595">
        <v>166906.25</v>
      </c>
      <c r="E660" s="595">
        <v>9128040.0399999991</v>
      </c>
      <c r="F660" s="595">
        <v>9137561.1600000001</v>
      </c>
      <c r="G660" s="596">
        <v>0</v>
      </c>
      <c r="H660" s="595">
        <v>176427.37</v>
      </c>
      <c r="I660" s="594" t="s">
        <v>1368</v>
      </c>
    </row>
    <row r="661" spans="1:9" ht="17.100000000000001" customHeight="1">
      <c r="A661" s="594">
        <v>22110303</v>
      </c>
      <c r="B661" s="594" t="s">
        <v>1369</v>
      </c>
      <c r="C661" s="596">
        <v>0</v>
      </c>
      <c r="D661" s="595">
        <v>20578</v>
      </c>
      <c r="E661" s="595">
        <v>697947.64</v>
      </c>
      <c r="F661" s="595">
        <v>697700.09</v>
      </c>
      <c r="G661" s="596">
        <v>0</v>
      </c>
      <c r="H661" s="595">
        <v>20330.45</v>
      </c>
      <c r="I661" s="594" t="s">
        <v>1370</v>
      </c>
    </row>
    <row r="662" spans="1:9" ht="17.100000000000001" customHeight="1">
      <c r="A662" s="594">
        <v>22110304</v>
      </c>
      <c r="B662" s="594" t="s">
        <v>1371</v>
      </c>
      <c r="C662" s="596">
        <v>0</v>
      </c>
      <c r="D662" s="595">
        <v>1027776.74</v>
      </c>
      <c r="E662" s="595">
        <v>142650.49</v>
      </c>
      <c r="F662" s="595">
        <v>142627.54</v>
      </c>
      <c r="G662" s="596">
        <v>0</v>
      </c>
      <c r="H662" s="595">
        <v>1027753.79</v>
      </c>
      <c r="I662" s="594" t="s">
        <v>1372</v>
      </c>
    </row>
    <row r="663" spans="1:9" ht="17.100000000000001" customHeight="1">
      <c r="A663" s="594">
        <v>22110305</v>
      </c>
      <c r="B663" s="594" t="s">
        <v>1373</v>
      </c>
      <c r="C663" s="596">
        <v>0</v>
      </c>
      <c r="D663" s="595">
        <v>1739871.97</v>
      </c>
      <c r="E663" s="595">
        <v>859414.51</v>
      </c>
      <c r="F663" s="595">
        <v>860262.69</v>
      </c>
      <c r="G663" s="596">
        <v>0</v>
      </c>
      <c r="H663" s="595">
        <v>1740720.15</v>
      </c>
      <c r="I663" s="594" t="s">
        <v>1374</v>
      </c>
    </row>
    <row r="664" spans="1:9" ht="17.100000000000001" customHeight="1">
      <c r="A664" s="594">
        <v>22110399</v>
      </c>
      <c r="B664" s="594" t="s">
        <v>1375</v>
      </c>
      <c r="C664" s="596">
        <v>0</v>
      </c>
      <c r="D664" s="595">
        <v>977922.47</v>
      </c>
      <c r="E664" s="595">
        <v>131801.60999999999</v>
      </c>
      <c r="F664" s="595">
        <v>131801.60999999999</v>
      </c>
      <c r="G664" s="596">
        <v>0</v>
      </c>
      <c r="H664" s="595">
        <v>977922.47</v>
      </c>
      <c r="I664" s="594" t="s">
        <v>1376</v>
      </c>
    </row>
    <row r="665" spans="1:9" ht="17.100000000000001" customHeight="1">
      <c r="A665" s="594">
        <v>221104</v>
      </c>
      <c r="B665" s="594" t="s">
        <v>1377</v>
      </c>
      <c r="C665" s="596">
        <v>0</v>
      </c>
      <c r="D665" s="595">
        <v>262349.98</v>
      </c>
      <c r="E665" s="595">
        <v>1197491.54</v>
      </c>
      <c r="F665" s="595">
        <v>10470438.4</v>
      </c>
      <c r="G665" s="596">
        <v>0</v>
      </c>
      <c r="H665" s="595">
        <v>9535296.8399999999</v>
      </c>
      <c r="I665" s="594" t="s">
        <v>1378</v>
      </c>
    </row>
    <row r="666" spans="1:9" ht="17.100000000000001" customHeight="1">
      <c r="A666" s="594">
        <v>22110401</v>
      </c>
      <c r="B666" s="594" t="s">
        <v>1377</v>
      </c>
      <c r="C666" s="596">
        <v>0</v>
      </c>
      <c r="D666" s="595">
        <v>262349.98</v>
      </c>
      <c r="E666" s="595">
        <v>1197491.54</v>
      </c>
      <c r="F666" s="595">
        <v>10470438.4</v>
      </c>
      <c r="G666" s="596">
        <v>0</v>
      </c>
      <c r="H666" s="595">
        <v>9535296.8399999999</v>
      </c>
      <c r="I666" s="594" t="s">
        <v>1379</v>
      </c>
    </row>
    <row r="667" spans="1:9" ht="17.100000000000001" customHeight="1">
      <c r="A667" s="594">
        <v>221105</v>
      </c>
      <c r="B667" s="594" t="s">
        <v>1380</v>
      </c>
      <c r="C667" s="596">
        <v>0</v>
      </c>
      <c r="D667" s="595">
        <v>80395020.689999998</v>
      </c>
      <c r="E667" s="595">
        <v>13907.4</v>
      </c>
      <c r="F667" s="595">
        <v>9621885.4800000004</v>
      </c>
      <c r="G667" s="596">
        <v>0</v>
      </c>
      <c r="H667" s="595">
        <v>90002998.769999996</v>
      </c>
      <c r="I667" s="594" t="s">
        <v>1381</v>
      </c>
    </row>
    <row r="668" spans="1:9" ht="17.100000000000001" customHeight="1">
      <c r="A668" s="594">
        <v>22110501</v>
      </c>
      <c r="B668" s="594" t="s">
        <v>1380</v>
      </c>
      <c r="C668" s="596">
        <v>0</v>
      </c>
      <c r="D668" s="595">
        <v>80395020.689999998</v>
      </c>
      <c r="E668" s="595">
        <v>13907.4</v>
      </c>
      <c r="F668" s="595">
        <v>9621885.4800000004</v>
      </c>
      <c r="G668" s="596">
        <v>0</v>
      </c>
      <c r="H668" s="595">
        <v>90002998.769999996</v>
      </c>
      <c r="I668" s="594" t="s">
        <v>1382</v>
      </c>
    </row>
    <row r="669" spans="1:9" ht="17.100000000000001" customHeight="1">
      <c r="A669" s="594">
        <v>221106</v>
      </c>
      <c r="B669" s="594" t="s">
        <v>1383</v>
      </c>
      <c r="C669" s="596">
        <v>0</v>
      </c>
      <c r="D669" s="595">
        <v>165133.75</v>
      </c>
      <c r="E669" s="595">
        <v>27636623.120000001</v>
      </c>
      <c r="F669" s="595">
        <v>27645724.66</v>
      </c>
      <c r="G669" s="596">
        <v>0</v>
      </c>
      <c r="H669" s="595">
        <v>174235.29</v>
      </c>
      <c r="I669" s="594" t="s">
        <v>1384</v>
      </c>
    </row>
    <row r="670" spans="1:9" ht="17.100000000000001" customHeight="1">
      <c r="A670" s="594">
        <v>22110601</v>
      </c>
      <c r="B670" s="594" t="s">
        <v>1383</v>
      </c>
      <c r="C670" s="596">
        <v>0</v>
      </c>
      <c r="D670" s="595">
        <v>165133.75</v>
      </c>
      <c r="E670" s="595">
        <v>27636623.120000001</v>
      </c>
      <c r="F670" s="595">
        <v>27645724.66</v>
      </c>
      <c r="G670" s="596">
        <v>0</v>
      </c>
      <c r="H670" s="595">
        <v>174235.29</v>
      </c>
      <c r="I670" s="594" t="s">
        <v>1385</v>
      </c>
    </row>
    <row r="671" spans="1:9" ht="17.100000000000001" customHeight="1">
      <c r="A671" s="594">
        <v>221107</v>
      </c>
      <c r="B671" s="594" t="s">
        <v>1386</v>
      </c>
      <c r="C671" s="596">
        <v>0</v>
      </c>
      <c r="D671" s="596">
        <v>396.22</v>
      </c>
      <c r="E671" s="596">
        <v>0</v>
      </c>
      <c r="F671" s="595">
        <v>18025879</v>
      </c>
      <c r="G671" s="596">
        <v>0</v>
      </c>
      <c r="H671" s="595">
        <v>18026275.219999999</v>
      </c>
      <c r="I671" s="594" t="s">
        <v>1387</v>
      </c>
    </row>
    <row r="672" spans="1:9" ht="17.100000000000001" customHeight="1">
      <c r="A672" s="320"/>
      <c r="B672" s="320"/>
      <c r="C672" s="320"/>
      <c r="D672" s="557" t="s">
        <v>4198</v>
      </c>
      <c r="E672" s="320" t="s">
        <v>3746</v>
      </c>
      <c r="F672" s="320"/>
      <c r="G672" s="320"/>
      <c r="H672" s="320"/>
      <c r="I672" s="320"/>
    </row>
    <row r="673" spans="1:9" ht="17.100000000000001" customHeight="1">
      <c r="A673" s="671"/>
      <c r="B673" s="671"/>
      <c r="C673" s="671"/>
      <c r="D673" s="671"/>
      <c r="E673" s="671"/>
      <c r="F673" s="671"/>
      <c r="G673" s="671"/>
      <c r="H673" s="671"/>
      <c r="I673" s="671"/>
    </row>
    <row r="674" spans="1:9" ht="17.100000000000001" customHeight="1">
      <c r="A674" s="320"/>
      <c r="B674" s="320"/>
      <c r="C674" s="589" t="s">
        <v>3707</v>
      </c>
      <c r="D674" s="320"/>
      <c r="E674" s="320"/>
      <c r="F674" s="671"/>
      <c r="G674" s="671"/>
      <c r="H674" s="671"/>
      <c r="I674" s="671"/>
    </row>
    <row r="675" spans="1:9" ht="17.100000000000001" customHeight="1">
      <c r="A675" s="590" t="s">
        <v>3708</v>
      </c>
      <c r="B675" s="590"/>
      <c r="C675" s="597">
        <v>42887</v>
      </c>
      <c r="D675" s="590"/>
      <c r="E675" s="557" t="s">
        <v>3709</v>
      </c>
      <c r="F675" s="671"/>
      <c r="G675" s="671"/>
      <c r="H675" s="671"/>
      <c r="I675" s="671"/>
    </row>
    <row r="676" spans="1:9" ht="17.100000000000001" customHeight="1">
      <c r="A676" s="593" t="s">
        <v>596</v>
      </c>
      <c r="B676" s="593" t="s">
        <v>597</v>
      </c>
      <c r="C676" s="593" t="s">
        <v>3710</v>
      </c>
      <c r="D676" s="593" t="s">
        <v>3711</v>
      </c>
      <c r="E676" s="593" t="s">
        <v>3712</v>
      </c>
      <c r="F676" s="593" t="s">
        <v>3713</v>
      </c>
      <c r="G676" s="593" t="s">
        <v>3714</v>
      </c>
      <c r="H676" s="593" t="s">
        <v>3715</v>
      </c>
      <c r="I676" s="593" t="s">
        <v>596</v>
      </c>
    </row>
    <row r="677" spans="1:9" ht="17.100000000000001" customHeight="1">
      <c r="A677" s="594">
        <v>22110701</v>
      </c>
      <c r="B677" s="594" t="s">
        <v>1388</v>
      </c>
      <c r="C677" s="596">
        <v>0</v>
      </c>
      <c r="D677" s="596">
        <v>396.22</v>
      </c>
      <c r="E677" s="596">
        <v>0</v>
      </c>
      <c r="F677" s="595">
        <v>18025879</v>
      </c>
      <c r="G677" s="596">
        <v>0</v>
      </c>
      <c r="H677" s="595">
        <v>18026275.219999999</v>
      </c>
      <c r="I677" s="594" t="s">
        <v>1389</v>
      </c>
    </row>
    <row r="678" spans="1:9" ht="17.100000000000001" customHeight="1">
      <c r="A678" s="594">
        <v>221108</v>
      </c>
      <c r="B678" s="594" t="s">
        <v>1390</v>
      </c>
      <c r="C678" s="596">
        <v>0</v>
      </c>
      <c r="D678" s="595">
        <v>391897.58</v>
      </c>
      <c r="E678" s="595">
        <v>237281.12</v>
      </c>
      <c r="F678" s="595">
        <v>238146.86</v>
      </c>
      <c r="G678" s="596">
        <v>0</v>
      </c>
      <c r="H678" s="595">
        <v>392763.32</v>
      </c>
      <c r="I678" s="594" t="s">
        <v>1391</v>
      </c>
    </row>
    <row r="679" spans="1:9" ht="17.100000000000001" customHeight="1">
      <c r="A679" s="594">
        <v>22110801</v>
      </c>
      <c r="B679" s="594" t="s">
        <v>1390</v>
      </c>
      <c r="C679" s="596">
        <v>0</v>
      </c>
      <c r="D679" s="595">
        <v>391897.58</v>
      </c>
      <c r="E679" s="595">
        <v>237281.12</v>
      </c>
      <c r="F679" s="595">
        <v>238146.86</v>
      </c>
      <c r="G679" s="596">
        <v>0</v>
      </c>
      <c r="H679" s="595">
        <v>392763.32</v>
      </c>
      <c r="I679" s="594" t="s">
        <v>1392</v>
      </c>
    </row>
    <row r="680" spans="1:9" ht="17.100000000000001" customHeight="1">
      <c r="A680" s="594">
        <v>221111</v>
      </c>
      <c r="B680" s="594" t="s">
        <v>1393</v>
      </c>
      <c r="C680" s="596">
        <v>0</v>
      </c>
      <c r="D680" s="595">
        <v>555361948.58000004</v>
      </c>
      <c r="E680" s="595">
        <v>3848228.89</v>
      </c>
      <c r="F680" s="595">
        <v>53963640.340000004</v>
      </c>
      <c r="G680" s="596">
        <v>0</v>
      </c>
      <c r="H680" s="595">
        <v>605477360.02999997</v>
      </c>
      <c r="I680" s="594" t="s">
        <v>1394</v>
      </c>
    </row>
    <row r="681" spans="1:9" ht="17.100000000000001" customHeight="1">
      <c r="A681" s="594">
        <v>22111101</v>
      </c>
      <c r="B681" s="594" t="s">
        <v>1393</v>
      </c>
      <c r="C681" s="596">
        <v>0</v>
      </c>
      <c r="D681" s="595">
        <v>555361948.58000004</v>
      </c>
      <c r="E681" s="595">
        <v>3848228.89</v>
      </c>
      <c r="F681" s="595">
        <v>53963640.340000004</v>
      </c>
      <c r="G681" s="596">
        <v>0</v>
      </c>
      <c r="H681" s="595">
        <v>605477360.02999997</v>
      </c>
      <c r="I681" s="594" t="s">
        <v>1395</v>
      </c>
    </row>
    <row r="682" spans="1:9" ht="17.100000000000001" customHeight="1">
      <c r="A682" s="594">
        <v>221199</v>
      </c>
      <c r="B682" s="594" t="s">
        <v>1396</v>
      </c>
      <c r="C682" s="596">
        <v>0</v>
      </c>
      <c r="D682" s="595">
        <v>-7199492.5</v>
      </c>
      <c r="E682" s="595">
        <v>838690.97</v>
      </c>
      <c r="F682" s="596">
        <v>0</v>
      </c>
      <c r="G682" s="596">
        <v>0</v>
      </c>
      <c r="H682" s="595">
        <v>-8038183.4699999997</v>
      </c>
      <c r="I682" s="594" t="s">
        <v>1397</v>
      </c>
    </row>
    <row r="683" spans="1:9" ht="17.100000000000001" customHeight="1">
      <c r="A683" s="594">
        <v>22119999</v>
      </c>
      <c r="B683" s="594" t="s">
        <v>1396</v>
      </c>
      <c r="C683" s="596">
        <v>0</v>
      </c>
      <c r="D683" s="595">
        <v>-7199492.5</v>
      </c>
      <c r="E683" s="595">
        <v>838690.97</v>
      </c>
      <c r="F683" s="596">
        <v>0</v>
      </c>
      <c r="G683" s="596">
        <v>0</v>
      </c>
      <c r="H683" s="595">
        <v>-8038183.4699999997</v>
      </c>
      <c r="I683" s="594" t="s">
        <v>1398</v>
      </c>
    </row>
    <row r="684" spans="1:9" ht="17.100000000000001" customHeight="1">
      <c r="A684" s="594">
        <v>2221</v>
      </c>
      <c r="B684" s="594" t="s">
        <v>1399</v>
      </c>
      <c r="C684" s="596">
        <v>0</v>
      </c>
      <c r="D684" s="595">
        <v>373272545.10000002</v>
      </c>
      <c r="E684" s="595">
        <v>102430657.56</v>
      </c>
      <c r="F684" s="595">
        <v>628959373.42999995</v>
      </c>
      <c r="G684" s="596">
        <v>0</v>
      </c>
      <c r="H684" s="595">
        <v>899801260.97000003</v>
      </c>
      <c r="I684" s="594" t="s">
        <v>1400</v>
      </c>
    </row>
    <row r="685" spans="1:9" ht="17.100000000000001" customHeight="1">
      <c r="A685" s="594">
        <v>222101</v>
      </c>
      <c r="B685" s="594" t="s">
        <v>1401</v>
      </c>
      <c r="C685" s="596">
        <v>0</v>
      </c>
      <c r="D685" s="595">
        <v>36040938.890000001</v>
      </c>
      <c r="E685" s="595">
        <v>20405608.43</v>
      </c>
      <c r="F685" s="596">
        <v>0</v>
      </c>
      <c r="G685" s="596">
        <v>0</v>
      </c>
      <c r="H685" s="595">
        <v>15635330.460000001</v>
      </c>
      <c r="I685" s="594" t="s">
        <v>1402</v>
      </c>
    </row>
    <row r="686" spans="1:9" ht="28.5" customHeight="1">
      <c r="A686" s="594">
        <v>22210102</v>
      </c>
      <c r="B686" s="594" t="s">
        <v>1403</v>
      </c>
      <c r="C686" s="596">
        <v>0</v>
      </c>
      <c r="D686" s="595">
        <v>19377328.789999999</v>
      </c>
      <c r="E686" s="595">
        <v>8573742.8699999992</v>
      </c>
      <c r="F686" s="596">
        <v>0</v>
      </c>
      <c r="G686" s="596">
        <v>0</v>
      </c>
      <c r="H686" s="595">
        <v>10803585.92</v>
      </c>
      <c r="I686" s="594" t="s">
        <v>1404</v>
      </c>
    </row>
    <row r="687" spans="1:9">
      <c r="A687" s="594">
        <v>22210103</v>
      </c>
      <c r="B687" s="594" t="s">
        <v>1405</v>
      </c>
      <c r="C687" s="596">
        <v>0</v>
      </c>
      <c r="D687" s="595">
        <v>16663610.1</v>
      </c>
      <c r="E687" s="595">
        <v>11831865.560000001</v>
      </c>
      <c r="F687" s="596">
        <v>0</v>
      </c>
      <c r="G687" s="596">
        <v>0</v>
      </c>
      <c r="H687" s="595">
        <v>4831744.54</v>
      </c>
      <c r="I687" s="594" t="s">
        <v>1406</v>
      </c>
    </row>
    <row r="688" spans="1:9">
      <c r="A688" s="594">
        <v>222102</v>
      </c>
      <c r="B688" s="594" t="s">
        <v>1407</v>
      </c>
      <c r="C688" s="596">
        <v>0</v>
      </c>
      <c r="D688" s="595">
        <v>159312006.09999999</v>
      </c>
      <c r="E688" s="595">
        <v>64029364.950000003</v>
      </c>
      <c r="F688" s="595">
        <v>404799982.87</v>
      </c>
      <c r="G688" s="596">
        <v>0</v>
      </c>
      <c r="H688" s="595">
        <v>500082624.01999998</v>
      </c>
      <c r="I688" s="594" t="s">
        <v>1408</v>
      </c>
    </row>
    <row r="689" spans="1:9">
      <c r="A689" s="594">
        <v>22210201</v>
      </c>
      <c r="B689" s="594" t="s">
        <v>1407</v>
      </c>
      <c r="C689" s="596">
        <v>0</v>
      </c>
      <c r="D689" s="595">
        <v>159312006.09999999</v>
      </c>
      <c r="E689" s="595">
        <v>64029364.950000003</v>
      </c>
      <c r="F689" s="595">
        <v>404799982.87</v>
      </c>
      <c r="G689" s="596">
        <v>0</v>
      </c>
      <c r="H689" s="595">
        <v>500082624.01999998</v>
      </c>
      <c r="I689" s="594" t="s">
        <v>1409</v>
      </c>
    </row>
    <row r="690" spans="1:9" ht="28.5" customHeight="1">
      <c r="A690" s="594">
        <v>222103</v>
      </c>
      <c r="B690" s="594" t="s">
        <v>1410</v>
      </c>
      <c r="C690" s="596">
        <v>0</v>
      </c>
      <c r="D690" s="595">
        <v>110753.24</v>
      </c>
      <c r="E690" s="596">
        <v>0</v>
      </c>
      <c r="F690" s="596">
        <v>0</v>
      </c>
      <c r="G690" s="596">
        <v>0</v>
      </c>
      <c r="H690" s="595">
        <v>110753.24</v>
      </c>
      <c r="I690" s="594" t="s">
        <v>1411</v>
      </c>
    </row>
    <row r="691" spans="1:9" ht="17.100000000000001" customHeight="1">
      <c r="A691" s="594">
        <v>22210301</v>
      </c>
      <c r="B691" s="594" t="s">
        <v>1410</v>
      </c>
      <c r="C691" s="596">
        <v>0</v>
      </c>
      <c r="D691" s="595">
        <v>110753.24</v>
      </c>
      <c r="E691" s="596">
        <v>0</v>
      </c>
      <c r="F691" s="596">
        <v>0</v>
      </c>
      <c r="G691" s="596">
        <v>0</v>
      </c>
      <c r="H691" s="595">
        <v>110753.24</v>
      </c>
      <c r="I691" s="594" t="s">
        <v>1412</v>
      </c>
    </row>
    <row r="692" spans="1:9" ht="17.100000000000001" customHeight="1">
      <c r="A692" s="594">
        <v>222104</v>
      </c>
      <c r="B692" s="594" t="s">
        <v>1413</v>
      </c>
      <c r="C692" s="596">
        <v>0</v>
      </c>
      <c r="D692" s="595">
        <v>-34363.42</v>
      </c>
      <c r="E692" s="595">
        <v>332548.58</v>
      </c>
      <c r="F692" s="595">
        <v>321925.40999999997</v>
      </c>
      <c r="G692" s="596">
        <v>0</v>
      </c>
      <c r="H692" s="595">
        <v>-44986.59</v>
      </c>
      <c r="I692" s="594" t="s">
        <v>1414</v>
      </c>
    </row>
    <row r="693" spans="1:9" ht="17.100000000000001" customHeight="1">
      <c r="A693" s="594">
        <v>22210401</v>
      </c>
      <c r="B693" s="594" t="s">
        <v>1413</v>
      </c>
      <c r="C693" s="596">
        <v>0</v>
      </c>
      <c r="D693" s="595">
        <v>-34363.42</v>
      </c>
      <c r="E693" s="595">
        <v>332548.58</v>
      </c>
      <c r="F693" s="595">
        <v>321925.40999999997</v>
      </c>
      <c r="G693" s="596">
        <v>0</v>
      </c>
      <c r="H693" s="595">
        <v>-44986.59</v>
      </c>
      <c r="I693" s="594" t="s">
        <v>1415</v>
      </c>
    </row>
    <row r="694" spans="1:9" ht="17.100000000000001" customHeight="1">
      <c r="A694" s="594">
        <v>222106</v>
      </c>
      <c r="B694" s="594" t="s">
        <v>1416</v>
      </c>
      <c r="C694" s="596">
        <v>0</v>
      </c>
      <c r="D694" s="595">
        <v>28638.17</v>
      </c>
      <c r="E694" s="596">
        <v>0</v>
      </c>
      <c r="F694" s="596">
        <v>0</v>
      </c>
      <c r="G694" s="596">
        <v>0</v>
      </c>
      <c r="H694" s="595">
        <v>28638.17</v>
      </c>
      <c r="I694" s="594" t="s">
        <v>1417</v>
      </c>
    </row>
    <row r="695" spans="1:9" ht="17.100000000000001" customHeight="1">
      <c r="A695" s="594">
        <v>22210601</v>
      </c>
      <c r="B695" s="594" t="s">
        <v>1416</v>
      </c>
      <c r="C695" s="596">
        <v>0</v>
      </c>
      <c r="D695" s="595">
        <v>28638.17</v>
      </c>
      <c r="E695" s="596">
        <v>0</v>
      </c>
      <c r="F695" s="596">
        <v>0</v>
      </c>
      <c r="G695" s="596">
        <v>0</v>
      </c>
      <c r="H695" s="595">
        <v>28638.17</v>
      </c>
      <c r="I695" s="594" t="s">
        <v>1418</v>
      </c>
    </row>
    <row r="696" spans="1:9" ht="17.100000000000001" customHeight="1">
      <c r="A696" s="594">
        <v>222107</v>
      </c>
      <c r="B696" s="594" t="s">
        <v>1419</v>
      </c>
      <c r="C696" s="596">
        <v>0</v>
      </c>
      <c r="D696" s="595">
        <v>20859704.690000001</v>
      </c>
      <c r="E696" s="595">
        <v>11430257.74</v>
      </c>
      <c r="F696" s="595">
        <v>104027766.70999999</v>
      </c>
      <c r="G696" s="596">
        <v>0</v>
      </c>
      <c r="H696" s="595">
        <v>113457213.66</v>
      </c>
      <c r="I696" s="594" t="s">
        <v>1420</v>
      </c>
    </row>
    <row r="697" spans="1:9" ht="17.100000000000001" customHeight="1">
      <c r="A697" s="594">
        <v>22210701</v>
      </c>
      <c r="B697" s="594" t="s">
        <v>1421</v>
      </c>
      <c r="C697" s="596">
        <v>0</v>
      </c>
      <c r="D697" s="595">
        <v>20735331.93</v>
      </c>
      <c r="E697" s="595">
        <v>11416961.130000001</v>
      </c>
      <c r="F697" s="595">
        <v>7844738.7599999998</v>
      </c>
      <c r="G697" s="596">
        <v>0</v>
      </c>
      <c r="H697" s="595">
        <v>17163109.559999999</v>
      </c>
      <c r="I697" s="594" t="s">
        <v>1422</v>
      </c>
    </row>
    <row r="698" spans="1:9" ht="17.100000000000001" customHeight="1">
      <c r="A698" s="594">
        <v>22210702</v>
      </c>
      <c r="B698" s="594" t="s">
        <v>4230</v>
      </c>
      <c r="C698" s="596">
        <v>0</v>
      </c>
      <c r="D698" s="596">
        <v>0</v>
      </c>
      <c r="E698" s="596">
        <v>0</v>
      </c>
      <c r="F698" s="595">
        <v>96094946.040000007</v>
      </c>
      <c r="G698" s="596">
        <v>0</v>
      </c>
      <c r="H698" s="595">
        <v>96094946.040000007</v>
      </c>
      <c r="I698" s="594" t="s">
        <v>4231</v>
      </c>
    </row>
    <row r="699" spans="1:9" ht="17.100000000000001" customHeight="1">
      <c r="A699" s="594">
        <v>22210703</v>
      </c>
      <c r="B699" s="594" t="s">
        <v>1423</v>
      </c>
      <c r="C699" s="596">
        <v>0</v>
      </c>
      <c r="D699" s="595">
        <v>22098.31</v>
      </c>
      <c r="E699" s="596">
        <v>0</v>
      </c>
      <c r="F699" s="596">
        <v>181.07</v>
      </c>
      <c r="G699" s="596">
        <v>0</v>
      </c>
      <c r="H699" s="595">
        <v>22279.38</v>
      </c>
      <c r="I699" s="594" t="s">
        <v>1424</v>
      </c>
    </row>
    <row r="700" spans="1:9" ht="17.100000000000001" customHeight="1">
      <c r="A700" s="594">
        <v>22210704</v>
      </c>
      <c r="B700" s="594" t="s">
        <v>4091</v>
      </c>
      <c r="C700" s="596">
        <v>0</v>
      </c>
      <c r="D700" s="595">
        <v>-53826.71</v>
      </c>
      <c r="E700" s="595">
        <v>11860.88</v>
      </c>
      <c r="F700" s="595">
        <v>77548.47</v>
      </c>
      <c r="G700" s="596">
        <v>0</v>
      </c>
      <c r="H700" s="595">
        <v>11860.88</v>
      </c>
      <c r="I700" s="594" t="s">
        <v>4092</v>
      </c>
    </row>
    <row r="701" spans="1:9" ht="17.100000000000001" customHeight="1">
      <c r="A701" s="594">
        <v>22210799</v>
      </c>
      <c r="B701" s="594" t="s">
        <v>1425</v>
      </c>
      <c r="C701" s="596">
        <v>0</v>
      </c>
      <c r="D701" s="595">
        <v>156101.16</v>
      </c>
      <c r="E701" s="595">
        <v>1435.73</v>
      </c>
      <c r="F701" s="595">
        <v>10352.370000000001</v>
      </c>
      <c r="G701" s="596">
        <v>0</v>
      </c>
      <c r="H701" s="595">
        <v>165017.79999999999</v>
      </c>
      <c r="I701" s="594" t="s">
        <v>1426</v>
      </c>
    </row>
    <row r="702" spans="1:9" ht="17.100000000000001" customHeight="1">
      <c r="A702" s="594">
        <v>222108</v>
      </c>
      <c r="B702" s="594" t="s">
        <v>3454</v>
      </c>
      <c r="C702" s="596">
        <v>0</v>
      </c>
      <c r="D702" s="595">
        <v>158036020.28</v>
      </c>
      <c r="E702" s="595">
        <v>6162877.8600000003</v>
      </c>
      <c r="F702" s="595">
        <v>119739698.44</v>
      </c>
      <c r="G702" s="596">
        <v>0</v>
      </c>
      <c r="H702" s="595">
        <v>271612840.86000001</v>
      </c>
      <c r="I702" s="594" t="s">
        <v>3455</v>
      </c>
    </row>
    <row r="703" spans="1:9" ht="17.100000000000001" customHeight="1">
      <c r="A703" s="594">
        <v>22210801</v>
      </c>
      <c r="B703" s="594" t="s">
        <v>3876</v>
      </c>
      <c r="C703" s="596">
        <v>0</v>
      </c>
      <c r="D703" s="595">
        <v>918147624.88</v>
      </c>
      <c r="E703" s="595">
        <v>-65425.760000000002</v>
      </c>
      <c r="F703" s="595">
        <v>119738727.93000001</v>
      </c>
      <c r="G703" s="596">
        <v>0</v>
      </c>
      <c r="H703" s="595">
        <v>1037951778.5700001</v>
      </c>
      <c r="I703" s="594" t="s">
        <v>3456</v>
      </c>
    </row>
    <row r="704" spans="1:9" ht="17.100000000000001" customHeight="1">
      <c r="A704" s="594">
        <v>22210802</v>
      </c>
      <c r="B704" s="594" t="s">
        <v>3457</v>
      </c>
      <c r="C704" s="595">
        <v>81936328.439999998</v>
      </c>
      <c r="D704" s="596">
        <v>0</v>
      </c>
      <c r="E704" s="595">
        <v>6228303.6200000001</v>
      </c>
      <c r="F704" s="596">
        <v>0</v>
      </c>
      <c r="G704" s="595">
        <v>88164632.060000002</v>
      </c>
      <c r="H704" s="596">
        <v>0</v>
      </c>
      <c r="I704" s="594" t="s">
        <v>3458</v>
      </c>
    </row>
    <row r="705" spans="1:9" ht="17.100000000000001" customHeight="1">
      <c r="A705" s="594">
        <v>22210803</v>
      </c>
      <c r="B705" s="594" t="s">
        <v>3591</v>
      </c>
      <c r="C705" s="596">
        <v>0</v>
      </c>
      <c r="D705" s="595">
        <v>12750876.5</v>
      </c>
      <c r="E705" s="596">
        <v>0</v>
      </c>
      <c r="F705" s="596">
        <v>970.51</v>
      </c>
      <c r="G705" s="596">
        <v>0</v>
      </c>
      <c r="H705" s="595">
        <v>12751847.01</v>
      </c>
      <c r="I705" s="594" t="s">
        <v>3592</v>
      </c>
    </row>
    <row r="706" spans="1:9" ht="17.100000000000001" customHeight="1">
      <c r="A706" s="594">
        <v>22210806</v>
      </c>
      <c r="B706" s="594" t="s">
        <v>3593</v>
      </c>
      <c r="C706" s="595">
        <v>690926152.65999997</v>
      </c>
      <c r="D706" s="596">
        <v>0</v>
      </c>
      <c r="E706" s="596">
        <v>0</v>
      </c>
      <c r="F706" s="596">
        <v>0</v>
      </c>
      <c r="G706" s="595">
        <v>690926152.65999997</v>
      </c>
      <c r="H706" s="596">
        <v>0</v>
      </c>
      <c r="I706" s="594" t="s">
        <v>3594</v>
      </c>
    </row>
    <row r="707" spans="1:9" ht="17.100000000000001" customHeight="1">
      <c r="A707" s="594">
        <v>222109</v>
      </c>
      <c r="B707" s="594" t="s">
        <v>3678</v>
      </c>
      <c r="C707" s="595">
        <v>90782.09</v>
      </c>
      <c r="D707" s="596">
        <v>0</v>
      </c>
      <c r="E707" s="596">
        <v>0</v>
      </c>
      <c r="F707" s="596">
        <v>0</v>
      </c>
      <c r="G707" s="595">
        <v>90782.09</v>
      </c>
      <c r="H707" s="596">
        <v>0</v>
      </c>
      <c r="I707" s="594" t="s">
        <v>3743</v>
      </c>
    </row>
    <row r="708" spans="1:9" ht="17.100000000000001" customHeight="1">
      <c r="A708" s="594">
        <v>22210901</v>
      </c>
      <c r="B708" s="594" t="s">
        <v>3678</v>
      </c>
      <c r="C708" s="595">
        <v>90782.09</v>
      </c>
      <c r="D708" s="596">
        <v>0</v>
      </c>
      <c r="E708" s="596">
        <v>0</v>
      </c>
      <c r="F708" s="596">
        <v>0</v>
      </c>
      <c r="G708" s="595">
        <v>90782.09</v>
      </c>
      <c r="H708" s="596">
        <v>0</v>
      </c>
      <c r="I708" s="594" t="s">
        <v>3744</v>
      </c>
    </row>
    <row r="709" spans="1:9" ht="17.100000000000001" customHeight="1">
      <c r="A709" s="594">
        <v>222110</v>
      </c>
      <c r="B709" s="594" t="s">
        <v>3595</v>
      </c>
      <c r="C709" s="596">
        <v>0</v>
      </c>
      <c r="D709" s="595">
        <v>1312944.44</v>
      </c>
      <c r="E709" s="596">
        <v>0</v>
      </c>
      <c r="F709" s="596">
        <v>0</v>
      </c>
      <c r="G709" s="596">
        <v>0</v>
      </c>
      <c r="H709" s="595">
        <v>1312944.44</v>
      </c>
      <c r="I709" s="594" t="s">
        <v>3596</v>
      </c>
    </row>
    <row r="710" spans="1:9" ht="17.100000000000001" customHeight="1">
      <c r="A710" s="594">
        <v>22211001</v>
      </c>
      <c r="B710" s="594" t="s">
        <v>3595</v>
      </c>
      <c r="C710" s="596">
        <v>0</v>
      </c>
      <c r="D710" s="595">
        <v>1312944.44</v>
      </c>
      <c r="E710" s="596">
        <v>0</v>
      </c>
      <c r="F710" s="596">
        <v>0</v>
      </c>
      <c r="G710" s="596">
        <v>0</v>
      </c>
      <c r="H710" s="595">
        <v>1312944.44</v>
      </c>
      <c r="I710" s="594" t="s">
        <v>4093</v>
      </c>
    </row>
    <row r="711" spans="1:9" ht="17.100000000000001" customHeight="1">
      <c r="A711" s="320"/>
      <c r="B711" s="320"/>
      <c r="C711" s="320"/>
      <c r="D711" s="557" t="s">
        <v>4198</v>
      </c>
      <c r="E711" s="320" t="s">
        <v>3749</v>
      </c>
      <c r="F711" s="320"/>
      <c r="G711" s="320"/>
      <c r="H711" s="320"/>
      <c r="I711" s="320"/>
    </row>
    <row r="712" spans="1:9" ht="17.100000000000001" customHeight="1">
      <c r="A712" s="671"/>
      <c r="B712" s="671"/>
      <c r="C712" s="671"/>
      <c r="D712" s="671"/>
      <c r="E712" s="671"/>
      <c r="F712" s="671"/>
      <c r="G712" s="671"/>
      <c r="H712" s="671"/>
      <c r="I712" s="671"/>
    </row>
    <row r="713" spans="1:9" ht="17.100000000000001" customHeight="1">
      <c r="A713" s="320"/>
      <c r="B713" s="320"/>
      <c r="C713" s="589" t="s">
        <v>3707</v>
      </c>
      <c r="D713" s="320"/>
      <c r="E713" s="320"/>
      <c r="F713" s="671"/>
      <c r="G713" s="671"/>
      <c r="H713" s="671"/>
      <c r="I713" s="671"/>
    </row>
    <row r="714" spans="1:9" ht="17.100000000000001" customHeight="1">
      <c r="A714" s="590" t="s">
        <v>3708</v>
      </c>
      <c r="B714" s="590"/>
      <c r="C714" s="597">
        <v>42887</v>
      </c>
      <c r="D714" s="590"/>
      <c r="E714" s="557" t="s">
        <v>3709</v>
      </c>
      <c r="F714" s="671"/>
      <c r="G714" s="671"/>
      <c r="H714" s="671"/>
      <c r="I714" s="671"/>
    </row>
    <row r="715" spans="1:9" ht="17.100000000000001" customHeight="1">
      <c r="A715" s="593" t="s">
        <v>596</v>
      </c>
      <c r="B715" s="593" t="s">
        <v>597</v>
      </c>
      <c r="C715" s="593" t="s">
        <v>3710</v>
      </c>
      <c r="D715" s="593" t="s">
        <v>3711</v>
      </c>
      <c r="E715" s="593" t="s">
        <v>3712</v>
      </c>
      <c r="F715" s="593" t="s">
        <v>3713</v>
      </c>
      <c r="G715" s="593" t="s">
        <v>3714</v>
      </c>
      <c r="H715" s="593" t="s">
        <v>3715</v>
      </c>
      <c r="I715" s="593" t="s">
        <v>596</v>
      </c>
    </row>
    <row r="716" spans="1:9" ht="17.100000000000001" customHeight="1">
      <c r="A716" s="594">
        <v>222116</v>
      </c>
      <c r="B716" s="594" t="s">
        <v>3877</v>
      </c>
      <c r="C716" s="596">
        <v>0</v>
      </c>
      <c r="D716" s="595">
        <v>-7316996.6500000004</v>
      </c>
      <c r="E716" s="596">
        <v>0</v>
      </c>
      <c r="F716" s="596">
        <v>0</v>
      </c>
      <c r="G716" s="596">
        <v>0</v>
      </c>
      <c r="H716" s="595">
        <v>-7316996.6500000004</v>
      </c>
      <c r="I716" s="594" t="s">
        <v>3878</v>
      </c>
    </row>
    <row r="717" spans="1:9" ht="17.100000000000001" customHeight="1">
      <c r="A717" s="594">
        <v>22211601</v>
      </c>
      <c r="B717" s="594" t="s">
        <v>3877</v>
      </c>
      <c r="C717" s="596">
        <v>0</v>
      </c>
      <c r="D717" s="595">
        <v>-7316996.6500000004</v>
      </c>
      <c r="E717" s="596">
        <v>0</v>
      </c>
      <c r="F717" s="596">
        <v>0</v>
      </c>
      <c r="G717" s="596">
        <v>0</v>
      </c>
      <c r="H717" s="595">
        <v>-7316996.6500000004</v>
      </c>
      <c r="I717" s="594" t="s">
        <v>3879</v>
      </c>
    </row>
    <row r="718" spans="1:9" ht="17.100000000000001" customHeight="1">
      <c r="A718" s="594">
        <v>222199</v>
      </c>
      <c r="B718" s="594" t="s">
        <v>1427</v>
      </c>
      <c r="C718" s="596">
        <v>0</v>
      </c>
      <c r="D718" s="595">
        <v>5013681.45</v>
      </c>
      <c r="E718" s="595">
        <v>70000</v>
      </c>
      <c r="F718" s="595">
        <v>70000</v>
      </c>
      <c r="G718" s="596">
        <v>0</v>
      </c>
      <c r="H718" s="595">
        <v>5013681.45</v>
      </c>
      <c r="I718" s="594" t="s">
        <v>1428</v>
      </c>
    </row>
    <row r="719" spans="1:9" ht="17.100000000000001" customHeight="1">
      <c r="A719" s="594">
        <v>22219901</v>
      </c>
      <c r="B719" s="594" t="s">
        <v>1429</v>
      </c>
      <c r="C719" s="596">
        <v>0</v>
      </c>
      <c r="D719" s="596">
        <v>-0.19</v>
      </c>
      <c r="E719" s="595">
        <v>70000</v>
      </c>
      <c r="F719" s="595">
        <v>70000</v>
      </c>
      <c r="G719" s="596">
        <v>0</v>
      </c>
      <c r="H719" s="596">
        <v>-0.19</v>
      </c>
      <c r="I719" s="594" t="s">
        <v>1430</v>
      </c>
    </row>
    <row r="720" spans="1:9" ht="17.100000000000001" customHeight="1">
      <c r="A720" s="594">
        <v>22219999</v>
      </c>
      <c r="B720" s="594" t="s">
        <v>1427</v>
      </c>
      <c r="C720" s="596">
        <v>0</v>
      </c>
      <c r="D720" s="595">
        <v>5013681.6399999997</v>
      </c>
      <c r="E720" s="596">
        <v>0</v>
      </c>
      <c r="F720" s="596">
        <v>0</v>
      </c>
      <c r="G720" s="596">
        <v>0</v>
      </c>
      <c r="H720" s="595">
        <v>5013681.6399999997</v>
      </c>
      <c r="I720" s="594" t="s">
        <v>1431</v>
      </c>
    </row>
    <row r="721" spans="1:9" ht="17.100000000000001" customHeight="1">
      <c r="A721" s="594">
        <v>2231</v>
      </c>
      <c r="B721" s="594" t="s">
        <v>1432</v>
      </c>
      <c r="C721" s="596">
        <v>0</v>
      </c>
      <c r="D721" s="595">
        <v>7555778293.1300001</v>
      </c>
      <c r="E721" s="595">
        <v>1190336740.3299999</v>
      </c>
      <c r="F721" s="595">
        <v>792525832.5</v>
      </c>
      <c r="G721" s="596">
        <v>0</v>
      </c>
      <c r="H721" s="595">
        <v>7157967385.3000002</v>
      </c>
      <c r="I721" s="594" t="s">
        <v>1433</v>
      </c>
    </row>
    <row r="722" spans="1:9" ht="17.100000000000001" customHeight="1">
      <c r="A722" s="594">
        <v>223103</v>
      </c>
      <c r="B722" s="594" t="s">
        <v>1434</v>
      </c>
      <c r="C722" s="596">
        <v>0</v>
      </c>
      <c r="D722" s="595">
        <v>78857318.430000007</v>
      </c>
      <c r="E722" s="595">
        <v>65238649.170000002</v>
      </c>
      <c r="F722" s="595">
        <v>73496084.879999995</v>
      </c>
      <c r="G722" s="596">
        <v>0</v>
      </c>
      <c r="H722" s="595">
        <v>87114754.140000001</v>
      </c>
      <c r="I722" s="594" t="s">
        <v>1435</v>
      </c>
    </row>
    <row r="723" spans="1:9" ht="17.100000000000001" customHeight="1">
      <c r="A723" s="594">
        <v>22310302</v>
      </c>
      <c r="B723" s="594" t="s">
        <v>4232</v>
      </c>
      <c r="C723" s="596">
        <v>0</v>
      </c>
      <c r="D723" s="595">
        <v>15021944.449999999</v>
      </c>
      <c r="E723" s="595">
        <v>36666666.670000002</v>
      </c>
      <c r="F723" s="595">
        <v>34570833.329999998</v>
      </c>
      <c r="G723" s="596">
        <v>0</v>
      </c>
      <c r="H723" s="595">
        <v>12926111.109999999</v>
      </c>
      <c r="I723" s="594" t="s">
        <v>4233</v>
      </c>
    </row>
    <row r="724" spans="1:9" ht="17.100000000000001" customHeight="1">
      <c r="A724" s="594">
        <v>22310303</v>
      </c>
      <c r="B724" s="594" t="s">
        <v>2601</v>
      </c>
      <c r="C724" s="596">
        <v>0</v>
      </c>
      <c r="D724" s="595">
        <v>2011477.17</v>
      </c>
      <c r="E724" s="595">
        <v>2427142.73</v>
      </c>
      <c r="F724" s="595">
        <v>907705.37</v>
      </c>
      <c r="G724" s="596">
        <v>0</v>
      </c>
      <c r="H724" s="595">
        <v>492039.81</v>
      </c>
      <c r="I724" s="594" t="s">
        <v>2602</v>
      </c>
    </row>
    <row r="725" spans="1:9" ht="28.5" customHeight="1">
      <c r="A725" s="594">
        <v>22310304</v>
      </c>
      <c r="B725" s="594" t="s">
        <v>1436</v>
      </c>
      <c r="C725" s="596">
        <v>0</v>
      </c>
      <c r="D725" s="595">
        <v>3274444.44</v>
      </c>
      <c r="E725" s="595">
        <v>3222222.22</v>
      </c>
      <c r="F725" s="595">
        <v>5739444.4400000004</v>
      </c>
      <c r="G725" s="596">
        <v>0</v>
      </c>
      <c r="H725" s="595">
        <v>5791666.6600000001</v>
      </c>
      <c r="I725" s="594" t="s">
        <v>1437</v>
      </c>
    </row>
    <row r="726" spans="1:9">
      <c r="A726" s="594">
        <v>22310306</v>
      </c>
      <c r="B726" s="594" t="s">
        <v>4234</v>
      </c>
      <c r="C726" s="596">
        <v>0</v>
      </c>
      <c r="D726" s="596">
        <v>0</v>
      </c>
      <c r="E726" s="596">
        <v>0</v>
      </c>
      <c r="F726" s="595">
        <v>445500</v>
      </c>
      <c r="G726" s="596">
        <v>0</v>
      </c>
      <c r="H726" s="595">
        <v>445500</v>
      </c>
      <c r="I726" s="594" t="s">
        <v>4235</v>
      </c>
    </row>
    <row r="727" spans="1:9">
      <c r="A727" s="594">
        <v>22310309</v>
      </c>
      <c r="B727" s="594" t="s">
        <v>1438</v>
      </c>
      <c r="C727" s="596">
        <v>0</v>
      </c>
      <c r="D727" s="595">
        <v>954880.56</v>
      </c>
      <c r="E727" s="595">
        <v>1161269.04</v>
      </c>
      <c r="F727" s="595">
        <v>498678.55</v>
      </c>
      <c r="G727" s="596">
        <v>0</v>
      </c>
      <c r="H727" s="595">
        <v>292290.07</v>
      </c>
      <c r="I727" s="594" t="s">
        <v>1439</v>
      </c>
    </row>
    <row r="728" spans="1:9">
      <c r="A728" s="594">
        <v>22310310</v>
      </c>
      <c r="B728" s="594" t="s">
        <v>1440</v>
      </c>
      <c r="C728" s="596">
        <v>0</v>
      </c>
      <c r="D728" s="595">
        <v>6473897.4699999997</v>
      </c>
      <c r="E728" s="595">
        <v>7522960.5300000003</v>
      </c>
      <c r="F728" s="595">
        <v>6200525.2999999998</v>
      </c>
      <c r="G728" s="596">
        <v>0</v>
      </c>
      <c r="H728" s="595">
        <v>5151462.24</v>
      </c>
      <c r="I728" s="594" t="s">
        <v>1441</v>
      </c>
    </row>
    <row r="729" spans="1:9" ht="28.5" customHeight="1">
      <c r="A729" s="594">
        <v>22310313</v>
      </c>
      <c r="B729" s="594" t="s">
        <v>2814</v>
      </c>
      <c r="C729" s="596">
        <v>0</v>
      </c>
      <c r="D729" s="595">
        <v>7109101.0300000003</v>
      </c>
      <c r="E729" s="595">
        <v>9063810.6799999997</v>
      </c>
      <c r="F729" s="595">
        <v>2766591.46</v>
      </c>
      <c r="G729" s="596">
        <v>0</v>
      </c>
      <c r="H729" s="595">
        <v>811881.81</v>
      </c>
      <c r="I729" s="594" t="s">
        <v>1442</v>
      </c>
    </row>
    <row r="730" spans="1:9" ht="17.100000000000001" customHeight="1">
      <c r="A730" s="594">
        <v>22310373</v>
      </c>
      <c r="B730" s="594" t="s">
        <v>3597</v>
      </c>
      <c r="C730" s="596">
        <v>0</v>
      </c>
      <c r="D730" s="595">
        <v>96450.75</v>
      </c>
      <c r="E730" s="595">
        <v>112575.95</v>
      </c>
      <c r="F730" s="595">
        <v>16197.22</v>
      </c>
      <c r="G730" s="596">
        <v>0</v>
      </c>
      <c r="H730" s="596">
        <v>72.02</v>
      </c>
      <c r="I730" s="594" t="s">
        <v>3598</v>
      </c>
    </row>
    <row r="731" spans="1:9" ht="17.100000000000001" customHeight="1">
      <c r="A731" s="594">
        <v>22310378</v>
      </c>
      <c r="B731" s="594" t="s">
        <v>2815</v>
      </c>
      <c r="C731" s="596">
        <v>0</v>
      </c>
      <c r="D731" s="595">
        <v>7878164.3899999997</v>
      </c>
      <c r="E731" s="595">
        <v>1960000</v>
      </c>
      <c r="F731" s="595">
        <v>1692657.53</v>
      </c>
      <c r="G731" s="596">
        <v>0</v>
      </c>
      <c r="H731" s="595">
        <v>7610821.9199999999</v>
      </c>
      <c r="I731" s="594" t="s">
        <v>2816</v>
      </c>
    </row>
    <row r="732" spans="1:9" ht="17.100000000000001" customHeight="1">
      <c r="A732" s="594">
        <v>22310379</v>
      </c>
      <c r="B732" s="594" t="s">
        <v>3372</v>
      </c>
      <c r="C732" s="596">
        <v>0</v>
      </c>
      <c r="D732" s="595">
        <v>52615.71</v>
      </c>
      <c r="E732" s="595">
        <v>64501.35</v>
      </c>
      <c r="F732" s="595">
        <v>16890.04</v>
      </c>
      <c r="G732" s="596">
        <v>0</v>
      </c>
      <c r="H732" s="595">
        <v>5004.3999999999996</v>
      </c>
      <c r="I732" s="594" t="s">
        <v>3373</v>
      </c>
    </row>
    <row r="733" spans="1:9" ht="17.100000000000001" customHeight="1">
      <c r="A733" s="594">
        <v>22310390</v>
      </c>
      <c r="B733" s="594" t="s">
        <v>3679</v>
      </c>
      <c r="C733" s="596">
        <v>0</v>
      </c>
      <c r="D733" s="595">
        <v>659342.47</v>
      </c>
      <c r="E733" s="596">
        <v>0</v>
      </c>
      <c r="F733" s="595">
        <v>103561.64</v>
      </c>
      <c r="G733" s="596">
        <v>0</v>
      </c>
      <c r="H733" s="595">
        <v>762904.11</v>
      </c>
      <c r="I733" s="594" t="s">
        <v>3745</v>
      </c>
    </row>
    <row r="734" spans="1:9" ht="17.100000000000001" customHeight="1">
      <c r="A734" s="594">
        <v>22310394</v>
      </c>
      <c r="B734" s="594" t="s">
        <v>2819</v>
      </c>
      <c r="C734" s="596">
        <v>0</v>
      </c>
      <c r="D734" s="595">
        <v>35324999.990000002</v>
      </c>
      <c r="E734" s="595">
        <v>3037500</v>
      </c>
      <c r="F734" s="595">
        <v>20537500</v>
      </c>
      <c r="G734" s="596">
        <v>0</v>
      </c>
      <c r="H734" s="595">
        <v>52824999.990000002</v>
      </c>
      <c r="I734" s="594" t="s">
        <v>2820</v>
      </c>
    </row>
    <row r="735" spans="1:9" ht="17.100000000000001" customHeight="1">
      <c r="A735" s="594">
        <v>223105</v>
      </c>
      <c r="B735" s="594" t="s">
        <v>1443</v>
      </c>
      <c r="C735" s="596">
        <v>0</v>
      </c>
      <c r="D735" s="595">
        <v>29761312.390000001</v>
      </c>
      <c r="E735" s="595">
        <v>9293863.2200000007</v>
      </c>
      <c r="F735" s="595">
        <v>15799602.49</v>
      </c>
      <c r="G735" s="596">
        <v>0</v>
      </c>
      <c r="H735" s="595">
        <v>36267051.659999996</v>
      </c>
      <c r="I735" s="594" t="s">
        <v>1444</v>
      </c>
    </row>
    <row r="736" spans="1:9" ht="17.100000000000001" customHeight="1">
      <c r="A736" s="594">
        <v>22310501</v>
      </c>
      <c r="B736" s="594" t="s">
        <v>3998</v>
      </c>
      <c r="C736" s="596">
        <v>0</v>
      </c>
      <c r="D736" s="595">
        <v>558333.32999999996</v>
      </c>
      <c r="E736" s="595">
        <v>2202222.21</v>
      </c>
      <c r="F736" s="595">
        <v>1643888.88</v>
      </c>
      <c r="G736" s="596">
        <v>0</v>
      </c>
      <c r="H736" s="596">
        <v>0</v>
      </c>
      <c r="I736" s="594" t="s">
        <v>3999</v>
      </c>
    </row>
    <row r="737" spans="1:9" ht="17.100000000000001" customHeight="1">
      <c r="A737" s="594">
        <v>22310502</v>
      </c>
      <c r="B737" s="594" t="s">
        <v>2541</v>
      </c>
      <c r="C737" s="596">
        <v>0</v>
      </c>
      <c r="D737" s="595">
        <v>1314563.49</v>
      </c>
      <c r="E737" s="595">
        <v>7091641.0099999998</v>
      </c>
      <c r="F737" s="595">
        <v>7319460.2800000003</v>
      </c>
      <c r="G737" s="596">
        <v>0</v>
      </c>
      <c r="H737" s="595">
        <v>1542382.76</v>
      </c>
      <c r="I737" s="594" t="s">
        <v>2546</v>
      </c>
    </row>
    <row r="738" spans="1:9" ht="17.100000000000001" customHeight="1">
      <c r="A738" s="594">
        <v>22310503</v>
      </c>
      <c r="B738" s="594" t="s">
        <v>3680</v>
      </c>
      <c r="C738" s="596">
        <v>0</v>
      </c>
      <c r="D738" s="595">
        <v>654479.44999999995</v>
      </c>
      <c r="E738" s="596">
        <v>0</v>
      </c>
      <c r="F738" s="595">
        <v>87653.5</v>
      </c>
      <c r="G738" s="596">
        <v>0</v>
      </c>
      <c r="H738" s="595">
        <v>742132.95</v>
      </c>
      <c r="I738" s="594" t="s">
        <v>3747</v>
      </c>
    </row>
    <row r="739" spans="1:9" ht="17.100000000000001" customHeight="1">
      <c r="A739" s="594">
        <v>22310504</v>
      </c>
      <c r="B739" s="594" t="s">
        <v>4236</v>
      </c>
      <c r="C739" s="596">
        <v>0</v>
      </c>
      <c r="D739" s="596">
        <v>0</v>
      </c>
      <c r="E739" s="596">
        <v>0</v>
      </c>
      <c r="F739" s="595">
        <v>9045.0400000000009</v>
      </c>
      <c r="G739" s="596">
        <v>0</v>
      </c>
      <c r="H739" s="595">
        <v>9045.0400000000009</v>
      </c>
      <c r="I739" s="594" t="s">
        <v>4237</v>
      </c>
    </row>
    <row r="740" spans="1:9" ht="17.100000000000001" customHeight="1">
      <c r="A740" s="594">
        <v>22310531</v>
      </c>
      <c r="B740" s="594" t="s">
        <v>3599</v>
      </c>
      <c r="C740" s="596">
        <v>0</v>
      </c>
      <c r="D740" s="595">
        <v>27233936.120000001</v>
      </c>
      <c r="E740" s="596">
        <v>0</v>
      </c>
      <c r="F740" s="595">
        <v>6739554.79</v>
      </c>
      <c r="G740" s="596">
        <v>0</v>
      </c>
      <c r="H740" s="595">
        <v>33973490.909999996</v>
      </c>
      <c r="I740" s="594" t="s">
        <v>3600</v>
      </c>
    </row>
    <row r="741" spans="1:9" ht="17.100000000000001" customHeight="1">
      <c r="A741" s="594">
        <v>223106</v>
      </c>
      <c r="B741" s="594" t="s">
        <v>1445</v>
      </c>
      <c r="C741" s="596">
        <v>0</v>
      </c>
      <c r="D741" s="595">
        <v>8069885.6900000004</v>
      </c>
      <c r="E741" s="595">
        <v>40968420.090000004</v>
      </c>
      <c r="F741" s="595">
        <v>56533813.520000003</v>
      </c>
      <c r="G741" s="596">
        <v>0</v>
      </c>
      <c r="H741" s="595">
        <v>23635279.120000001</v>
      </c>
      <c r="I741" s="594" t="s">
        <v>1446</v>
      </c>
    </row>
    <row r="742" spans="1:9" ht="17.100000000000001" customHeight="1">
      <c r="A742" s="594">
        <v>22310601</v>
      </c>
      <c r="B742" s="594" t="s">
        <v>1447</v>
      </c>
      <c r="C742" s="596">
        <v>0</v>
      </c>
      <c r="D742" s="595">
        <v>7817501.3700000001</v>
      </c>
      <c r="E742" s="595">
        <v>40917543.380000003</v>
      </c>
      <c r="F742" s="595">
        <v>55641655.740000002</v>
      </c>
      <c r="G742" s="596">
        <v>0</v>
      </c>
      <c r="H742" s="595">
        <v>22541613.73</v>
      </c>
      <c r="I742" s="594" t="s">
        <v>1448</v>
      </c>
    </row>
    <row r="743" spans="1:9" ht="17.100000000000001" customHeight="1">
      <c r="A743" s="594">
        <v>22310602</v>
      </c>
      <c r="B743" s="594" t="s">
        <v>3681</v>
      </c>
      <c r="C743" s="596">
        <v>0</v>
      </c>
      <c r="D743" s="595">
        <v>252384.32</v>
      </c>
      <c r="E743" s="595">
        <v>50876.71</v>
      </c>
      <c r="F743" s="595">
        <v>892157.78</v>
      </c>
      <c r="G743" s="596">
        <v>0</v>
      </c>
      <c r="H743" s="595">
        <v>1093665.3899999999</v>
      </c>
      <c r="I743" s="594" t="s">
        <v>3748</v>
      </c>
    </row>
    <row r="744" spans="1:9" ht="17.100000000000001" customHeight="1">
      <c r="A744" s="594">
        <v>223107</v>
      </c>
      <c r="B744" s="594" t="s">
        <v>1449</v>
      </c>
      <c r="C744" s="596">
        <v>0</v>
      </c>
      <c r="D744" s="595">
        <v>71238110.379999995</v>
      </c>
      <c r="E744" s="595">
        <v>91440278.859999999</v>
      </c>
      <c r="F744" s="595">
        <v>29911275.66</v>
      </c>
      <c r="G744" s="596">
        <v>0</v>
      </c>
      <c r="H744" s="595">
        <v>9709107.1799999997</v>
      </c>
      <c r="I744" s="594" t="s">
        <v>1450</v>
      </c>
    </row>
    <row r="745" spans="1:9" ht="17.100000000000001" customHeight="1">
      <c r="A745" s="594">
        <v>22310701</v>
      </c>
      <c r="B745" s="594" t="s">
        <v>1449</v>
      </c>
      <c r="C745" s="596">
        <v>0</v>
      </c>
      <c r="D745" s="595">
        <v>71238110.379999995</v>
      </c>
      <c r="E745" s="595">
        <v>91440278.859999999</v>
      </c>
      <c r="F745" s="595">
        <v>29911275.66</v>
      </c>
      <c r="G745" s="596">
        <v>0</v>
      </c>
      <c r="H745" s="595">
        <v>9709107.1799999997</v>
      </c>
      <c r="I745" s="594" t="s">
        <v>1451</v>
      </c>
    </row>
    <row r="746" spans="1:9" ht="17.100000000000001" customHeight="1">
      <c r="A746" s="594">
        <v>223108</v>
      </c>
      <c r="B746" s="594" t="s">
        <v>1452</v>
      </c>
      <c r="C746" s="596">
        <v>0</v>
      </c>
      <c r="D746" s="595">
        <v>48886172.539999999</v>
      </c>
      <c r="E746" s="595">
        <v>62713063.609999999</v>
      </c>
      <c r="F746" s="595">
        <v>20799918.199999999</v>
      </c>
      <c r="G746" s="596">
        <v>0</v>
      </c>
      <c r="H746" s="595">
        <v>6973027.1299999999</v>
      </c>
      <c r="I746" s="594" t="s">
        <v>1453</v>
      </c>
    </row>
    <row r="747" spans="1:9" ht="17.100000000000001" customHeight="1">
      <c r="A747" s="594">
        <v>22310801</v>
      </c>
      <c r="B747" s="594" t="s">
        <v>1454</v>
      </c>
      <c r="C747" s="596">
        <v>0</v>
      </c>
      <c r="D747" s="595">
        <v>470679.51</v>
      </c>
      <c r="E747" s="595">
        <v>596631.27</v>
      </c>
      <c r="F747" s="595">
        <v>195843.26</v>
      </c>
      <c r="G747" s="596">
        <v>0</v>
      </c>
      <c r="H747" s="595">
        <v>69891.5</v>
      </c>
      <c r="I747" s="594" t="s">
        <v>1455</v>
      </c>
    </row>
    <row r="748" spans="1:9" ht="17.100000000000001" customHeight="1">
      <c r="A748" s="594">
        <v>22310802</v>
      </c>
      <c r="B748" s="594" t="s">
        <v>1456</v>
      </c>
      <c r="C748" s="596">
        <v>0</v>
      </c>
      <c r="D748" s="595">
        <v>48415493.030000001</v>
      </c>
      <c r="E748" s="595">
        <v>62116432.340000004</v>
      </c>
      <c r="F748" s="595">
        <v>20604074.940000001</v>
      </c>
      <c r="G748" s="596">
        <v>0</v>
      </c>
      <c r="H748" s="595">
        <v>6903135.6299999999</v>
      </c>
      <c r="I748" s="594" t="s">
        <v>1457</v>
      </c>
    </row>
    <row r="749" spans="1:9" ht="17.100000000000001" customHeight="1">
      <c r="A749" s="594">
        <v>223109</v>
      </c>
      <c r="B749" s="594" t="s">
        <v>1458</v>
      </c>
      <c r="C749" s="596">
        <v>0</v>
      </c>
      <c r="D749" s="595">
        <v>3609554506.8800001</v>
      </c>
      <c r="E749" s="595">
        <v>393813212.51999998</v>
      </c>
      <c r="F749" s="595">
        <v>215192189.22999999</v>
      </c>
      <c r="G749" s="596">
        <v>0</v>
      </c>
      <c r="H749" s="595">
        <v>3430933483.5900002</v>
      </c>
      <c r="I749" s="594" t="s">
        <v>1459</v>
      </c>
    </row>
    <row r="750" spans="1:9" ht="17.100000000000001" customHeight="1">
      <c r="A750" s="320"/>
      <c r="B750" s="320"/>
      <c r="C750" s="320"/>
      <c r="D750" s="557" t="s">
        <v>4198</v>
      </c>
      <c r="E750" s="320" t="s">
        <v>3750</v>
      </c>
      <c r="F750" s="320"/>
      <c r="G750" s="320"/>
      <c r="H750" s="320"/>
      <c r="I750" s="320"/>
    </row>
    <row r="751" spans="1:9" ht="17.100000000000001" customHeight="1">
      <c r="A751" s="671"/>
      <c r="B751" s="671"/>
      <c r="C751" s="671"/>
      <c r="D751" s="671"/>
      <c r="E751" s="671"/>
      <c r="F751" s="671"/>
      <c r="G751" s="671"/>
      <c r="H751" s="671"/>
      <c r="I751" s="671"/>
    </row>
    <row r="752" spans="1:9" ht="17.100000000000001" customHeight="1">
      <c r="A752" s="320"/>
      <c r="B752" s="320"/>
      <c r="C752" s="589" t="s">
        <v>3707</v>
      </c>
      <c r="D752" s="320"/>
      <c r="E752" s="320"/>
      <c r="F752" s="671"/>
      <c r="G752" s="671"/>
      <c r="H752" s="671"/>
      <c r="I752" s="671"/>
    </row>
    <row r="753" spans="1:9" ht="17.100000000000001" customHeight="1">
      <c r="A753" s="590" t="s">
        <v>3708</v>
      </c>
      <c r="B753" s="590"/>
      <c r="C753" s="597">
        <v>42887</v>
      </c>
      <c r="D753" s="590"/>
      <c r="E753" s="557" t="s">
        <v>3709</v>
      </c>
      <c r="F753" s="671"/>
      <c r="G753" s="671"/>
      <c r="H753" s="671"/>
      <c r="I753" s="671"/>
    </row>
    <row r="754" spans="1:9" ht="17.100000000000001" customHeight="1">
      <c r="A754" s="593" t="s">
        <v>596</v>
      </c>
      <c r="B754" s="593" t="s">
        <v>597</v>
      </c>
      <c r="C754" s="593" t="s">
        <v>3710</v>
      </c>
      <c r="D754" s="593" t="s">
        <v>3711</v>
      </c>
      <c r="E754" s="593" t="s">
        <v>3712</v>
      </c>
      <c r="F754" s="593" t="s">
        <v>3713</v>
      </c>
      <c r="G754" s="593" t="s">
        <v>3714</v>
      </c>
      <c r="H754" s="593" t="s">
        <v>3715</v>
      </c>
      <c r="I754" s="593" t="s">
        <v>596</v>
      </c>
    </row>
    <row r="755" spans="1:9" ht="17.100000000000001" customHeight="1">
      <c r="A755" s="594">
        <v>22310902</v>
      </c>
      <c r="B755" s="594" t="s">
        <v>1460</v>
      </c>
      <c r="C755" s="596">
        <v>0</v>
      </c>
      <c r="D755" s="595">
        <v>3777480.25</v>
      </c>
      <c r="E755" s="595">
        <v>1650249.05</v>
      </c>
      <c r="F755" s="595">
        <v>2188034.2599999998</v>
      </c>
      <c r="G755" s="596">
        <v>0</v>
      </c>
      <c r="H755" s="595">
        <v>4315265.46</v>
      </c>
      <c r="I755" s="594" t="s">
        <v>1461</v>
      </c>
    </row>
    <row r="756" spans="1:9" ht="17.100000000000001" customHeight="1">
      <c r="A756" s="594">
        <v>22310903</v>
      </c>
      <c r="B756" s="594" t="s">
        <v>1462</v>
      </c>
      <c r="C756" s="596">
        <v>0</v>
      </c>
      <c r="D756" s="595">
        <v>9700368.1799999997</v>
      </c>
      <c r="E756" s="595">
        <v>2181320.41</v>
      </c>
      <c r="F756" s="595">
        <v>3841734.38</v>
      </c>
      <c r="G756" s="596">
        <v>0</v>
      </c>
      <c r="H756" s="595">
        <v>11360782.15</v>
      </c>
      <c r="I756" s="594" t="s">
        <v>1463</v>
      </c>
    </row>
    <row r="757" spans="1:9" ht="17.100000000000001" customHeight="1">
      <c r="A757" s="594">
        <v>22310905</v>
      </c>
      <c r="B757" s="594" t="s">
        <v>1464</v>
      </c>
      <c r="C757" s="596">
        <v>0</v>
      </c>
      <c r="D757" s="595">
        <v>198403525.91</v>
      </c>
      <c r="E757" s="595">
        <v>18061980.77</v>
      </c>
      <c r="F757" s="595">
        <v>36454516.039999999</v>
      </c>
      <c r="G757" s="596">
        <v>0</v>
      </c>
      <c r="H757" s="595">
        <v>216796061.18000001</v>
      </c>
      <c r="I757" s="594" t="s">
        <v>1465</v>
      </c>
    </row>
    <row r="758" spans="1:9" ht="17.100000000000001" customHeight="1">
      <c r="A758" s="594">
        <v>22310906</v>
      </c>
      <c r="B758" s="594" t="s">
        <v>1466</v>
      </c>
      <c r="C758" s="596">
        <v>0</v>
      </c>
      <c r="D758" s="595">
        <v>79765231.489999995</v>
      </c>
      <c r="E758" s="595">
        <v>9904347.0899999999</v>
      </c>
      <c r="F758" s="595">
        <v>7675957.54</v>
      </c>
      <c r="G758" s="596">
        <v>0</v>
      </c>
      <c r="H758" s="595">
        <v>77536841.939999998</v>
      </c>
      <c r="I758" s="594" t="s">
        <v>1467</v>
      </c>
    </row>
    <row r="759" spans="1:9" ht="17.100000000000001" customHeight="1">
      <c r="A759" s="594">
        <v>22310907</v>
      </c>
      <c r="B759" s="594" t="s">
        <v>1468</v>
      </c>
      <c r="C759" s="596">
        <v>0</v>
      </c>
      <c r="D759" s="595">
        <v>864215083.23000002</v>
      </c>
      <c r="E759" s="595">
        <v>188225688.61000001</v>
      </c>
      <c r="F759" s="595">
        <v>46238589.469999999</v>
      </c>
      <c r="G759" s="596">
        <v>0</v>
      </c>
      <c r="H759" s="595">
        <v>722227984.09000003</v>
      </c>
      <c r="I759" s="594" t="s">
        <v>1469</v>
      </c>
    </row>
    <row r="760" spans="1:9" ht="17.100000000000001" customHeight="1">
      <c r="A760" s="594">
        <v>22310908</v>
      </c>
      <c r="B760" s="594" t="s">
        <v>1470</v>
      </c>
      <c r="C760" s="596">
        <v>0</v>
      </c>
      <c r="D760" s="595">
        <v>2183423120.8000002</v>
      </c>
      <c r="E760" s="595">
        <v>318816.03000000003</v>
      </c>
      <c r="F760" s="595">
        <v>66681521.469999999</v>
      </c>
      <c r="G760" s="596">
        <v>0</v>
      </c>
      <c r="H760" s="595">
        <v>2249785826.2399998</v>
      </c>
      <c r="I760" s="594" t="s">
        <v>1471</v>
      </c>
    </row>
    <row r="761" spans="1:9" ht="17.100000000000001" customHeight="1">
      <c r="A761" s="594">
        <v>22310909</v>
      </c>
      <c r="B761" s="594" t="s">
        <v>1472</v>
      </c>
      <c r="C761" s="596">
        <v>0</v>
      </c>
      <c r="D761" s="595">
        <v>241146765.03</v>
      </c>
      <c r="E761" s="595">
        <v>170918984.19</v>
      </c>
      <c r="F761" s="595">
        <v>44084995.420000002</v>
      </c>
      <c r="G761" s="596">
        <v>0</v>
      </c>
      <c r="H761" s="595">
        <v>114312776.26000001</v>
      </c>
      <c r="I761" s="594" t="s">
        <v>1473</v>
      </c>
    </row>
    <row r="762" spans="1:9" ht="17.100000000000001" customHeight="1">
      <c r="A762" s="594">
        <v>22310910</v>
      </c>
      <c r="B762" s="594" t="s">
        <v>1474</v>
      </c>
      <c r="C762" s="596">
        <v>0</v>
      </c>
      <c r="D762" s="595">
        <v>1959659.27</v>
      </c>
      <c r="E762" s="595">
        <v>2359326.37</v>
      </c>
      <c r="F762" s="595">
        <v>2559353.1</v>
      </c>
      <c r="G762" s="596">
        <v>0</v>
      </c>
      <c r="H762" s="595">
        <v>2159686</v>
      </c>
      <c r="I762" s="594" t="s">
        <v>1475</v>
      </c>
    </row>
    <row r="763" spans="1:9" ht="17.100000000000001" customHeight="1">
      <c r="A763" s="594">
        <v>22310911</v>
      </c>
      <c r="B763" s="594" t="s">
        <v>2681</v>
      </c>
      <c r="C763" s="596">
        <v>0</v>
      </c>
      <c r="D763" s="595">
        <v>27163272.719999999</v>
      </c>
      <c r="E763" s="595">
        <v>192500</v>
      </c>
      <c r="F763" s="595">
        <v>5467487.5499999998</v>
      </c>
      <c r="G763" s="596">
        <v>0</v>
      </c>
      <c r="H763" s="595">
        <v>32438260.27</v>
      </c>
      <c r="I763" s="594" t="s">
        <v>2682</v>
      </c>
    </row>
    <row r="764" spans="1:9" ht="28.5" customHeight="1">
      <c r="A764" s="594">
        <v>223110</v>
      </c>
      <c r="B764" s="594" t="s">
        <v>1476</v>
      </c>
      <c r="C764" s="596">
        <v>0</v>
      </c>
      <c r="D764" s="595">
        <v>2836135683.3400002</v>
      </c>
      <c r="E764" s="595">
        <v>179711673.21000001</v>
      </c>
      <c r="F764" s="595">
        <v>203895089.31</v>
      </c>
      <c r="G764" s="596">
        <v>0</v>
      </c>
      <c r="H764" s="595">
        <v>2860319099.4400001</v>
      </c>
      <c r="I764" s="594" t="s">
        <v>1477</v>
      </c>
    </row>
    <row r="765" spans="1:9">
      <c r="A765" s="594">
        <v>22311001</v>
      </c>
      <c r="B765" s="594" t="s">
        <v>1478</v>
      </c>
      <c r="C765" s="596">
        <v>0</v>
      </c>
      <c r="D765" s="596">
        <v>11.52</v>
      </c>
      <c r="E765" s="596">
        <v>15</v>
      </c>
      <c r="F765" s="596">
        <v>15.23</v>
      </c>
      <c r="G765" s="596">
        <v>0</v>
      </c>
      <c r="H765" s="596">
        <v>11.75</v>
      </c>
      <c r="I765" s="594" t="s">
        <v>1479</v>
      </c>
    </row>
    <row r="766" spans="1:9">
      <c r="A766" s="594">
        <v>22311002</v>
      </c>
      <c r="B766" s="594" t="s">
        <v>1480</v>
      </c>
      <c r="C766" s="596">
        <v>0</v>
      </c>
      <c r="D766" s="595">
        <v>7063147.7199999997</v>
      </c>
      <c r="E766" s="595">
        <v>4261891.6399999997</v>
      </c>
      <c r="F766" s="595">
        <v>4356756.8600000003</v>
      </c>
      <c r="G766" s="596">
        <v>0</v>
      </c>
      <c r="H766" s="595">
        <v>7158012.9400000004</v>
      </c>
      <c r="I766" s="594" t="s">
        <v>1481</v>
      </c>
    </row>
    <row r="767" spans="1:9">
      <c r="A767" s="594">
        <v>22311003</v>
      </c>
      <c r="B767" s="594" t="s">
        <v>1482</v>
      </c>
      <c r="C767" s="596">
        <v>0</v>
      </c>
      <c r="D767" s="595">
        <v>23060000.129999999</v>
      </c>
      <c r="E767" s="595">
        <v>5909719.7699999996</v>
      </c>
      <c r="F767" s="595">
        <v>7154097.6200000001</v>
      </c>
      <c r="G767" s="596">
        <v>0</v>
      </c>
      <c r="H767" s="595">
        <v>24304377.98</v>
      </c>
      <c r="I767" s="594" t="s">
        <v>1483</v>
      </c>
    </row>
    <row r="768" spans="1:9" ht="28.5" customHeight="1">
      <c r="A768" s="594">
        <v>22311004</v>
      </c>
      <c r="B768" s="594" t="s">
        <v>1484</v>
      </c>
      <c r="C768" s="596">
        <v>0</v>
      </c>
      <c r="D768" s="596">
        <v>625.36</v>
      </c>
      <c r="E768" s="596">
        <v>0</v>
      </c>
      <c r="F768" s="596">
        <v>1.3</v>
      </c>
      <c r="G768" s="596">
        <v>0</v>
      </c>
      <c r="H768" s="596">
        <v>626.66</v>
      </c>
      <c r="I768" s="594" t="s">
        <v>1485</v>
      </c>
    </row>
    <row r="769" spans="1:9" ht="17.100000000000001" customHeight="1">
      <c r="A769" s="594">
        <v>22311005</v>
      </c>
      <c r="B769" s="594" t="s">
        <v>1486</v>
      </c>
      <c r="C769" s="596">
        <v>0</v>
      </c>
      <c r="D769" s="595">
        <v>473979117.13999999</v>
      </c>
      <c r="E769" s="595">
        <v>64280374.159999996</v>
      </c>
      <c r="F769" s="595">
        <v>83051219.810000002</v>
      </c>
      <c r="G769" s="596">
        <v>0</v>
      </c>
      <c r="H769" s="595">
        <v>492749962.79000002</v>
      </c>
      <c r="I769" s="594" t="s">
        <v>1487</v>
      </c>
    </row>
    <row r="770" spans="1:9" ht="17.100000000000001" customHeight="1">
      <c r="A770" s="594">
        <v>22311006</v>
      </c>
      <c r="B770" s="594" t="s">
        <v>1488</v>
      </c>
      <c r="C770" s="596">
        <v>0</v>
      </c>
      <c r="D770" s="595">
        <v>380819073.93000001</v>
      </c>
      <c r="E770" s="595">
        <v>36604878.32</v>
      </c>
      <c r="F770" s="595">
        <v>30582181.079999998</v>
      </c>
      <c r="G770" s="596">
        <v>0</v>
      </c>
      <c r="H770" s="595">
        <v>374796376.69</v>
      </c>
      <c r="I770" s="594" t="s">
        <v>1489</v>
      </c>
    </row>
    <row r="771" spans="1:9" ht="17.100000000000001" customHeight="1">
      <c r="A771" s="594">
        <v>22311007</v>
      </c>
      <c r="B771" s="594" t="s">
        <v>1490</v>
      </c>
      <c r="C771" s="596">
        <v>0</v>
      </c>
      <c r="D771" s="595">
        <v>1082488616.01</v>
      </c>
      <c r="E771" s="595">
        <v>40319393.5</v>
      </c>
      <c r="F771" s="595">
        <v>48852815.950000003</v>
      </c>
      <c r="G771" s="596">
        <v>0</v>
      </c>
      <c r="H771" s="595">
        <v>1091022038.46</v>
      </c>
      <c r="I771" s="594" t="s">
        <v>1491</v>
      </c>
    </row>
    <row r="772" spans="1:9" ht="17.100000000000001" customHeight="1">
      <c r="A772" s="594">
        <v>22311008</v>
      </c>
      <c r="B772" s="594" t="s">
        <v>1492</v>
      </c>
      <c r="C772" s="596">
        <v>0</v>
      </c>
      <c r="D772" s="595">
        <v>837974212.62</v>
      </c>
      <c r="E772" s="595">
        <v>26108053.210000001</v>
      </c>
      <c r="F772" s="595">
        <v>23540045.219999999</v>
      </c>
      <c r="G772" s="596">
        <v>0</v>
      </c>
      <c r="H772" s="595">
        <v>835406204.63</v>
      </c>
      <c r="I772" s="594" t="s">
        <v>1493</v>
      </c>
    </row>
    <row r="773" spans="1:9" ht="17.100000000000001" customHeight="1">
      <c r="A773" s="594">
        <v>22311009</v>
      </c>
      <c r="B773" s="594" t="s">
        <v>1494</v>
      </c>
      <c r="C773" s="596">
        <v>0</v>
      </c>
      <c r="D773" s="595">
        <v>186966.82</v>
      </c>
      <c r="E773" s="595">
        <v>1129.71</v>
      </c>
      <c r="F773" s="596">
        <v>32.92</v>
      </c>
      <c r="G773" s="596">
        <v>0</v>
      </c>
      <c r="H773" s="595">
        <v>185870.03</v>
      </c>
      <c r="I773" s="594" t="s">
        <v>1495</v>
      </c>
    </row>
    <row r="774" spans="1:9" ht="17.100000000000001" customHeight="1">
      <c r="A774" s="594">
        <v>22311010</v>
      </c>
      <c r="B774" s="594" t="s">
        <v>1496</v>
      </c>
      <c r="C774" s="596">
        <v>0</v>
      </c>
      <c r="D774" s="595">
        <v>8521.65</v>
      </c>
      <c r="E774" s="596">
        <v>379.31</v>
      </c>
      <c r="F774" s="595">
        <v>1061.06</v>
      </c>
      <c r="G774" s="596">
        <v>0</v>
      </c>
      <c r="H774" s="595">
        <v>9203.4</v>
      </c>
      <c r="I774" s="594" t="s">
        <v>1497</v>
      </c>
    </row>
    <row r="775" spans="1:9" ht="17.100000000000001" customHeight="1">
      <c r="A775" s="594">
        <v>22311011</v>
      </c>
      <c r="B775" s="594" t="s">
        <v>1498</v>
      </c>
      <c r="C775" s="596">
        <v>0</v>
      </c>
      <c r="D775" s="595">
        <v>7527.3</v>
      </c>
      <c r="E775" s="596">
        <v>0</v>
      </c>
      <c r="F775" s="596">
        <v>434.25</v>
      </c>
      <c r="G775" s="596">
        <v>0</v>
      </c>
      <c r="H775" s="595">
        <v>7961.55</v>
      </c>
      <c r="I775" s="594" t="s">
        <v>1499</v>
      </c>
    </row>
    <row r="776" spans="1:9" ht="17.100000000000001" customHeight="1">
      <c r="A776" s="594">
        <v>22311012</v>
      </c>
      <c r="B776" s="594" t="s">
        <v>1500</v>
      </c>
      <c r="C776" s="596">
        <v>0</v>
      </c>
      <c r="D776" s="595">
        <v>18237.32</v>
      </c>
      <c r="E776" s="596">
        <v>0</v>
      </c>
      <c r="F776" s="596">
        <v>422</v>
      </c>
      <c r="G776" s="596">
        <v>0</v>
      </c>
      <c r="H776" s="595">
        <v>18659.32</v>
      </c>
      <c r="I776" s="594" t="s">
        <v>1501</v>
      </c>
    </row>
    <row r="777" spans="1:9" ht="17.100000000000001" customHeight="1">
      <c r="A777" s="594">
        <v>22311014</v>
      </c>
      <c r="B777" s="594" t="s">
        <v>1502</v>
      </c>
      <c r="C777" s="596">
        <v>0</v>
      </c>
      <c r="D777" s="596">
        <v>250</v>
      </c>
      <c r="E777" s="596">
        <v>322.92</v>
      </c>
      <c r="F777" s="596">
        <v>320.49</v>
      </c>
      <c r="G777" s="596">
        <v>0</v>
      </c>
      <c r="H777" s="596">
        <v>247.57</v>
      </c>
      <c r="I777" s="594" t="s">
        <v>1503</v>
      </c>
    </row>
    <row r="778" spans="1:9" ht="17.100000000000001" customHeight="1">
      <c r="A778" s="594">
        <v>22311022</v>
      </c>
      <c r="B778" s="594" t="s">
        <v>1474</v>
      </c>
      <c r="C778" s="596">
        <v>0</v>
      </c>
      <c r="D778" s="595">
        <v>284088.59000000003</v>
      </c>
      <c r="E778" s="595">
        <v>1653335.34</v>
      </c>
      <c r="F778" s="595">
        <v>1613057.14</v>
      </c>
      <c r="G778" s="596">
        <v>0</v>
      </c>
      <c r="H778" s="595">
        <v>243810.39</v>
      </c>
      <c r="I778" s="594" t="s">
        <v>1504</v>
      </c>
    </row>
    <row r="779" spans="1:9" ht="17.100000000000001" customHeight="1">
      <c r="A779" s="594">
        <v>22311023</v>
      </c>
      <c r="B779" s="594" t="s">
        <v>1505</v>
      </c>
      <c r="C779" s="596">
        <v>0</v>
      </c>
      <c r="D779" s="595">
        <v>7957.2</v>
      </c>
      <c r="E779" s="596">
        <v>0</v>
      </c>
      <c r="F779" s="596">
        <v>42.46</v>
      </c>
      <c r="G779" s="596">
        <v>0</v>
      </c>
      <c r="H779" s="595">
        <v>7999.66</v>
      </c>
      <c r="I779" s="594" t="s">
        <v>1506</v>
      </c>
    </row>
    <row r="780" spans="1:9" ht="17.100000000000001" customHeight="1">
      <c r="A780" s="594">
        <v>22311024</v>
      </c>
      <c r="B780" s="594" t="s">
        <v>2683</v>
      </c>
      <c r="C780" s="596">
        <v>0</v>
      </c>
      <c r="D780" s="595">
        <v>30237008.760000002</v>
      </c>
      <c r="E780" s="595">
        <v>572165.93999999994</v>
      </c>
      <c r="F780" s="595">
        <v>4730454.72</v>
      </c>
      <c r="G780" s="596">
        <v>0</v>
      </c>
      <c r="H780" s="595">
        <v>34395297.539999999</v>
      </c>
      <c r="I780" s="594" t="s">
        <v>2684</v>
      </c>
    </row>
    <row r="781" spans="1:9" ht="17.100000000000001" customHeight="1">
      <c r="A781" s="594">
        <v>22311099</v>
      </c>
      <c r="B781" s="594" t="s">
        <v>4238</v>
      </c>
      <c r="C781" s="596">
        <v>0</v>
      </c>
      <c r="D781" s="596">
        <v>321.27</v>
      </c>
      <c r="E781" s="596">
        <v>14.39</v>
      </c>
      <c r="F781" s="595">
        <v>12131.2</v>
      </c>
      <c r="G781" s="596">
        <v>0</v>
      </c>
      <c r="H781" s="595">
        <v>12438.08</v>
      </c>
      <c r="I781" s="594" t="s">
        <v>4239</v>
      </c>
    </row>
    <row r="782" spans="1:9" ht="17.100000000000001" customHeight="1">
      <c r="A782" s="594">
        <v>223111</v>
      </c>
      <c r="B782" s="594" t="s">
        <v>1507</v>
      </c>
      <c r="C782" s="596">
        <v>0</v>
      </c>
      <c r="D782" s="595">
        <v>482167.08</v>
      </c>
      <c r="E782" s="595">
        <v>664712.69999999995</v>
      </c>
      <c r="F782" s="595">
        <v>293323.39</v>
      </c>
      <c r="G782" s="596">
        <v>0</v>
      </c>
      <c r="H782" s="595">
        <v>110777.77</v>
      </c>
      <c r="I782" s="594" t="s">
        <v>1508</v>
      </c>
    </row>
    <row r="783" spans="1:9" ht="17.100000000000001" customHeight="1">
      <c r="A783" s="594">
        <v>22311101</v>
      </c>
      <c r="B783" s="594" t="s">
        <v>1507</v>
      </c>
      <c r="C783" s="596">
        <v>0</v>
      </c>
      <c r="D783" s="595">
        <v>482167.08</v>
      </c>
      <c r="E783" s="595">
        <v>664712.69999999995</v>
      </c>
      <c r="F783" s="595">
        <v>293323.39</v>
      </c>
      <c r="G783" s="596">
        <v>0</v>
      </c>
      <c r="H783" s="595">
        <v>110777.77</v>
      </c>
      <c r="I783" s="594" t="s">
        <v>1509</v>
      </c>
    </row>
    <row r="784" spans="1:9" ht="17.100000000000001" customHeight="1">
      <c r="A784" s="594">
        <v>223112</v>
      </c>
      <c r="B784" s="594" t="s">
        <v>4240</v>
      </c>
      <c r="C784" s="596">
        <v>0</v>
      </c>
      <c r="D784" s="596">
        <v>0</v>
      </c>
      <c r="E784" s="595">
        <v>9333.33</v>
      </c>
      <c r="F784" s="595">
        <v>19174.21</v>
      </c>
      <c r="G784" s="596">
        <v>0</v>
      </c>
      <c r="H784" s="595">
        <v>9840.8799999999992</v>
      </c>
      <c r="I784" s="594" t="s">
        <v>4241</v>
      </c>
    </row>
    <row r="785" spans="1:9" ht="17.100000000000001" customHeight="1">
      <c r="A785" s="594">
        <v>22311204</v>
      </c>
      <c r="B785" s="594" t="s">
        <v>4242</v>
      </c>
      <c r="C785" s="596">
        <v>0</v>
      </c>
      <c r="D785" s="596">
        <v>0</v>
      </c>
      <c r="E785" s="595">
        <v>9333.33</v>
      </c>
      <c r="F785" s="595">
        <v>19174.21</v>
      </c>
      <c r="G785" s="596">
        <v>0</v>
      </c>
      <c r="H785" s="595">
        <v>9840.8799999999992</v>
      </c>
      <c r="I785" s="594" t="s">
        <v>4243</v>
      </c>
    </row>
    <row r="786" spans="1:9" ht="17.100000000000001" customHeight="1">
      <c r="A786" s="594">
        <v>223114</v>
      </c>
      <c r="B786" s="594" t="s">
        <v>1510</v>
      </c>
      <c r="C786" s="596">
        <v>0</v>
      </c>
      <c r="D786" s="595">
        <v>124624386.81999999</v>
      </c>
      <c r="E786" s="595">
        <v>9147752.5</v>
      </c>
      <c r="F786" s="595">
        <v>11510683.310000001</v>
      </c>
      <c r="G786" s="596">
        <v>0</v>
      </c>
      <c r="H786" s="595">
        <v>126987317.63</v>
      </c>
      <c r="I786" s="594" t="s">
        <v>1511</v>
      </c>
    </row>
    <row r="787" spans="1:9" ht="17.100000000000001" customHeight="1">
      <c r="A787" s="594">
        <v>22311401</v>
      </c>
      <c r="B787" s="594" t="s">
        <v>1512</v>
      </c>
      <c r="C787" s="596">
        <v>0</v>
      </c>
      <c r="D787" s="595">
        <v>204908.97</v>
      </c>
      <c r="E787" s="595">
        <v>305414.05</v>
      </c>
      <c r="F787" s="595">
        <v>162057.28</v>
      </c>
      <c r="G787" s="596">
        <v>0</v>
      </c>
      <c r="H787" s="595">
        <v>61552.2</v>
      </c>
      <c r="I787" s="594" t="s">
        <v>1513</v>
      </c>
    </row>
    <row r="788" spans="1:9" ht="17.100000000000001" customHeight="1">
      <c r="A788" s="594">
        <v>22311402</v>
      </c>
      <c r="B788" s="594" t="s">
        <v>1514</v>
      </c>
      <c r="C788" s="596">
        <v>0</v>
      </c>
      <c r="D788" s="595">
        <v>4397429.3499999996</v>
      </c>
      <c r="E788" s="595">
        <v>44308.83</v>
      </c>
      <c r="F788" s="595">
        <v>191961.85</v>
      </c>
      <c r="G788" s="596">
        <v>0</v>
      </c>
      <c r="H788" s="595">
        <v>4545082.37</v>
      </c>
      <c r="I788" s="594" t="s">
        <v>1515</v>
      </c>
    </row>
    <row r="789" spans="1:9" ht="17.100000000000001" customHeight="1">
      <c r="A789" s="320"/>
      <c r="B789" s="320"/>
      <c r="C789" s="320"/>
      <c r="D789" s="557" t="s">
        <v>4198</v>
      </c>
      <c r="E789" s="320" t="s">
        <v>3751</v>
      </c>
      <c r="F789" s="320"/>
      <c r="G789" s="320"/>
      <c r="H789" s="320"/>
      <c r="I789" s="320"/>
    </row>
    <row r="790" spans="1:9" ht="17.100000000000001" customHeight="1">
      <c r="A790" s="671"/>
      <c r="B790" s="671"/>
      <c r="C790" s="671"/>
      <c r="D790" s="671"/>
      <c r="E790" s="671"/>
      <c r="F790" s="671"/>
      <c r="G790" s="671"/>
      <c r="H790" s="671"/>
      <c r="I790" s="671"/>
    </row>
    <row r="791" spans="1:9" ht="17.100000000000001" customHeight="1">
      <c r="A791" s="320"/>
      <c r="B791" s="320"/>
      <c r="C791" s="589" t="s">
        <v>3707</v>
      </c>
      <c r="D791" s="320"/>
      <c r="E791" s="320"/>
      <c r="F791" s="671"/>
      <c r="G791" s="671"/>
      <c r="H791" s="671"/>
      <c r="I791" s="671"/>
    </row>
    <row r="792" spans="1:9" ht="17.100000000000001" customHeight="1">
      <c r="A792" s="590" t="s">
        <v>3708</v>
      </c>
      <c r="B792" s="590"/>
      <c r="C792" s="597">
        <v>42887</v>
      </c>
      <c r="D792" s="590"/>
      <c r="E792" s="557" t="s">
        <v>3709</v>
      </c>
      <c r="F792" s="671"/>
      <c r="G792" s="671"/>
      <c r="H792" s="671"/>
      <c r="I792" s="671"/>
    </row>
    <row r="793" spans="1:9" ht="17.100000000000001" customHeight="1">
      <c r="A793" s="593" t="s">
        <v>596</v>
      </c>
      <c r="B793" s="593" t="s">
        <v>597</v>
      </c>
      <c r="C793" s="593" t="s">
        <v>3710</v>
      </c>
      <c r="D793" s="593" t="s">
        <v>3711</v>
      </c>
      <c r="E793" s="593" t="s">
        <v>3712</v>
      </c>
      <c r="F793" s="593" t="s">
        <v>3713</v>
      </c>
      <c r="G793" s="593" t="s">
        <v>3714</v>
      </c>
      <c r="H793" s="593" t="s">
        <v>3715</v>
      </c>
      <c r="I793" s="593" t="s">
        <v>596</v>
      </c>
    </row>
    <row r="794" spans="1:9" ht="17.100000000000001" customHeight="1">
      <c r="A794" s="594">
        <v>22311403</v>
      </c>
      <c r="B794" s="594" t="s">
        <v>1516</v>
      </c>
      <c r="C794" s="596">
        <v>0</v>
      </c>
      <c r="D794" s="595">
        <v>35362695.700000003</v>
      </c>
      <c r="E794" s="595">
        <v>1207869.2</v>
      </c>
      <c r="F794" s="595">
        <v>897336.86</v>
      </c>
      <c r="G794" s="596">
        <v>0</v>
      </c>
      <c r="H794" s="595">
        <v>35052163.359999999</v>
      </c>
      <c r="I794" s="594" t="s">
        <v>1517</v>
      </c>
    </row>
    <row r="795" spans="1:9" ht="17.100000000000001" customHeight="1">
      <c r="A795" s="594">
        <v>22311404</v>
      </c>
      <c r="B795" s="594" t="s">
        <v>1518</v>
      </c>
      <c r="C795" s="596">
        <v>0</v>
      </c>
      <c r="D795" s="595">
        <v>9438178.6899999995</v>
      </c>
      <c r="E795" s="595">
        <v>417738.43</v>
      </c>
      <c r="F795" s="595">
        <v>974799.26</v>
      </c>
      <c r="G795" s="596">
        <v>0</v>
      </c>
      <c r="H795" s="595">
        <v>9995239.5199999996</v>
      </c>
      <c r="I795" s="594" t="s">
        <v>1519</v>
      </c>
    </row>
    <row r="796" spans="1:9" ht="17.100000000000001" customHeight="1">
      <c r="A796" s="594">
        <v>22311409</v>
      </c>
      <c r="B796" s="594" t="s">
        <v>1520</v>
      </c>
      <c r="C796" s="596">
        <v>0</v>
      </c>
      <c r="D796" s="595">
        <v>385246.09</v>
      </c>
      <c r="E796" s="595">
        <v>504520.87</v>
      </c>
      <c r="F796" s="595">
        <v>169972.62</v>
      </c>
      <c r="G796" s="596">
        <v>0</v>
      </c>
      <c r="H796" s="595">
        <v>50697.84</v>
      </c>
      <c r="I796" s="594" t="s">
        <v>1521</v>
      </c>
    </row>
    <row r="797" spans="1:9" ht="17.100000000000001" customHeight="1">
      <c r="A797" s="594">
        <v>22311410</v>
      </c>
      <c r="B797" s="594" t="s">
        <v>1522</v>
      </c>
      <c r="C797" s="596">
        <v>0</v>
      </c>
      <c r="D797" s="595">
        <v>304238.78999999998</v>
      </c>
      <c r="E797" s="595">
        <v>192916.93</v>
      </c>
      <c r="F797" s="595">
        <v>42132.58</v>
      </c>
      <c r="G797" s="596">
        <v>0</v>
      </c>
      <c r="H797" s="595">
        <v>153454.44</v>
      </c>
      <c r="I797" s="594" t="s">
        <v>1523</v>
      </c>
    </row>
    <row r="798" spans="1:9" ht="17.100000000000001" customHeight="1">
      <c r="A798" s="594">
        <v>22311411</v>
      </c>
      <c r="B798" s="594" t="s">
        <v>1524</v>
      </c>
      <c r="C798" s="596">
        <v>0</v>
      </c>
      <c r="D798" s="595">
        <v>3110112.71</v>
      </c>
      <c r="E798" s="595">
        <v>38430.68</v>
      </c>
      <c r="F798" s="595">
        <v>1417334.83</v>
      </c>
      <c r="G798" s="596">
        <v>0</v>
      </c>
      <c r="H798" s="595">
        <v>4489016.8600000003</v>
      </c>
      <c r="I798" s="594" t="s">
        <v>1525</v>
      </c>
    </row>
    <row r="799" spans="1:9" ht="17.100000000000001" customHeight="1">
      <c r="A799" s="594">
        <v>22311412</v>
      </c>
      <c r="B799" s="594" t="s">
        <v>1526</v>
      </c>
      <c r="C799" s="596">
        <v>0</v>
      </c>
      <c r="D799" s="595">
        <v>36565763.039999999</v>
      </c>
      <c r="E799" s="595">
        <v>4664090.9400000004</v>
      </c>
      <c r="F799" s="595">
        <v>3516371.6</v>
      </c>
      <c r="G799" s="596">
        <v>0</v>
      </c>
      <c r="H799" s="595">
        <v>35418043.700000003</v>
      </c>
      <c r="I799" s="594" t="s">
        <v>1527</v>
      </c>
    </row>
    <row r="800" spans="1:9" ht="17.100000000000001" customHeight="1">
      <c r="A800" s="594">
        <v>22311413</v>
      </c>
      <c r="B800" s="594" t="s">
        <v>1528</v>
      </c>
      <c r="C800" s="596">
        <v>0</v>
      </c>
      <c r="D800" s="595">
        <v>4754.16</v>
      </c>
      <c r="E800" s="595">
        <v>7620.48</v>
      </c>
      <c r="F800" s="595">
        <v>3273.33</v>
      </c>
      <c r="G800" s="596">
        <v>0</v>
      </c>
      <c r="H800" s="596">
        <v>407.01</v>
      </c>
      <c r="I800" s="594" t="s">
        <v>1529</v>
      </c>
    </row>
    <row r="801" spans="1:9" ht="17.100000000000001" customHeight="1">
      <c r="A801" s="594">
        <v>22311414</v>
      </c>
      <c r="B801" s="594" t="s">
        <v>1530</v>
      </c>
      <c r="C801" s="596">
        <v>0</v>
      </c>
      <c r="D801" s="595">
        <v>66020.08</v>
      </c>
      <c r="E801" s="596">
        <v>0</v>
      </c>
      <c r="F801" s="595">
        <v>7987.17</v>
      </c>
      <c r="G801" s="596">
        <v>0</v>
      </c>
      <c r="H801" s="595">
        <v>74007.25</v>
      </c>
      <c r="I801" s="594" t="s">
        <v>1531</v>
      </c>
    </row>
    <row r="802" spans="1:9" ht="17.100000000000001" customHeight="1">
      <c r="A802" s="594">
        <v>22311415</v>
      </c>
      <c r="B802" s="594" t="s">
        <v>1532</v>
      </c>
      <c r="C802" s="596">
        <v>0</v>
      </c>
      <c r="D802" s="595">
        <v>512936.35</v>
      </c>
      <c r="E802" s="596">
        <v>89.86</v>
      </c>
      <c r="F802" s="595">
        <v>90440.31</v>
      </c>
      <c r="G802" s="596">
        <v>0</v>
      </c>
      <c r="H802" s="595">
        <v>603286.80000000005</v>
      </c>
      <c r="I802" s="594" t="s">
        <v>1533</v>
      </c>
    </row>
    <row r="803" spans="1:9" ht="28.5" customHeight="1">
      <c r="A803" s="594">
        <v>22311416</v>
      </c>
      <c r="B803" s="594" t="s">
        <v>1534</v>
      </c>
      <c r="C803" s="596">
        <v>0</v>
      </c>
      <c r="D803" s="595">
        <v>1052315.58</v>
      </c>
      <c r="E803" s="595">
        <v>520198.74</v>
      </c>
      <c r="F803" s="595">
        <v>92307.62</v>
      </c>
      <c r="G803" s="596">
        <v>0</v>
      </c>
      <c r="H803" s="595">
        <v>624424.46</v>
      </c>
      <c r="I803" s="594" t="s">
        <v>1535</v>
      </c>
    </row>
    <row r="804" spans="1:9">
      <c r="A804" s="594">
        <v>22311417</v>
      </c>
      <c r="B804" s="594" t="s">
        <v>1536</v>
      </c>
      <c r="C804" s="596">
        <v>0</v>
      </c>
      <c r="D804" s="595">
        <v>10029.25</v>
      </c>
      <c r="E804" s="595">
        <v>14418.3</v>
      </c>
      <c r="F804" s="595">
        <v>6577.95</v>
      </c>
      <c r="G804" s="596">
        <v>0</v>
      </c>
      <c r="H804" s="595">
        <v>2188.9</v>
      </c>
      <c r="I804" s="594" t="s">
        <v>1537</v>
      </c>
    </row>
    <row r="805" spans="1:9">
      <c r="A805" s="594">
        <v>22311418</v>
      </c>
      <c r="B805" s="594" t="s">
        <v>1538</v>
      </c>
      <c r="C805" s="596">
        <v>0</v>
      </c>
      <c r="D805" s="596">
        <v>600.09</v>
      </c>
      <c r="E805" s="596">
        <v>0</v>
      </c>
      <c r="F805" s="596">
        <v>32.56</v>
      </c>
      <c r="G805" s="596">
        <v>0</v>
      </c>
      <c r="H805" s="596">
        <v>632.65</v>
      </c>
      <c r="I805" s="594" t="s">
        <v>1539</v>
      </c>
    </row>
    <row r="806" spans="1:9">
      <c r="A806" s="594">
        <v>22311419</v>
      </c>
      <c r="B806" s="594" t="s">
        <v>1540</v>
      </c>
      <c r="C806" s="596">
        <v>0</v>
      </c>
      <c r="D806" s="595">
        <v>37227.75</v>
      </c>
      <c r="E806" s="595">
        <v>6695</v>
      </c>
      <c r="F806" s="595">
        <v>7226.13</v>
      </c>
      <c r="G806" s="596">
        <v>0</v>
      </c>
      <c r="H806" s="595">
        <v>37758.879999999997</v>
      </c>
      <c r="I806" s="594" t="s">
        <v>1541</v>
      </c>
    </row>
    <row r="807" spans="1:9" ht="28.5" customHeight="1">
      <c r="A807" s="594">
        <v>22311420</v>
      </c>
      <c r="B807" s="594" t="s">
        <v>1542</v>
      </c>
      <c r="C807" s="596">
        <v>0</v>
      </c>
      <c r="D807" s="595">
        <v>9308094.9100000001</v>
      </c>
      <c r="E807" s="595">
        <v>986526.94</v>
      </c>
      <c r="F807" s="595">
        <v>1514375.23</v>
      </c>
      <c r="G807" s="596">
        <v>0</v>
      </c>
      <c r="H807" s="595">
        <v>9835943.1999999993</v>
      </c>
      <c r="I807" s="594" t="s">
        <v>1543</v>
      </c>
    </row>
    <row r="808" spans="1:9" ht="17.100000000000001" customHeight="1">
      <c r="A808" s="594">
        <v>22311425</v>
      </c>
      <c r="B808" s="594" t="s">
        <v>1544</v>
      </c>
      <c r="C808" s="596">
        <v>0</v>
      </c>
      <c r="D808" s="595">
        <v>15811.74</v>
      </c>
      <c r="E808" s="595">
        <v>24545.919999999998</v>
      </c>
      <c r="F808" s="595">
        <v>10754.74</v>
      </c>
      <c r="G808" s="596">
        <v>0</v>
      </c>
      <c r="H808" s="595">
        <v>2020.56</v>
      </c>
      <c r="I808" s="594" t="s">
        <v>1545</v>
      </c>
    </row>
    <row r="809" spans="1:9" ht="17.100000000000001" customHeight="1">
      <c r="A809" s="594">
        <v>22311426</v>
      </c>
      <c r="B809" s="594" t="s">
        <v>1546</v>
      </c>
      <c r="C809" s="596">
        <v>0</v>
      </c>
      <c r="D809" s="596">
        <v>186.29</v>
      </c>
      <c r="E809" s="596">
        <v>0</v>
      </c>
      <c r="F809" s="596">
        <v>155.93</v>
      </c>
      <c r="G809" s="596">
        <v>0</v>
      </c>
      <c r="H809" s="596">
        <v>342.22</v>
      </c>
      <c r="I809" s="594" t="s">
        <v>1547</v>
      </c>
    </row>
    <row r="810" spans="1:9" ht="17.100000000000001" customHeight="1">
      <c r="A810" s="594">
        <v>22311427</v>
      </c>
      <c r="B810" s="594" t="s">
        <v>1548</v>
      </c>
      <c r="C810" s="596">
        <v>0</v>
      </c>
      <c r="D810" s="595">
        <v>32764.03</v>
      </c>
      <c r="E810" s="595">
        <v>13993.83</v>
      </c>
      <c r="F810" s="595">
        <v>11223.45</v>
      </c>
      <c r="G810" s="596">
        <v>0</v>
      </c>
      <c r="H810" s="595">
        <v>29993.65</v>
      </c>
      <c r="I810" s="594" t="s">
        <v>1549</v>
      </c>
    </row>
    <row r="811" spans="1:9" ht="17.100000000000001" customHeight="1">
      <c r="A811" s="594">
        <v>22311428</v>
      </c>
      <c r="B811" s="594" t="s">
        <v>1550</v>
      </c>
      <c r="C811" s="596">
        <v>0</v>
      </c>
      <c r="D811" s="595">
        <v>24695.81</v>
      </c>
      <c r="E811" s="596">
        <v>0</v>
      </c>
      <c r="F811" s="595">
        <v>6263.19</v>
      </c>
      <c r="G811" s="596">
        <v>0</v>
      </c>
      <c r="H811" s="595">
        <v>30959</v>
      </c>
      <c r="I811" s="594" t="s">
        <v>1551</v>
      </c>
    </row>
    <row r="812" spans="1:9" ht="17.100000000000001" customHeight="1">
      <c r="A812" s="594">
        <v>22311433</v>
      </c>
      <c r="B812" s="594" t="s">
        <v>1552</v>
      </c>
      <c r="C812" s="596">
        <v>0</v>
      </c>
      <c r="D812" s="595">
        <v>19135.48</v>
      </c>
      <c r="E812" s="595">
        <v>24351.73</v>
      </c>
      <c r="F812" s="595">
        <v>7826.39</v>
      </c>
      <c r="G812" s="596">
        <v>0</v>
      </c>
      <c r="H812" s="595">
        <v>2610.14</v>
      </c>
      <c r="I812" s="594" t="s">
        <v>1553</v>
      </c>
    </row>
    <row r="813" spans="1:9" ht="17.100000000000001" customHeight="1">
      <c r="A813" s="594">
        <v>22311437</v>
      </c>
      <c r="B813" s="594" t="s">
        <v>2605</v>
      </c>
      <c r="C813" s="596">
        <v>0</v>
      </c>
      <c r="D813" s="596">
        <v>1.22</v>
      </c>
      <c r="E813" s="596">
        <v>1.55</v>
      </c>
      <c r="F813" s="596">
        <v>0.51</v>
      </c>
      <c r="G813" s="596">
        <v>0</v>
      </c>
      <c r="H813" s="596">
        <v>0.18</v>
      </c>
      <c r="I813" s="594" t="s">
        <v>2606</v>
      </c>
    </row>
    <row r="814" spans="1:9" ht="17.100000000000001" customHeight="1">
      <c r="A814" s="594">
        <v>22311441</v>
      </c>
      <c r="B814" s="594" t="s">
        <v>1554</v>
      </c>
      <c r="C814" s="596">
        <v>0</v>
      </c>
      <c r="D814" s="596">
        <v>2.96</v>
      </c>
      <c r="E814" s="596">
        <v>3.79</v>
      </c>
      <c r="F814" s="596">
        <v>1.24</v>
      </c>
      <c r="G814" s="596">
        <v>0</v>
      </c>
      <c r="H814" s="596">
        <v>0.41</v>
      </c>
      <c r="I814" s="594" t="s">
        <v>1555</v>
      </c>
    </row>
    <row r="815" spans="1:9" ht="17.100000000000001" customHeight="1">
      <c r="A815" s="594">
        <v>22311449</v>
      </c>
      <c r="B815" s="594" t="s">
        <v>1556</v>
      </c>
      <c r="C815" s="596">
        <v>0</v>
      </c>
      <c r="D815" s="596">
        <v>0.73</v>
      </c>
      <c r="E815" s="596">
        <v>0.93</v>
      </c>
      <c r="F815" s="596">
        <v>0.3</v>
      </c>
      <c r="G815" s="596">
        <v>0</v>
      </c>
      <c r="H815" s="596">
        <v>0.1</v>
      </c>
      <c r="I815" s="594" t="s">
        <v>1557</v>
      </c>
    </row>
    <row r="816" spans="1:9" ht="17.100000000000001" customHeight="1">
      <c r="A816" s="594">
        <v>22311457</v>
      </c>
      <c r="B816" s="594" t="s">
        <v>1558</v>
      </c>
      <c r="C816" s="596">
        <v>0</v>
      </c>
      <c r="D816" s="595">
        <v>78011.45</v>
      </c>
      <c r="E816" s="595">
        <v>92650.61</v>
      </c>
      <c r="F816" s="595">
        <v>21747.77</v>
      </c>
      <c r="G816" s="596">
        <v>0</v>
      </c>
      <c r="H816" s="595">
        <v>7108.61</v>
      </c>
      <c r="I816" s="594" t="s">
        <v>1559</v>
      </c>
    </row>
    <row r="817" spans="1:9" ht="17.100000000000001" customHeight="1">
      <c r="A817" s="594">
        <v>22311458</v>
      </c>
      <c r="B817" s="594" t="s">
        <v>1560</v>
      </c>
      <c r="C817" s="596">
        <v>0</v>
      </c>
      <c r="D817" s="595">
        <v>9881.4699999999993</v>
      </c>
      <c r="E817" s="596">
        <v>29.02</v>
      </c>
      <c r="F817" s="596">
        <v>5.67</v>
      </c>
      <c r="G817" s="596">
        <v>0</v>
      </c>
      <c r="H817" s="595">
        <v>9858.1200000000008</v>
      </c>
      <c r="I817" s="594" t="s">
        <v>1561</v>
      </c>
    </row>
    <row r="818" spans="1:9" ht="17.100000000000001" customHeight="1">
      <c r="A818" s="594">
        <v>22311459</v>
      </c>
      <c r="B818" s="594" t="s">
        <v>1562</v>
      </c>
      <c r="C818" s="596">
        <v>0</v>
      </c>
      <c r="D818" s="595">
        <v>179351.4</v>
      </c>
      <c r="E818" s="595">
        <v>3030.42</v>
      </c>
      <c r="F818" s="595">
        <v>21456.97</v>
      </c>
      <c r="G818" s="596">
        <v>0</v>
      </c>
      <c r="H818" s="595">
        <v>197777.95</v>
      </c>
      <c r="I818" s="594" t="s">
        <v>1563</v>
      </c>
    </row>
    <row r="819" spans="1:9" ht="17.100000000000001" customHeight="1">
      <c r="A819" s="594">
        <v>22311460</v>
      </c>
      <c r="B819" s="594" t="s">
        <v>1564</v>
      </c>
      <c r="C819" s="596">
        <v>0</v>
      </c>
      <c r="D819" s="595">
        <v>2050689.79</v>
      </c>
      <c r="E819" s="595">
        <v>76021.039999999994</v>
      </c>
      <c r="F819" s="595">
        <v>346566.74</v>
      </c>
      <c r="G819" s="596">
        <v>0</v>
      </c>
      <c r="H819" s="595">
        <v>2321235.4900000002</v>
      </c>
      <c r="I819" s="594" t="s">
        <v>1565</v>
      </c>
    </row>
    <row r="820" spans="1:9" ht="17.100000000000001" customHeight="1">
      <c r="A820" s="594">
        <v>22311461</v>
      </c>
      <c r="B820" s="594" t="s">
        <v>1566</v>
      </c>
      <c r="C820" s="596">
        <v>0</v>
      </c>
      <c r="D820" s="596">
        <v>915.95</v>
      </c>
      <c r="E820" s="595">
        <v>1869.84</v>
      </c>
      <c r="F820" s="595">
        <v>1250.03</v>
      </c>
      <c r="G820" s="596">
        <v>0</v>
      </c>
      <c r="H820" s="596">
        <v>296.14</v>
      </c>
      <c r="I820" s="594" t="s">
        <v>1567</v>
      </c>
    </row>
    <row r="821" spans="1:9" ht="17.100000000000001" customHeight="1">
      <c r="A821" s="594">
        <v>22311462</v>
      </c>
      <c r="B821" s="594" t="s">
        <v>2823</v>
      </c>
      <c r="C821" s="596">
        <v>0</v>
      </c>
      <c r="D821" s="595">
        <v>4943.42</v>
      </c>
      <c r="E821" s="596">
        <v>367.27</v>
      </c>
      <c r="F821" s="596">
        <v>14.79</v>
      </c>
      <c r="G821" s="596">
        <v>0</v>
      </c>
      <c r="H821" s="595">
        <v>4590.9399999999996</v>
      </c>
      <c r="I821" s="594" t="s">
        <v>2824</v>
      </c>
    </row>
    <row r="822" spans="1:9" ht="17.100000000000001" customHeight="1">
      <c r="A822" s="594">
        <v>22311463</v>
      </c>
      <c r="B822" s="594" t="s">
        <v>1568</v>
      </c>
      <c r="C822" s="596">
        <v>0</v>
      </c>
      <c r="D822" s="595">
        <v>175881.99</v>
      </c>
      <c r="E822" s="596">
        <v>0</v>
      </c>
      <c r="F822" s="595">
        <v>21284.11</v>
      </c>
      <c r="G822" s="596">
        <v>0</v>
      </c>
      <c r="H822" s="595">
        <v>197166.1</v>
      </c>
      <c r="I822" s="594" t="s">
        <v>1569</v>
      </c>
    </row>
    <row r="823" spans="1:9" ht="17.100000000000001" customHeight="1">
      <c r="A823" s="594">
        <v>22311464</v>
      </c>
      <c r="B823" s="594" t="s">
        <v>1570</v>
      </c>
      <c r="C823" s="596">
        <v>0</v>
      </c>
      <c r="D823" s="595">
        <v>125632.7</v>
      </c>
      <c r="E823" s="596">
        <v>47.3</v>
      </c>
      <c r="F823" s="595">
        <v>18749.02</v>
      </c>
      <c r="G823" s="596">
        <v>0</v>
      </c>
      <c r="H823" s="595">
        <v>144334.42000000001</v>
      </c>
      <c r="I823" s="594" t="s">
        <v>1571</v>
      </c>
    </row>
    <row r="824" spans="1:9" ht="17.100000000000001" customHeight="1">
      <c r="A824" s="594">
        <v>22311465</v>
      </c>
      <c r="B824" s="594" t="s">
        <v>3459</v>
      </c>
      <c r="C824" s="596">
        <v>0</v>
      </c>
      <c r="D824" s="596">
        <v>0.13</v>
      </c>
      <c r="E824" s="596">
        <v>0</v>
      </c>
      <c r="F824" s="596">
        <v>0.02</v>
      </c>
      <c r="G824" s="596">
        <v>0</v>
      </c>
      <c r="H824" s="596">
        <v>0.15</v>
      </c>
      <c r="I824" s="594" t="s">
        <v>3460</v>
      </c>
    </row>
    <row r="825" spans="1:9" ht="17.100000000000001" customHeight="1">
      <c r="A825" s="594">
        <v>22311466</v>
      </c>
      <c r="B825" s="594" t="s">
        <v>2685</v>
      </c>
      <c r="C825" s="596">
        <v>0</v>
      </c>
      <c r="D825" s="595">
        <v>13622181.16</v>
      </c>
      <c r="E825" s="596">
        <v>0</v>
      </c>
      <c r="F825" s="595">
        <v>801919.81</v>
      </c>
      <c r="G825" s="596">
        <v>0</v>
      </c>
      <c r="H825" s="595">
        <v>14424100.970000001</v>
      </c>
      <c r="I825" s="594" t="s">
        <v>2686</v>
      </c>
    </row>
    <row r="826" spans="1:9" ht="17.100000000000001" customHeight="1">
      <c r="A826" s="594">
        <v>22311467</v>
      </c>
      <c r="B826" s="594" t="s">
        <v>2825</v>
      </c>
      <c r="C826" s="596">
        <v>0</v>
      </c>
      <c r="D826" s="595">
        <v>6246469.9699999997</v>
      </c>
      <c r="E826" s="596">
        <v>0</v>
      </c>
      <c r="F826" s="595">
        <v>1070082.8500000001</v>
      </c>
      <c r="G826" s="596">
        <v>0</v>
      </c>
      <c r="H826" s="595">
        <v>7316552.8200000003</v>
      </c>
      <c r="I826" s="594" t="s">
        <v>2826</v>
      </c>
    </row>
    <row r="827" spans="1:9" ht="17.100000000000001" customHeight="1">
      <c r="A827" s="594">
        <v>22311472</v>
      </c>
      <c r="B827" s="594" t="s">
        <v>2827</v>
      </c>
      <c r="C827" s="596">
        <v>0</v>
      </c>
      <c r="D827" s="595">
        <v>1272483.6000000001</v>
      </c>
      <c r="E827" s="596">
        <v>0</v>
      </c>
      <c r="F827" s="595">
        <v>74771.679999999993</v>
      </c>
      <c r="G827" s="596">
        <v>0</v>
      </c>
      <c r="H827" s="595">
        <v>1347255.28</v>
      </c>
      <c r="I827" s="594" t="s">
        <v>2828</v>
      </c>
    </row>
    <row r="828" spans="1:9" ht="17.100000000000001" customHeight="1">
      <c r="A828" s="320"/>
      <c r="B828" s="320"/>
      <c r="C828" s="320"/>
      <c r="D828" s="557" t="s">
        <v>4198</v>
      </c>
      <c r="E828" s="320" t="s">
        <v>3752</v>
      </c>
      <c r="F828" s="320"/>
      <c r="G828" s="320"/>
      <c r="H828" s="320"/>
      <c r="I828" s="320"/>
    </row>
    <row r="829" spans="1:9" ht="17.100000000000001" customHeight="1">
      <c r="A829" s="671"/>
      <c r="B829" s="671"/>
      <c r="C829" s="671"/>
      <c r="D829" s="671"/>
      <c r="E829" s="671"/>
      <c r="F829" s="671"/>
      <c r="G829" s="671"/>
      <c r="H829" s="671"/>
      <c r="I829" s="671"/>
    </row>
    <row r="830" spans="1:9" ht="17.100000000000001" customHeight="1">
      <c r="A830" s="320"/>
      <c r="B830" s="320"/>
      <c r="C830" s="589" t="s">
        <v>3707</v>
      </c>
      <c r="D830" s="320"/>
      <c r="E830" s="320"/>
      <c r="F830" s="671"/>
      <c r="G830" s="671"/>
      <c r="H830" s="671"/>
      <c r="I830" s="671"/>
    </row>
    <row r="831" spans="1:9" ht="17.100000000000001" customHeight="1">
      <c r="A831" s="590" t="s">
        <v>3708</v>
      </c>
      <c r="B831" s="590"/>
      <c r="C831" s="597">
        <v>42887</v>
      </c>
      <c r="D831" s="590"/>
      <c r="E831" s="557" t="s">
        <v>3709</v>
      </c>
      <c r="F831" s="671"/>
      <c r="G831" s="671"/>
      <c r="H831" s="671"/>
      <c r="I831" s="671"/>
    </row>
    <row r="832" spans="1:9" ht="17.100000000000001" customHeight="1">
      <c r="A832" s="593" t="s">
        <v>596</v>
      </c>
      <c r="B832" s="593" t="s">
        <v>597</v>
      </c>
      <c r="C832" s="593" t="s">
        <v>3710</v>
      </c>
      <c r="D832" s="593" t="s">
        <v>3711</v>
      </c>
      <c r="E832" s="593" t="s">
        <v>3712</v>
      </c>
      <c r="F832" s="593" t="s">
        <v>3713</v>
      </c>
      <c r="G832" s="593" t="s">
        <v>3714</v>
      </c>
      <c r="H832" s="593" t="s">
        <v>3715</v>
      </c>
      <c r="I832" s="593" t="s">
        <v>596</v>
      </c>
    </row>
    <row r="833" spans="1:9" ht="17.100000000000001" customHeight="1">
      <c r="A833" s="594">
        <v>22311474</v>
      </c>
      <c r="B833" s="594" t="s">
        <v>3880</v>
      </c>
      <c r="C833" s="596">
        <v>0</v>
      </c>
      <c r="D833" s="595">
        <v>4794.0200000000004</v>
      </c>
      <c r="E833" s="596">
        <v>0</v>
      </c>
      <c r="F833" s="595">
        <v>2420.92</v>
      </c>
      <c r="G833" s="596">
        <v>0</v>
      </c>
      <c r="H833" s="595">
        <v>7214.94</v>
      </c>
      <c r="I833" s="594" t="s">
        <v>3881</v>
      </c>
    </row>
    <row r="834" spans="1:9" ht="17.100000000000001" customHeight="1">
      <c r="A834" s="594">
        <v>223115</v>
      </c>
      <c r="B834" s="594" t="s">
        <v>1572</v>
      </c>
      <c r="C834" s="596">
        <v>0</v>
      </c>
      <c r="D834" s="595">
        <v>376967945.27999997</v>
      </c>
      <c r="E834" s="595">
        <v>194141643.83000001</v>
      </c>
      <c r="F834" s="595">
        <v>20362865.210000001</v>
      </c>
      <c r="G834" s="596">
        <v>0</v>
      </c>
      <c r="H834" s="595">
        <v>203189166.66</v>
      </c>
      <c r="I834" s="594" t="s">
        <v>1573</v>
      </c>
    </row>
    <row r="835" spans="1:9" ht="17.100000000000001" customHeight="1">
      <c r="A835" s="594">
        <v>22311501</v>
      </c>
      <c r="B835" s="594" t="s">
        <v>1572</v>
      </c>
      <c r="C835" s="596">
        <v>0</v>
      </c>
      <c r="D835" s="595">
        <v>376967945.27999997</v>
      </c>
      <c r="E835" s="595">
        <v>194141643.83000001</v>
      </c>
      <c r="F835" s="595">
        <v>20362865.210000001</v>
      </c>
      <c r="G835" s="596">
        <v>0</v>
      </c>
      <c r="H835" s="595">
        <v>203189166.66</v>
      </c>
      <c r="I835" s="594" t="s">
        <v>1574</v>
      </c>
    </row>
    <row r="836" spans="1:9" ht="17.100000000000001" customHeight="1">
      <c r="A836" s="594">
        <v>223117</v>
      </c>
      <c r="B836" s="594" t="s">
        <v>1575</v>
      </c>
      <c r="C836" s="596">
        <v>0</v>
      </c>
      <c r="D836" s="595">
        <v>338366559</v>
      </c>
      <c r="E836" s="595">
        <v>113959360.33</v>
      </c>
      <c r="F836" s="595">
        <v>130667758.84</v>
      </c>
      <c r="G836" s="596">
        <v>0</v>
      </c>
      <c r="H836" s="595">
        <v>355074957.50999999</v>
      </c>
      <c r="I836" s="594" t="s">
        <v>1576</v>
      </c>
    </row>
    <row r="837" spans="1:9" ht="17.100000000000001" customHeight="1">
      <c r="A837" s="594">
        <v>22311701</v>
      </c>
      <c r="B837" s="594" t="s">
        <v>3461</v>
      </c>
      <c r="C837" s="596">
        <v>0</v>
      </c>
      <c r="D837" s="596">
        <v>-504.12</v>
      </c>
      <c r="E837" s="595">
        <v>13803043</v>
      </c>
      <c r="F837" s="595">
        <v>13803043</v>
      </c>
      <c r="G837" s="596">
        <v>0</v>
      </c>
      <c r="H837" s="596">
        <v>-504.12</v>
      </c>
      <c r="I837" s="594" t="s">
        <v>3462</v>
      </c>
    </row>
    <row r="838" spans="1:9" ht="17.100000000000001" customHeight="1">
      <c r="A838" s="594">
        <v>22311702</v>
      </c>
      <c r="B838" s="594" t="s">
        <v>1577</v>
      </c>
      <c r="C838" s="596">
        <v>0</v>
      </c>
      <c r="D838" s="595">
        <v>179371919.13</v>
      </c>
      <c r="E838" s="595">
        <v>52186798.350000001</v>
      </c>
      <c r="F838" s="595">
        <v>53196936.939999998</v>
      </c>
      <c r="G838" s="596">
        <v>0</v>
      </c>
      <c r="H838" s="595">
        <v>180382057.72</v>
      </c>
      <c r="I838" s="594" t="s">
        <v>1578</v>
      </c>
    </row>
    <row r="839" spans="1:9" ht="17.100000000000001" customHeight="1">
      <c r="A839" s="594">
        <v>22311703</v>
      </c>
      <c r="B839" s="594" t="s">
        <v>3463</v>
      </c>
      <c r="C839" s="596">
        <v>0</v>
      </c>
      <c r="D839" s="596">
        <v>0</v>
      </c>
      <c r="E839" s="595">
        <v>9546549.9199999999</v>
      </c>
      <c r="F839" s="595">
        <v>9546549.9199999999</v>
      </c>
      <c r="G839" s="596">
        <v>0</v>
      </c>
      <c r="H839" s="596">
        <v>0</v>
      </c>
      <c r="I839" s="594" t="s">
        <v>3464</v>
      </c>
    </row>
    <row r="840" spans="1:9" ht="17.100000000000001" customHeight="1">
      <c r="A840" s="594">
        <v>22311704</v>
      </c>
      <c r="B840" s="594" t="s">
        <v>1579</v>
      </c>
      <c r="C840" s="596">
        <v>0</v>
      </c>
      <c r="D840" s="595">
        <v>149306590.22</v>
      </c>
      <c r="E840" s="595">
        <v>36868170.170000002</v>
      </c>
      <c r="F840" s="595">
        <v>47277798.109999999</v>
      </c>
      <c r="G840" s="596">
        <v>0</v>
      </c>
      <c r="H840" s="595">
        <v>159716218.16</v>
      </c>
      <c r="I840" s="594" t="s">
        <v>1580</v>
      </c>
    </row>
    <row r="841" spans="1:9" ht="17.100000000000001" customHeight="1">
      <c r="A841" s="594">
        <v>22311705</v>
      </c>
      <c r="B841" s="594" t="s">
        <v>2829</v>
      </c>
      <c r="C841" s="596">
        <v>0</v>
      </c>
      <c r="D841" s="595">
        <v>9688553.7699999996</v>
      </c>
      <c r="E841" s="595">
        <v>1554798.89</v>
      </c>
      <c r="F841" s="595">
        <v>6843430.8700000001</v>
      </c>
      <c r="G841" s="596">
        <v>0</v>
      </c>
      <c r="H841" s="595">
        <v>14977185.75</v>
      </c>
      <c r="I841" s="594" t="s">
        <v>2830</v>
      </c>
    </row>
    <row r="842" spans="1:9" ht="28.5" customHeight="1">
      <c r="A842" s="594">
        <v>223118</v>
      </c>
      <c r="B842" s="594" t="s">
        <v>1581</v>
      </c>
      <c r="C842" s="596">
        <v>0</v>
      </c>
      <c r="D842" s="595">
        <v>30798054.25</v>
      </c>
      <c r="E842" s="595">
        <v>31413698.629999999</v>
      </c>
      <c r="F842" s="595">
        <v>16229164.970000001</v>
      </c>
      <c r="G842" s="596">
        <v>0</v>
      </c>
      <c r="H842" s="595">
        <v>15613520.59</v>
      </c>
      <c r="I842" s="594" t="s">
        <v>1582</v>
      </c>
    </row>
    <row r="843" spans="1:9">
      <c r="A843" s="594">
        <v>22311801</v>
      </c>
      <c r="B843" s="594" t="s">
        <v>1581</v>
      </c>
      <c r="C843" s="596">
        <v>0</v>
      </c>
      <c r="D843" s="595">
        <v>30798054.25</v>
      </c>
      <c r="E843" s="595">
        <v>31413698.629999999</v>
      </c>
      <c r="F843" s="595">
        <v>16229164.970000001</v>
      </c>
      <c r="G843" s="596">
        <v>0</v>
      </c>
      <c r="H843" s="595">
        <v>15613520.59</v>
      </c>
      <c r="I843" s="594" t="s">
        <v>1583</v>
      </c>
    </row>
    <row r="844" spans="1:9">
      <c r="A844" s="594">
        <v>223119</v>
      </c>
      <c r="B844" s="594" t="s">
        <v>4244</v>
      </c>
      <c r="C844" s="596">
        <v>0</v>
      </c>
      <c r="D844" s="596">
        <v>0</v>
      </c>
      <c r="E844" s="595">
        <v>-2194309.7599999998</v>
      </c>
      <c r="F844" s="595">
        <v>-2194309.7599999998</v>
      </c>
      <c r="G844" s="596">
        <v>0</v>
      </c>
      <c r="H844" s="596">
        <v>0</v>
      </c>
      <c r="I844" s="594" t="s">
        <v>4245</v>
      </c>
    </row>
    <row r="845" spans="1:9">
      <c r="A845" s="594">
        <v>22311901</v>
      </c>
      <c r="B845" s="594" t="s">
        <v>4246</v>
      </c>
      <c r="C845" s="596">
        <v>0</v>
      </c>
      <c r="D845" s="595">
        <v>-2194309.7599999998</v>
      </c>
      <c r="E845" s="595">
        <v>-2194309.7599999998</v>
      </c>
      <c r="F845" s="596">
        <v>0</v>
      </c>
      <c r="G845" s="596">
        <v>0</v>
      </c>
      <c r="H845" s="596">
        <v>0</v>
      </c>
      <c r="I845" s="594" t="s">
        <v>4247</v>
      </c>
    </row>
    <row r="846" spans="1:9" ht="28.5" customHeight="1">
      <c r="A846" s="594">
        <v>22311999</v>
      </c>
      <c r="B846" s="594" t="s">
        <v>4248</v>
      </c>
      <c r="C846" s="596">
        <v>0</v>
      </c>
      <c r="D846" s="595">
        <v>2194309.7599999998</v>
      </c>
      <c r="E846" s="596">
        <v>0</v>
      </c>
      <c r="F846" s="595">
        <v>-2194309.7599999998</v>
      </c>
      <c r="G846" s="596">
        <v>0</v>
      </c>
      <c r="H846" s="596">
        <v>0</v>
      </c>
      <c r="I846" s="594" t="s">
        <v>4249</v>
      </c>
    </row>
    <row r="847" spans="1:9" ht="17.100000000000001" customHeight="1">
      <c r="A847" s="594">
        <v>223199</v>
      </c>
      <c r="B847" s="594" t="s">
        <v>1584</v>
      </c>
      <c r="C847" s="596">
        <v>0</v>
      </c>
      <c r="D847" s="595">
        <v>2036191.05</v>
      </c>
      <c r="E847" s="595">
        <v>15388.09</v>
      </c>
      <c r="F847" s="595">
        <v>9199.0400000000009</v>
      </c>
      <c r="G847" s="596">
        <v>0</v>
      </c>
      <c r="H847" s="595">
        <v>2030002</v>
      </c>
      <c r="I847" s="594" t="s">
        <v>1585</v>
      </c>
    </row>
    <row r="848" spans="1:9" ht="17.100000000000001" customHeight="1">
      <c r="A848" s="594">
        <v>22319999</v>
      </c>
      <c r="B848" s="594" t="s">
        <v>1584</v>
      </c>
      <c r="C848" s="596">
        <v>0</v>
      </c>
      <c r="D848" s="595">
        <v>2036191.05</v>
      </c>
      <c r="E848" s="595">
        <v>15388.09</v>
      </c>
      <c r="F848" s="595">
        <v>9199.0400000000009</v>
      </c>
      <c r="G848" s="596">
        <v>0</v>
      </c>
      <c r="H848" s="595">
        <v>2030002</v>
      </c>
      <c r="I848" s="594" t="s">
        <v>1586</v>
      </c>
    </row>
    <row r="849" spans="1:9" ht="17.100000000000001" customHeight="1">
      <c r="A849" s="594">
        <v>2232</v>
      </c>
      <c r="B849" s="594" t="s">
        <v>4250</v>
      </c>
      <c r="C849" s="596">
        <v>0</v>
      </c>
      <c r="D849" s="596">
        <v>0</v>
      </c>
      <c r="E849" s="595">
        <v>1630683907.8</v>
      </c>
      <c r="F849" s="595">
        <v>1630683907.8</v>
      </c>
      <c r="G849" s="596">
        <v>0</v>
      </c>
      <c r="H849" s="596">
        <v>0</v>
      </c>
      <c r="I849" s="594" t="s">
        <v>4251</v>
      </c>
    </row>
    <row r="850" spans="1:9" ht="17.100000000000001" customHeight="1">
      <c r="A850" s="594">
        <v>223201</v>
      </c>
      <c r="B850" s="594" t="s">
        <v>4250</v>
      </c>
      <c r="C850" s="596">
        <v>0</v>
      </c>
      <c r="D850" s="596">
        <v>0</v>
      </c>
      <c r="E850" s="595">
        <v>1630683907.8</v>
      </c>
      <c r="F850" s="595">
        <v>1630683907.8</v>
      </c>
      <c r="G850" s="596">
        <v>0</v>
      </c>
      <c r="H850" s="596">
        <v>0</v>
      </c>
      <c r="I850" s="594" t="s">
        <v>4252</v>
      </c>
    </row>
    <row r="851" spans="1:9" ht="17.100000000000001" customHeight="1">
      <c r="A851" s="594">
        <v>22320101</v>
      </c>
      <c r="B851" s="594" t="s">
        <v>4250</v>
      </c>
      <c r="C851" s="596">
        <v>0</v>
      </c>
      <c r="D851" s="596">
        <v>0</v>
      </c>
      <c r="E851" s="595">
        <v>1630683907.8</v>
      </c>
      <c r="F851" s="595">
        <v>1630683907.8</v>
      </c>
      <c r="G851" s="596">
        <v>0</v>
      </c>
      <c r="H851" s="596">
        <v>0</v>
      </c>
      <c r="I851" s="594" t="s">
        <v>4253</v>
      </c>
    </row>
    <row r="852" spans="1:9" ht="17.100000000000001" customHeight="1">
      <c r="A852" s="594">
        <v>2241</v>
      </c>
      <c r="B852" s="594" t="s">
        <v>1587</v>
      </c>
      <c r="C852" s="596">
        <v>0</v>
      </c>
      <c r="D852" s="595">
        <v>867787942.97000003</v>
      </c>
      <c r="E852" s="595">
        <v>2275099756444.5498</v>
      </c>
      <c r="F852" s="595">
        <v>2276097794335.6401</v>
      </c>
      <c r="G852" s="596">
        <v>0</v>
      </c>
      <c r="H852" s="595">
        <v>1865825834.0599999</v>
      </c>
      <c r="I852" s="594" t="s">
        <v>1588</v>
      </c>
    </row>
    <row r="853" spans="1:9" ht="17.100000000000001" customHeight="1">
      <c r="A853" s="594">
        <v>224101</v>
      </c>
      <c r="B853" s="594" t="s">
        <v>797</v>
      </c>
      <c r="C853" s="596">
        <v>0</v>
      </c>
      <c r="D853" s="596">
        <v>0.02</v>
      </c>
      <c r="E853" s="595">
        <v>121770</v>
      </c>
      <c r="F853" s="595">
        <v>121770</v>
      </c>
      <c r="G853" s="596">
        <v>0</v>
      </c>
      <c r="H853" s="596">
        <v>0.02</v>
      </c>
      <c r="I853" s="594" t="s">
        <v>1589</v>
      </c>
    </row>
    <row r="854" spans="1:9" ht="17.100000000000001" customHeight="1">
      <c r="A854" s="594">
        <v>22410199</v>
      </c>
      <c r="B854" s="594" t="s">
        <v>1590</v>
      </c>
      <c r="C854" s="596">
        <v>0</v>
      </c>
      <c r="D854" s="596">
        <v>0.02</v>
      </c>
      <c r="E854" s="595">
        <v>121770</v>
      </c>
      <c r="F854" s="595">
        <v>121770</v>
      </c>
      <c r="G854" s="596">
        <v>0</v>
      </c>
      <c r="H854" s="596">
        <v>0.02</v>
      </c>
      <c r="I854" s="594" t="s">
        <v>1591</v>
      </c>
    </row>
    <row r="855" spans="1:9" ht="17.100000000000001" customHeight="1">
      <c r="A855" s="594">
        <v>224102</v>
      </c>
      <c r="B855" s="594" t="s">
        <v>1592</v>
      </c>
      <c r="C855" s="596">
        <v>0</v>
      </c>
      <c r="D855" s="595">
        <v>4067.82</v>
      </c>
      <c r="E855" s="596">
        <v>0</v>
      </c>
      <c r="F855" s="596">
        <v>0</v>
      </c>
      <c r="G855" s="596">
        <v>0</v>
      </c>
      <c r="H855" s="595">
        <v>4067.82</v>
      </c>
      <c r="I855" s="594" t="s">
        <v>1593</v>
      </c>
    </row>
    <row r="856" spans="1:9" ht="17.100000000000001" customHeight="1">
      <c r="A856" s="594">
        <v>22410201</v>
      </c>
      <c r="B856" s="594" t="s">
        <v>1592</v>
      </c>
      <c r="C856" s="596">
        <v>0</v>
      </c>
      <c r="D856" s="595">
        <v>4067.82</v>
      </c>
      <c r="E856" s="596">
        <v>0</v>
      </c>
      <c r="F856" s="596">
        <v>0</v>
      </c>
      <c r="G856" s="596">
        <v>0</v>
      </c>
      <c r="H856" s="595">
        <v>4067.82</v>
      </c>
      <c r="I856" s="594" t="s">
        <v>1594</v>
      </c>
    </row>
    <row r="857" spans="1:9" ht="17.100000000000001" customHeight="1">
      <c r="A857" s="594">
        <v>224104</v>
      </c>
      <c r="B857" s="594" t="s">
        <v>1595</v>
      </c>
      <c r="C857" s="596">
        <v>0</v>
      </c>
      <c r="D857" s="595">
        <v>735494.45</v>
      </c>
      <c r="E857" s="595">
        <v>86733056.739999995</v>
      </c>
      <c r="F857" s="595">
        <v>86515578.030000001</v>
      </c>
      <c r="G857" s="596">
        <v>0</v>
      </c>
      <c r="H857" s="595">
        <v>518015.74</v>
      </c>
      <c r="I857" s="594" t="s">
        <v>1596</v>
      </c>
    </row>
    <row r="858" spans="1:9" ht="28.5" customHeight="1">
      <c r="A858" s="594">
        <v>22410401</v>
      </c>
      <c r="B858" s="594" t="s">
        <v>1595</v>
      </c>
      <c r="C858" s="596">
        <v>0</v>
      </c>
      <c r="D858" s="595">
        <v>735494.45</v>
      </c>
      <c r="E858" s="595">
        <v>86733056.739999995</v>
      </c>
      <c r="F858" s="595">
        <v>86515578.030000001</v>
      </c>
      <c r="G858" s="596">
        <v>0</v>
      </c>
      <c r="H858" s="595">
        <v>518015.74</v>
      </c>
      <c r="I858" s="594" t="s">
        <v>1597</v>
      </c>
    </row>
    <row r="859" spans="1:9">
      <c r="A859" s="594">
        <v>224105</v>
      </c>
      <c r="B859" s="594" t="s">
        <v>1598</v>
      </c>
      <c r="C859" s="596">
        <v>0</v>
      </c>
      <c r="D859" s="595">
        <v>159782.46</v>
      </c>
      <c r="E859" s="595">
        <v>920356</v>
      </c>
      <c r="F859" s="595">
        <v>881146</v>
      </c>
      <c r="G859" s="596">
        <v>0</v>
      </c>
      <c r="H859" s="595">
        <v>120572.46</v>
      </c>
      <c r="I859" s="594" t="s">
        <v>1599</v>
      </c>
    </row>
    <row r="860" spans="1:9">
      <c r="A860" s="594">
        <v>22410501</v>
      </c>
      <c r="B860" s="594" t="s">
        <v>1598</v>
      </c>
      <c r="C860" s="596">
        <v>0</v>
      </c>
      <c r="D860" s="595">
        <v>159782.46</v>
      </c>
      <c r="E860" s="595">
        <v>920356</v>
      </c>
      <c r="F860" s="595">
        <v>881146</v>
      </c>
      <c r="G860" s="596">
        <v>0</v>
      </c>
      <c r="H860" s="595">
        <v>120572.46</v>
      </c>
      <c r="I860" s="594" t="s">
        <v>1600</v>
      </c>
    </row>
    <row r="861" spans="1:9">
      <c r="A861" s="594">
        <v>224106</v>
      </c>
      <c r="B861" s="594" t="s">
        <v>1601</v>
      </c>
      <c r="C861" s="596">
        <v>0</v>
      </c>
      <c r="D861" s="595">
        <v>902268</v>
      </c>
      <c r="E861" s="595">
        <v>13923611881.530001</v>
      </c>
      <c r="F861" s="595">
        <v>13923389790.530001</v>
      </c>
      <c r="G861" s="596">
        <v>0</v>
      </c>
      <c r="H861" s="595">
        <v>680177</v>
      </c>
      <c r="I861" s="594" t="s">
        <v>1602</v>
      </c>
    </row>
    <row r="862" spans="1:9" ht="28.5" customHeight="1">
      <c r="A862" s="594">
        <v>22410601</v>
      </c>
      <c r="B862" s="594" t="s">
        <v>1601</v>
      </c>
      <c r="C862" s="596">
        <v>0</v>
      </c>
      <c r="D862" s="595">
        <v>902268</v>
      </c>
      <c r="E862" s="595">
        <v>13923611881.530001</v>
      </c>
      <c r="F862" s="595">
        <v>13923389790.530001</v>
      </c>
      <c r="G862" s="596">
        <v>0</v>
      </c>
      <c r="H862" s="595">
        <v>680177</v>
      </c>
      <c r="I862" s="594" t="s">
        <v>1603</v>
      </c>
    </row>
    <row r="863" spans="1:9" ht="17.100000000000001" customHeight="1">
      <c r="A863" s="594">
        <v>224107</v>
      </c>
      <c r="B863" s="594" t="s">
        <v>809</v>
      </c>
      <c r="C863" s="596">
        <v>0</v>
      </c>
      <c r="D863" s="595">
        <v>296994751.5</v>
      </c>
      <c r="E863" s="595">
        <v>887593240192.84998</v>
      </c>
      <c r="F863" s="595">
        <v>888274877638.25</v>
      </c>
      <c r="G863" s="596">
        <v>0</v>
      </c>
      <c r="H863" s="595">
        <v>978632196.89999998</v>
      </c>
      <c r="I863" s="594" t="s">
        <v>1604</v>
      </c>
    </row>
    <row r="864" spans="1:9" ht="17.100000000000001" customHeight="1">
      <c r="A864" s="594">
        <v>22410701</v>
      </c>
      <c r="B864" s="594" t="s">
        <v>809</v>
      </c>
      <c r="C864" s="596">
        <v>0</v>
      </c>
      <c r="D864" s="595">
        <v>296994751.5</v>
      </c>
      <c r="E864" s="595">
        <v>887593240192.84998</v>
      </c>
      <c r="F864" s="595">
        <v>888274877638.25</v>
      </c>
      <c r="G864" s="596">
        <v>0</v>
      </c>
      <c r="H864" s="595">
        <v>978632196.89999998</v>
      </c>
      <c r="I864" s="594" t="s">
        <v>1605</v>
      </c>
    </row>
    <row r="865" spans="1:9" ht="17.100000000000001" customHeight="1">
      <c r="A865" s="594">
        <v>224108</v>
      </c>
      <c r="B865" s="594" t="s">
        <v>1606</v>
      </c>
      <c r="C865" s="596">
        <v>0</v>
      </c>
      <c r="D865" s="595">
        <v>32713161.710000001</v>
      </c>
      <c r="E865" s="595">
        <v>618573.80000000005</v>
      </c>
      <c r="F865" s="595">
        <v>420567.31</v>
      </c>
      <c r="G865" s="596">
        <v>0</v>
      </c>
      <c r="H865" s="595">
        <v>32515155.219999999</v>
      </c>
      <c r="I865" s="594" t="s">
        <v>1607</v>
      </c>
    </row>
    <row r="866" spans="1:9" ht="17.100000000000001" customHeight="1">
      <c r="A866" s="594">
        <v>22410801</v>
      </c>
      <c r="B866" s="594" t="s">
        <v>1606</v>
      </c>
      <c r="C866" s="596">
        <v>0</v>
      </c>
      <c r="D866" s="595">
        <v>32713161.710000001</v>
      </c>
      <c r="E866" s="595">
        <v>618573.80000000005</v>
      </c>
      <c r="F866" s="595">
        <v>420567.31</v>
      </c>
      <c r="G866" s="596">
        <v>0</v>
      </c>
      <c r="H866" s="595">
        <v>32515155.219999999</v>
      </c>
      <c r="I866" s="594" t="s">
        <v>1608</v>
      </c>
    </row>
    <row r="867" spans="1:9" ht="17.100000000000001" customHeight="1">
      <c r="A867" s="320"/>
      <c r="B867" s="320"/>
      <c r="C867" s="320"/>
      <c r="D867" s="557" t="s">
        <v>4198</v>
      </c>
      <c r="E867" s="320" t="s">
        <v>3759</v>
      </c>
      <c r="F867" s="320"/>
      <c r="G867" s="320"/>
      <c r="H867" s="320"/>
      <c r="I867" s="320"/>
    </row>
    <row r="868" spans="1:9" ht="17.100000000000001" customHeight="1">
      <c r="A868" s="671"/>
      <c r="B868" s="671"/>
      <c r="C868" s="671"/>
      <c r="D868" s="671"/>
      <c r="E868" s="671"/>
      <c r="F868" s="671"/>
      <c r="G868" s="671"/>
      <c r="H868" s="671"/>
      <c r="I868" s="671"/>
    </row>
    <row r="869" spans="1:9" ht="17.100000000000001" customHeight="1">
      <c r="A869" s="320"/>
      <c r="B869" s="320"/>
      <c r="C869" s="589" t="s">
        <v>3707</v>
      </c>
      <c r="D869" s="320"/>
      <c r="E869" s="320"/>
      <c r="F869" s="671"/>
      <c r="G869" s="671"/>
      <c r="H869" s="671"/>
      <c r="I869" s="671"/>
    </row>
    <row r="870" spans="1:9" ht="17.100000000000001" customHeight="1">
      <c r="A870" s="590" t="s">
        <v>3708</v>
      </c>
      <c r="B870" s="590"/>
      <c r="C870" s="597">
        <v>42887</v>
      </c>
      <c r="D870" s="590"/>
      <c r="E870" s="557" t="s">
        <v>3709</v>
      </c>
      <c r="F870" s="671"/>
      <c r="G870" s="671"/>
      <c r="H870" s="671"/>
      <c r="I870" s="671"/>
    </row>
    <row r="871" spans="1:9" ht="17.100000000000001" customHeight="1">
      <c r="A871" s="593" t="s">
        <v>596</v>
      </c>
      <c r="B871" s="593" t="s">
        <v>597</v>
      </c>
      <c r="C871" s="593" t="s">
        <v>3710</v>
      </c>
      <c r="D871" s="593" t="s">
        <v>3711</v>
      </c>
      <c r="E871" s="593" t="s">
        <v>3712</v>
      </c>
      <c r="F871" s="593" t="s">
        <v>3713</v>
      </c>
      <c r="G871" s="593" t="s">
        <v>3714</v>
      </c>
      <c r="H871" s="593" t="s">
        <v>3715</v>
      </c>
      <c r="I871" s="593" t="s">
        <v>596</v>
      </c>
    </row>
    <row r="872" spans="1:9" ht="17.100000000000001" customHeight="1">
      <c r="A872" s="594">
        <v>224114</v>
      </c>
      <c r="B872" s="594" t="s">
        <v>1609</v>
      </c>
      <c r="C872" s="596">
        <v>0</v>
      </c>
      <c r="D872" s="595">
        <v>10000000</v>
      </c>
      <c r="E872" s="596">
        <v>0</v>
      </c>
      <c r="F872" s="596">
        <v>0</v>
      </c>
      <c r="G872" s="596">
        <v>0</v>
      </c>
      <c r="H872" s="595">
        <v>10000000</v>
      </c>
      <c r="I872" s="594" t="s">
        <v>1610</v>
      </c>
    </row>
    <row r="873" spans="1:9" ht="17.100000000000001" customHeight="1">
      <c r="A873" s="594">
        <v>22411401</v>
      </c>
      <c r="B873" s="594" t="s">
        <v>1609</v>
      </c>
      <c r="C873" s="596">
        <v>0</v>
      </c>
      <c r="D873" s="595">
        <v>10000000</v>
      </c>
      <c r="E873" s="596">
        <v>0</v>
      </c>
      <c r="F873" s="596">
        <v>0</v>
      </c>
      <c r="G873" s="596">
        <v>0</v>
      </c>
      <c r="H873" s="595">
        <v>10000000</v>
      </c>
      <c r="I873" s="594" t="s">
        <v>1611</v>
      </c>
    </row>
    <row r="874" spans="1:9" ht="17.100000000000001" customHeight="1">
      <c r="A874" s="594">
        <v>224115</v>
      </c>
      <c r="B874" s="594" t="s">
        <v>1612</v>
      </c>
      <c r="C874" s="596">
        <v>0</v>
      </c>
      <c r="D874" s="595">
        <v>14186789.210000001</v>
      </c>
      <c r="E874" s="595">
        <v>2059452.24</v>
      </c>
      <c r="F874" s="595">
        <v>2920149.98</v>
      </c>
      <c r="G874" s="596">
        <v>0</v>
      </c>
      <c r="H874" s="595">
        <v>15047486.949999999</v>
      </c>
      <c r="I874" s="594" t="s">
        <v>1613</v>
      </c>
    </row>
    <row r="875" spans="1:9" ht="17.100000000000001" customHeight="1">
      <c r="A875" s="594">
        <v>22411501</v>
      </c>
      <c r="B875" s="594" t="s">
        <v>1612</v>
      </c>
      <c r="C875" s="596">
        <v>0</v>
      </c>
      <c r="D875" s="595">
        <v>14186789.210000001</v>
      </c>
      <c r="E875" s="595">
        <v>2059452.24</v>
      </c>
      <c r="F875" s="595">
        <v>2920149.98</v>
      </c>
      <c r="G875" s="596">
        <v>0</v>
      </c>
      <c r="H875" s="595">
        <v>15047486.949999999</v>
      </c>
      <c r="I875" s="594" t="s">
        <v>1614</v>
      </c>
    </row>
    <row r="876" spans="1:9" ht="17.100000000000001" customHeight="1">
      <c r="A876" s="594">
        <v>224116</v>
      </c>
      <c r="B876" s="594" t="s">
        <v>2687</v>
      </c>
      <c r="C876" s="596">
        <v>0</v>
      </c>
      <c r="D876" s="595">
        <v>787444.86</v>
      </c>
      <c r="E876" s="595">
        <v>3200158.55</v>
      </c>
      <c r="F876" s="595">
        <v>3963810.58</v>
      </c>
      <c r="G876" s="596">
        <v>0</v>
      </c>
      <c r="H876" s="595">
        <v>1551096.89</v>
      </c>
      <c r="I876" s="594" t="s">
        <v>2688</v>
      </c>
    </row>
    <row r="877" spans="1:9" ht="17.100000000000001" customHeight="1">
      <c r="A877" s="594">
        <v>22411601</v>
      </c>
      <c r="B877" s="594" t="s">
        <v>2687</v>
      </c>
      <c r="C877" s="596">
        <v>0</v>
      </c>
      <c r="D877" s="595">
        <v>787444.86</v>
      </c>
      <c r="E877" s="595">
        <v>3200158.55</v>
      </c>
      <c r="F877" s="595">
        <v>3963810.58</v>
      </c>
      <c r="G877" s="596">
        <v>0</v>
      </c>
      <c r="H877" s="595">
        <v>1551096.89</v>
      </c>
      <c r="I877" s="594" t="s">
        <v>2689</v>
      </c>
    </row>
    <row r="878" spans="1:9" ht="17.100000000000001" customHeight="1">
      <c r="A878" s="594">
        <v>224118</v>
      </c>
      <c r="B878" s="594" t="s">
        <v>3837</v>
      </c>
      <c r="C878" s="596">
        <v>0</v>
      </c>
      <c r="D878" s="596">
        <v>0</v>
      </c>
      <c r="E878" s="595">
        <v>1421443028.8</v>
      </c>
      <c r="F878" s="595">
        <v>1421443028.8</v>
      </c>
      <c r="G878" s="596">
        <v>0</v>
      </c>
      <c r="H878" s="596">
        <v>0</v>
      </c>
      <c r="I878" s="594" t="s">
        <v>3882</v>
      </c>
    </row>
    <row r="879" spans="1:9" ht="17.100000000000001" customHeight="1">
      <c r="A879" s="594">
        <v>22411801</v>
      </c>
      <c r="B879" s="594" t="s">
        <v>3837</v>
      </c>
      <c r="C879" s="596">
        <v>0</v>
      </c>
      <c r="D879" s="596">
        <v>0</v>
      </c>
      <c r="E879" s="595">
        <v>1421443028.8</v>
      </c>
      <c r="F879" s="595">
        <v>1421443028.8</v>
      </c>
      <c r="G879" s="596">
        <v>0</v>
      </c>
      <c r="H879" s="596">
        <v>0</v>
      </c>
      <c r="I879" s="594" t="s">
        <v>3883</v>
      </c>
    </row>
    <row r="880" spans="1:9" ht="17.100000000000001" customHeight="1">
      <c r="A880" s="594">
        <v>224121</v>
      </c>
      <c r="B880" s="594" t="s">
        <v>3601</v>
      </c>
      <c r="C880" s="596">
        <v>0</v>
      </c>
      <c r="D880" s="595">
        <v>17427920</v>
      </c>
      <c r="E880" s="595">
        <v>5980</v>
      </c>
      <c r="F880" s="595">
        <v>1970620</v>
      </c>
      <c r="G880" s="596">
        <v>0</v>
      </c>
      <c r="H880" s="595">
        <v>19392560</v>
      </c>
      <c r="I880" s="594" t="s">
        <v>3602</v>
      </c>
    </row>
    <row r="881" spans="1:9" ht="17.100000000000001" customHeight="1">
      <c r="A881" s="594">
        <v>22412101</v>
      </c>
      <c r="B881" s="594" t="s">
        <v>3603</v>
      </c>
      <c r="C881" s="596">
        <v>0</v>
      </c>
      <c r="D881" s="595">
        <v>17427920</v>
      </c>
      <c r="E881" s="595">
        <v>5980</v>
      </c>
      <c r="F881" s="595">
        <v>1970620</v>
      </c>
      <c r="G881" s="596">
        <v>0</v>
      </c>
      <c r="H881" s="595">
        <v>19392560</v>
      </c>
      <c r="I881" s="594" t="s">
        <v>3604</v>
      </c>
    </row>
    <row r="882" spans="1:9" ht="17.100000000000001" customHeight="1">
      <c r="A882" s="594">
        <v>224199</v>
      </c>
      <c r="B882" s="594" t="s">
        <v>1615</v>
      </c>
      <c r="C882" s="596">
        <v>0</v>
      </c>
      <c r="D882" s="595">
        <v>493876262.94</v>
      </c>
      <c r="E882" s="595">
        <v>1372067801994.04</v>
      </c>
      <c r="F882" s="595">
        <v>1372381290236.1599</v>
      </c>
      <c r="G882" s="596">
        <v>0</v>
      </c>
      <c r="H882" s="595">
        <v>807364505.05999994</v>
      </c>
      <c r="I882" s="594" t="s">
        <v>1616</v>
      </c>
    </row>
    <row r="883" spans="1:9" ht="17.100000000000001" customHeight="1">
      <c r="A883" s="594">
        <v>22419999</v>
      </c>
      <c r="B883" s="594" t="s">
        <v>1615</v>
      </c>
      <c r="C883" s="596">
        <v>0</v>
      </c>
      <c r="D883" s="595">
        <v>493876262.94</v>
      </c>
      <c r="E883" s="595">
        <v>1372067801994.04</v>
      </c>
      <c r="F883" s="595">
        <v>1372381290236.1599</v>
      </c>
      <c r="G883" s="596">
        <v>0</v>
      </c>
      <c r="H883" s="595">
        <v>807364505.05999994</v>
      </c>
      <c r="I883" s="594" t="s">
        <v>1617</v>
      </c>
    </row>
    <row r="884" spans="1:9" ht="17.100000000000001" customHeight="1">
      <c r="A884" s="594">
        <v>2314</v>
      </c>
      <c r="B884" s="594" t="s">
        <v>1618</v>
      </c>
      <c r="C884" s="596">
        <v>0</v>
      </c>
      <c r="D884" s="595">
        <v>172833893923.82001</v>
      </c>
      <c r="E884" s="595">
        <v>17497266222.32</v>
      </c>
      <c r="F884" s="595">
        <v>20152685935.080002</v>
      </c>
      <c r="G884" s="596">
        <v>0</v>
      </c>
      <c r="H884" s="595">
        <v>175489313636.57999</v>
      </c>
      <c r="I884" s="594" t="s">
        <v>1619</v>
      </c>
    </row>
    <row r="885" spans="1:9" ht="17.100000000000001" customHeight="1">
      <c r="A885" s="594">
        <v>231401</v>
      </c>
      <c r="B885" s="594" t="s">
        <v>1620</v>
      </c>
      <c r="C885" s="596">
        <v>0</v>
      </c>
      <c r="D885" s="595">
        <v>134638394433.22</v>
      </c>
      <c r="E885" s="595">
        <v>16096158599.85</v>
      </c>
      <c r="F885" s="595">
        <v>19589531047.849998</v>
      </c>
      <c r="G885" s="596">
        <v>0</v>
      </c>
      <c r="H885" s="595">
        <v>138131766881.22</v>
      </c>
      <c r="I885" s="594" t="s">
        <v>1621</v>
      </c>
    </row>
    <row r="886" spans="1:9" ht="17.100000000000001" customHeight="1">
      <c r="A886" s="594">
        <v>23140101</v>
      </c>
      <c r="B886" s="594" t="s">
        <v>1622</v>
      </c>
      <c r="C886" s="596">
        <v>0</v>
      </c>
      <c r="D886" s="595">
        <v>132295858300</v>
      </c>
      <c r="E886" s="595">
        <v>15766790000</v>
      </c>
      <c r="F886" s="595">
        <v>19087530000</v>
      </c>
      <c r="G886" s="596">
        <v>0</v>
      </c>
      <c r="H886" s="595">
        <v>135616598300</v>
      </c>
      <c r="I886" s="594" t="s">
        <v>1623</v>
      </c>
    </row>
    <row r="887" spans="1:9" ht="17.100000000000001" customHeight="1">
      <c r="A887" s="594">
        <v>23140102</v>
      </c>
      <c r="B887" s="594" t="s">
        <v>3465</v>
      </c>
      <c r="C887" s="596">
        <v>0</v>
      </c>
      <c r="D887" s="595">
        <v>2342536133.2199998</v>
      </c>
      <c r="E887" s="595">
        <v>329368599.85000002</v>
      </c>
      <c r="F887" s="595">
        <v>502001047.85000002</v>
      </c>
      <c r="G887" s="596">
        <v>0</v>
      </c>
      <c r="H887" s="595">
        <v>2515168581.2199998</v>
      </c>
      <c r="I887" s="594" t="s">
        <v>3466</v>
      </c>
    </row>
    <row r="888" spans="1:9" ht="17.100000000000001" customHeight="1">
      <c r="A888" s="594">
        <v>231402</v>
      </c>
      <c r="B888" s="594" t="s">
        <v>1624</v>
      </c>
      <c r="C888" s="596">
        <v>0</v>
      </c>
      <c r="D888" s="595">
        <v>28919292729.810001</v>
      </c>
      <c r="E888" s="595">
        <v>1149566495.1300001</v>
      </c>
      <c r="F888" s="595">
        <v>304244865.16000003</v>
      </c>
      <c r="G888" s="596">
        <v>0</v>
      </c>
      <c r="H888" s="595">
        <v>28073971099.84</v>
      </c>
      <c r="I888" s="594" t="s">
        <v>1625</v>
      </c>
    </row>
    <row r="889" spans="1:9" ht="17.100000000000001" customHeight="1">
      <c r="A889" s="594">
        <v>23140201</v>
      </c>
      <c r="B889" s="594" t="s">
        <v>1626</v>
      </c>
      <c r="C889" s="596">
        <v>0</v>
      </c>
      <c r="D889" s="595">
        <v>60000000</v>
      </c>
      <c r="E889" s="596">
        <v>0</v>
      </c>
      <c r="F889" s="596">
        <v>0</v>
      </c>
      <c r="G889" s="596">
        <v>0</v>
      </c>
      <c r="H889" s="595">
        <v>60000000</v>
      </c>
      <c r="I889" s="594" t="s">
        <v>1627</v>
      </c>
    </row>
    <row r="890" spans="1:9" ht="17.100000000000001" customHeight="1">
      <c r="A890" s="594">
        <v>23140203</v>
      </c>
      <c r="B890" s="594" t="s">
        <v>1628</v>
      </c>
      <c r="C890" s="596">
        <v>0</v>
      </c>
      <c r="D890" s="595">
        <v>452789317.39999998</v>
      </c>
      <c r="E890" s="595">
        <v>9772897.5399999991</v>
      </c>
      <c r="F890" s="595">
        <v>1453911.6</v>
      </c>
      <c r="G890" s="596">
        <v>0</v>
      </c>
      <c r="H890" s="595">
        <v>444470331.45999998</v>
      </c>
      <c r="I890" s="594" t="s">
        <v>1629</v>
      </c>
    </row>
    <row r="891" spans="1:9" ht="17.100000000000001" customHeight="1">
      <c r="A891" s="594">
        <v>23140205</v>
      </c>
      <c r="B891" s="594" t="s">
        <v>1630</v>
      </c>
      <c r="C891" s="596">
        <v>0</v>
      </c>
      <c r="D891" s="595">
        <v>20874476723.91</v>
      </c>
      <c r="E891" s="595">
        <v>969270360.34000003</v>
      </c>
      <c r="F891" s="595">
        <v>300000000</v>
      </c>
      <c r="G891" s="596">
        <v>0</v>
      </c>
      <c r="H891" s="595">
        <v>20205206363.57</v>
      </c>
      <c r="I891" s="594" t="s">
        <v>1631</v>
      </c>
    </row>
    <row r="892" spans="1:9" ht="17.100000000000001" customHeight="1">
      <c r="A892" s="594">
        <v>23140207</v>
      </c>
      <c r="B892" s="594" t="s">
        <v>1632</v>
      </c>
      <c r="C892" s="596">
        <v>0</v>
      </c>
      <c r="D892" s="595">
        <v>7333922597.3000002</v>
      </c>
      <c r="E892" s="595">
        <v>170426482.38</v>
      </c>
      <c r="F892" s="595">
        <v>2000000</v>
      </c>
      <c r="G892" s="596">
        <v>0</v>
      </c>
      <c r="H892" s="595">
        <v>7165496114.9200001</v>
      </c>
      <c r="I892" s="594" t="s">
        <v>1633</v>
      </c>
    </row>
    <row r="893" spans="1:9" ht="17.100000000000001" customHeight="1">
      <c r="A893" s="594">
        <v>23140209</v>
      </c>
      <c r="B893" s="594" t="s">
        <v>1634</v>
      </c>
      <c r="C893" s="596">
        <v>0</v>
      </c>
      <c r="D893" s="595">
        <v>198104091.19999999</v>
      </c>
      <c r="E893" s="595">
        <v>96754.87</v>
      </c>
      <c r="F893" s="595">
        <v>790953.56</v>
      </c>
      <c r="G893" s="596">
        <v>0</v>
      </c>
      <c r="H893" s="595">
        <v>198798289.88999999</v>
      </c>
      <c r="I893" s="594" t="s">
        <v>1635</v>
      </c>
    </row>
    <row r="894" spans="1:9" ht="17.100000000000001" customHeight="1">
      <c r="A894" s="594">
        <v>231403</v>
      </c>
      <c r="B894" s="594" t="s">
        <v>1636</v>
      </c>
      <c r="C894" s="596">
        <v>0</v>
      </c>
      <c r="D894" s="595">
        <v>9275764204.9899998</v>
      </c>
      <c r="E894" s="595">
        <v>422769.88</v>
      </c>
      <c r="F894" s="595">
        <v>5422769.8799999999</v>
      </c>
      <c r="G894" s="596">
        <v>0</v>
      </c>
      <c r="H894" s="595">
        <v>9280764204.9899998</v>
      </c>
      <c r="I894" s="594" t="s">
        <v>1637</v>
      </c>
    </row>
    <row r="895" spans="1:9" ht="17.100000000000001" customHeight="1">
      <c r="A895" s="594">
        <v>23140301</v>
      </c>
      <c r="B895" s="594" t="s">
        <v>1638</v>
      </c>
      <c r="C895" s="596">
        <v>0</v>
      </c>
      <c r="D895" s="595">
        <v>9275764204.9899998</v>
      </c>
      <c r="E895" s="595">
        <v>422769.88</v>
      </c>
      <c r="F895" s="595">
        <v>5422769.8799999999</v>
      </c>
      <c r="G895" s="596">
        <v>0</v>
      </c>
      <c r="H895" s="595">
        <v>9280764204.9899998</v>
      </c>
      <c r="I895" s="594" t="s">
        <v>1639</v>
      </c>
    </row>
    <row r="896" spans="1:9" ht="17.100000000000001" customHeight="1">
      <c r="A896" s="594">
        <v>231407</v>
      </c>
      <c r="B896" s="594" t="s">
        <v>1640</v>
      </c>
      <c r="C896" s="596">
        <v>0</v>
      </c>
      <c r="D896" s="595">
        <v>392555.8</v>
      </c>
      <c r="E896" s="595">
        <v>11451889.460000001</v>
      </c>
      <c r="F896" s="595">
        <v>11326784.189999999</v>
      </c>
      <c r="G896" s="596">
        <v>0</v>
      </c>
      <c r="H896" s="595">
        <v>267450.53000000003</v>
      </c>
      <c r="I896" s="594" t="s">
        <v>1641</v>
      </c>
    </row>
    <row r="897" spans="1:9" ht="28.5" customHeight="1">
      <c r="A897" s="594">
        <v>23140701</v>
      </c>
      <c r="B897" s="594" t="s">
        <v>1642</v>
      </c>
      <c r="C897" s="596">
        <v>0</v>
      </c>
      <c r="D897" s="595">
        <v>392555.8</v>
      </c>
      <c r="E897" s="595">
        <v>11451889.460000001</v>
      </c>
      <c r="F897" s="595">
        <v>11326784.189999999</v>
      </c>
      <c r="G897" s="596">
        <v>0</v>
      </c>
      <c r="H897" s="595">
        <v>267450.53000000003</v>
      </c>
      <c r="I897" s="594" t="s">
        <v>1643</v>
      </c>
    </row>
    <row r="898" spans="1:9">
      <c r="A898" s="594">
        <v>231408</v>
      </c>
      <c r="B898" s="594" t="s">
        <v>1644</v>
      </c>
      <c r="C898" s="596">
        <v>0</v>
      </c>
      <c r="D898" s="595">
        <v>50000</v>
      </c>
      <c r="E898" s="595">
        <v>239666468</v>
      </c>
      <c r="F898" s="595">
        <v>242160468</v>
      </c>
      <c r="G898" s="596">
        <v>0</v>
      </c>
      <c r="H898" s="595">
        <v>2544000</v>
      </c>
      <c r="I898" s="594" t="s">
        <v>1645</v>
      </c>
    </row>
    <row r="899" spans="1:9">
      <c r="A899" s="594">
        <v>23140801</v>
      </c>
      <c r="B899" s="594" t="s">
        <v>1646</v>
      </c>
      <c r="C899" s="596">
        <v>0</v>
      </c>
      <c r="D899" s="595">
        <v>50000</v>
      </c>
      <c r="E899" s="595">
        <v>239666468</v>
      </c>
      <c r="F899" s="595">
        <v>242160468</v>
      </c>
      <c r="G899" s="596">
        <v>0</v>
      </c>
      <c r="H899" s="595">
        <v>2544000</v>
      </c>
      <c r="I899" s="594" t="s">
        <v>1647</v>
      </c>
    </row>
    <row r="900" spans="1:9">
      <c r="A900" s="594">
        <v>2401</v>
      </c>
      <c r="B900" s="594" t="s">
        <v>1648</v>
      </c>
      <c r="C900" s="596">
        <v>0</v>
      </c>
      <c r="D900" s="595">
        <v>16518490.029999999</v>
      </c>
      <c r="E900" s="595">
        <v>2012953</v>
      </c>
      <c r="F900" s="595">
        <v>3554579.21</v>
      </c>
      <c r="G900" s="596">
        <v>0</v>
      </c>
      <c r="H900" s="595">
        <v>18060116.239999998</v>
      </c>
      <c r="I900" s="594" t="s">
        <v>1649</v>
      </c>
    </row>
    <row r="901" spans="1:9" ht="28.5" customHeight="1">
      <c r="A901" s="594">
        <v>240101</v>
      </c>
      <c r="B901" s="594" t="s">
        <v>1648</v>
      </c>
      <c r="C901" s="596">
        <v>0</v>
      </c>
      <c r="D901" s="595">
        <v>16518490.029999999</v>
      </c>
      <c r="E901" s="595">
        <v>2012953</v>
      </c>
      <c r="F901" s="595">
        <v>3554579.21</v>
      </c>
      <c r="G901" s="596">
        <v>0</v>
      </c>
      <c r="H901" s="595">
        <v>18060116.239999998</v>
      </c>
      <c r="I901" s="594" t="s">
        <v>1650</v>
      </c>
    </row>
    <row r="902" spans="1:9" ht="17.100000000000001" customHeight="1">
      <c r="A902" s="594">
        <v>24010102</v>
      </c>
      <c r="B902" s="594" t="s">
        <v>4004</v>
      </c>
      <c r="C902" s="596">
        <v>0</v>
      </c>
      <c r="D902" s="596">
        <v>0</v>
      </c>
      <c r="E902" s="595">
        <v>147711.45000000001</v>
      </c>
      <c r="F902" s="595">
        <v>1886815.88</v>
      </c>
      <c r="G902" s="596">
        <v>0</v>
      </c>
      <c r="H902" s="595">
        <v>1739104.43</v>
      </c>
      <c r="I902" s="594" t="s">
        <v>4005</v>
      </c>
    </row>
    <row r="903" spans="1:9" ht="17.100000000000001" customHeight="1">
      <c r="A903" s="594">
        <v>24010108</v>
      </c>
      <c r="B903" s="594" t="s">
        <v>1651</v>
      </c>
      <c r="C903" s="596">
        <v>0</v>
      </c>
      <c r="D903" s="595">
        <v>16518489.48</v>
      </c>
      <c r="E903" s="595">
        <v>1865241.55</v>
      </c>
      <c r="F903" s="595">
        <v>1667763.33</v>
      </c>
      <c r="G903" s="596">
        <v>0</v>
      </c>
      <c r="H903" s="595">
        <v>16321011.26</v>
      </c>
      <c r="I903" s="594" t="s">
        <v>1652</v>
      </c>
    </row>
    <row r="904" spans="1:9" ht="17.100000000000001" customHeight="1">
      <c r="A904" s="594">
        <v>24010199</v>
      </c>
      <c r="B904" s="594" t="s">
        <v>1653</v>
      </c>
      <c r="C904" s="596">
        <v>0</v>
      </c>
      <c r="D904" s="596">
        <v>0.55000000000000004</v>
      </c>
      <c r="E904" s="596">
        <v>0</v>
      </c>
      <c r="F904" s="596">
        <v>0</v>
      </c>
      <c r="G904" s="596">
        <v>0</v>
      </c>
      <c r="H904" s="596">
        <v>0.55000000000000004</v>
      </c>
      <c r="I904" s="594" t="s">
        <v>1654</v>
      </c>
    </row>
    <row r="905" spans="1:9" ht="17.100000000000001" customHeight="1">
      <c r="A905" s="594">
        <v>2502</v>
      </c>
      <c r="B905" s="594" t="s">
        <v>141</v>
      </c>
      <c r="C905" s="596">
        <v>0</v>
      </c>
      <c r="D905" s="595">
        <v>7595377576.25</v>
      </c>
      <c r="E905" s="595">
        <v>3500984822.8899999</v>
      </c>
      <c r="F905" s="595">
        <v>2057732.94</v>
      </c>
      <c r="G905" s="596">
        <v>0</v>
      </c>
      <c r="H905" s="595">
        <v>4096450486.3000002</v>
      </c>
      <c r="I905" s="594" t="s">
        <v>1655</v>
      </c>
    </row>
    <row r="906" spans="1:9" ht="17.100000000000001" customHeight="1">
      <c r="A906" s="320"/>
      <c r="B906" s="320"/>
      <c r="C906" s="320"/>
      <c r="D906" s="557" t="s">
        <v>4198</v>
      </c>
      <c r="E906" s="320" t="s">
        <v>3761</v>
      </c>
      <c r="F906" s="320"/>
      <c r="G906" s="320"/>
      <c r="H906" s="320"/>
      <c r="I906" s="320"/>
    </row>
    <row r="907" spans="1:9" ht="17.100000000000001" customHeight="1">
      <c r="A907" s="671"/>
      <c r="B907" s="671"/>
      <c r="C907" s="671"/>
      <c r="D907" s="671"/>
      <c r="E907" s="671"/>
      <c r="F907" s="671"/>
      <c r="G907" s="671"/>
      <c r="H907" s="671"/>
      <c r="I907" s="671"/>
    </row>
    <row r="908" spans="1:9" ht="17.100000000000001" customHeight="1">
      <c r="A908" s="320"/>
      <c r="B908" s="320"/>
      <c r="C908" s="589" t="s">
        <v>3707</v>
      </c>
      <c r="D908" s="320"/>
      <c r="E908" s="320"/>
      <c r="F908" s="671"/>
      <c r="G908" s="671"/>
      <c r="H908" s="671"/>
      <c r="I908" s="671"/>
    </row>
    <row r="909" spans="1:9" ht="17.100000000000001" customHeight="1">
      <c r="A909" s="590" t="s">
        <v>3708</v>
      </c>
      <c r="B909" s="590"/>
      <c r="C909" s="597">
        <v>42887</v>
      </c>
      <c r="D909" s="590"/>
      <c r="E909" s="557" t="s">
        <v>3709</v>
      </c>
      <c r="F909" s="671"/>
      <c r="G909" s="671"/>
      <c r="H909" s="671"/>
      <c r="I909" s="671"/>
    </row>
    <row r="910" spans="1:9" ht="17.100000000000001" customHeight="1">
      <c r="A910" s="593" t="s">
        <v>596</v>
      </c>
      <c r="B910" s="593" t="s">
        <v>597</v>
      </c>
      <c r="C910" s="593" t="s">
        <v>3710</v>
      </c>
      <c r="D910" s="593" t="s">
        <v>3711</v>
      </c>
      <c r="E910" s="593" t="s">
        <v>3712</v>
      </c>
      <c r="F910" s="593" t="s">
        <v>3713</v>
      </c>
      <c r="G910" s="593" t="s">
        <v>3714</v>
      </c>
      <c r="H910" s="593" t="s">
        <v>3715</v>
      </c>
      <c r="I910" s="593" t="s">
        <v>596</v>
      </c>
    </row>
    <row r="911" spans="1:9" ht="17.100000000000001" customHeight="1">
      <c r="A911" s="594">
        <v>250203</v>
      </c>
      <c r="B911" s="594" t="s">
        <v>1656</v>
      </c>
      <c r="C911" s="596">
        <v>0</v>
      </c>
      <c r="D911" s="595">
        <v>7595377576.25</v>
      </c>
      <c r="E911" s="595">
        <v>3500984822.8899999</v>
      </c>
      <c r="F911" s="595">
        <v>2057732.94</v>
      </c>
      <c r="G911" s="596">
        <v>0</v>
      </c>
      <c r="H911" s="595">
        <v>4096450486.3000002</v>
      </c>
      <c r="I911" s="594" t="s">
        <v>1657</v>
      </c>
    </row>
    <row r="912" spans="1:9" ht="17.100000000000001" customHeight="1">
      <c r="A912" s="594">
        <v>25020301</v>
      </c>
      <c r="B912" s="594" t="s">
        <v>1658</v>
      </c>
      <c r="C912" s="596">
        <v>0</v>
      </c>
      <c r="D912" s="595">
        <v>7600000000</v>
      </c>
      <c r="E912" s="595">
        <v>3500000000</v>
      </c>
      <c r="F912" s="596">
        <v>0</v>
      </c>
      <c r="G912" s="596">
        <v>0</v>
      </c>
      <c r="H912" s="595">
        <v>4100000000</v>
      </c>
      <c r="I912" s="594" t="s">
        <v>1659</v>
      </c>
    </row>
    <row r="913" spans="1:9" ht="17.100000000000001" customHeight="1">
      <c r="A913" s="594">
        <v>25020302</v>
      </c>
      <c r="B913" s="594" t="s">
        <v>1660</v>
      </c>
      <c r="C913" s="595">
        <v>4622423.75</v>
      </c>
      <c r="D913" s="596">
        <v>0</v>
      </c>
      <c r="E913" s="595">
        <v>984822.89</v>
      </c>
      <c r="F913" s="595">
        <v>2057732.94</v>
      </c>
      <c r="G913" s="595">
        <v>3549513.7</v>
      </c>
      <c r="H913" s="596">
        <v>0</v>
      </c>
      <c r="I913" s="594" t="s">
        <v>1661</v>
      </c>
    </row>
    <row r="914" spans="1:9" ht="17.100000000000001" customHeight="1">
      <c r="A914" s="594">
        <v>2503</v>
      </c>
      <c r="B914" s="594" t="s">
        <v>1662</v>
      </c>
      <c r="C914" s="596">
        <v>0</v>
      </c>
      <c r="D914" s="595">
        <v>129276858222.49001</v>
      </c>
      <c r="E914" s="595">
        <v>20782194309.759998</v>
      </c>
      <c r="F914" s="595">
        <v>14141765308.860001</v>
      </c>
      <c r="G914" s="596">
        <v>0</v>
      </c>
      <c r="H914" s="595">
        <v>122636429221.59</v>
      </c>
      <c r="I914" s="594" t="s">
        <v>1663</v>
      </c>
    </row>
    <row r="915" spans="1:9" ht="17.100000000000001" customHeight="1">
      <c r="A915" s="594">
        <v>250301</v>
      </c>
      <c r="B915" s="594" t="s">
        <v>3682</v>
      </c>
      <c r="C915" s="596">
        <v>0</v>
      </c>
      <c r="D915" s="595">
        <v>619540150.02999997</v>
      </c>
      <c r="E915" s="595">
        <v>32194310.32</v>
      </c>
      <c r="F915" s="595">
        <v>193392236.68000001</v>
      </c>
      <c r="G915" s="596">
        <v>0</v>
      </c>
      <c r="H915" s="595">
        <v>780738076.38999999</v>
      </c>
      <c r="I915" s="594" t="s">
        <v>3753</v>
      </c>
    </row>
    <row r="916" spans="1:9" ht="17.100000000000001" customHeight="1">
      <c r="A916" s="594">
        <v>25030101</v>
      </c>
      <c r="B916" s="594" t="s">
        <v>3683</v>
      </c>
      <c r="C916" s="596">
        <v>0</v>
      </c>
      <c r="D916" s="595">
        <v>614408640</v>
      </c>
      <c r="E916" s="595">
        <v>29348790</v>
      </c>
      <c r="F916" s="595">
        <v>191022000</v>
      </c>
      <c r="G916" s="596">
        <v>0</v>
      </c>
      <c r="H916" s="595">
        <v>776081850</v>
      </c>
      <c r="I916" s="594" t="s">
        <v>3754</v>
      </c>
    </row>
    <row r="917" spans="1:9" ht="17.100000000000001" customHeight="1">
      <c r="A917" s="594">
        <v>25030103</v>
      </c>
      <c r="B917" s="594" t="s">
        <v>3684</v>
      </c>
      <c r="C917" s="596">
        <v>0</v>
      </c>
      <c r="D917" s="595">
        <v>5131510.03</v>
      </c>
      <c r="E917" s="595">
        <v>2845520.32</v>
      </c>
      <c r="F917" s="595">
        <v>2370236.6800000002</v>
      </c>
      <c r="G917" s="596">
        <v>0</v>
      </c>
      <c r="H917" s="595">
        <v>4656226.3899999997</v>
      </c>
      <c r="I917" s="594" t="s">
        <v>3755</v>
      </c>
    </row>
    <row r="918" spans="1:9" ht="17.100000000000001" customHeight="1">
      <c r="A918" s="594">
        <v>250302</v>
      </c>
      <c r="B918" s="594" t="s">
        <v>2690</v>
      </c>
      <c r="C918" s="596">
        <v>0</v>
      </c>
      <c r="D918" s="595">
        <v>51611994300.019997</v>
      </c>
      <c r="E918" s="595">
        <v>6939999999.04</v>
      </c>
      <c r="F918" s="595">
        <v>3044999364.9000001</v>
      </c>
      <c r="G918" s="596">
        <v>0</v>
      </c>
      <c r="H918" s="595">
        <v>47716993665.879997</v>
      </c>
      <c r="I918" s="594" t="s">
        <v>2691</v>
      </c>
    </row>
    <row r="919" spans="1:9" ht="17.100000000000001" customHeight="1">
      <c r="A919" s="594">
        <v>25030201</v>
      </c>
      <c r="B919" s="594" t="s">
        <v>3685</v>
      </c>
      <c r="C919" s="596">
        <v>0</v>
      </c>
      <c r="D919" s="595">
        <v>50988532110</v>
      </c>
      <c r="E919" s="595">
        <v>6767467370</v>
      </c>
      <c r="F919" s="595">
        <v>2867743100</v>
      </c>
      <c r="G919" s="596">
        <v>0</v>
      </c>
      <c r="H919" s="595">
        <v>47088807840</v>
      </c>
      <c r="I919" s="594" t="s">
        <v>2692</v>
      </c>
    </row>
    <row r="920" spans="1:9" ht="17.100000000000001" customHeight="1">
      <c r="A920" s="594">
        <v>25030203</v>
      </c>
      <c r="B920" s="594" t="s">
        <v>3686</v>
      </c>
      <c r="C920" s="596">
        <v>0</v>
      </c>
      <c r="D920" s="595">
        <v>623462190.01999998</v>
      </c>
      <c r="E920" s="595">
        <v>172532629.03999999</v>
      </c>
      <c r="F920" s="595">
        <v>177256264.90000001</v>
      </c>
      <c r="G920" s="596">
        <v>0</v>
      </c>
      <c r="H920" s="595">
        <v>628185825.88</v>
      </c>
      <c r="I920" s="594" t="s">
        <v>3756</v>
      </c>
    </row>
    <row r="921" spans="1:9" ht="17.100000000000001" customHeight="1">
      <c r="A921" s="594">
        <v>250399</v>
      </c>
      <c r="B921" s="594" t="s">
        <v>3687</v>
      </c>
      <c r="C921" s="596">
        <v>0</v>
      </c>
      <c r="D921" s="595">
        <v>77045323772.440002</v>
      </c>
      <c r="E921" s="595">
        <v>13810000000.4</v>
      </c>
      <c r="F921" s="595">
        <v>10903373707.280001</v>
      </c>
      <c r="G921" s="596">
        <v>0</v>
      </c>
      <c r="H921" s="595">
        <v>74138697479.320007</v>
      </c>
      <c r="I921" s="594" t="s">
        <v>1664</v>
      </c>
    </row>
    <row r="922" spans="1:9" ht="17.100000000000001" customHeight="1">
      <c r="A922" s="594">
        <v>25039901</v>
      </c>
      <c r="B922" s="594" t="s">
        <v>3688</v>
      </c>
      <c r="C922" s="596">
        <v>0</v>
      </c>
      <c r="D922" s="595">
        <v>76078484190</v>
      </c>
      <c r="E922" s="595">
        <v>13459409720</v>
      </c>
      <c r="F922" s="595">
        <v>10631791180</v>
      </c>
      <c r="G922" s="596">
        <v>0</v>
      </c>
      <c r="H922" s="595">
        <v>73250865650</v>
      </c>
      <c r="I922" s="594" t="s">
        <v>1665</v>
      </c>
    </row>
    <row r="923" spans="1:9" ht="17.100000000000001" customHeight="1">
      <c r="A923" s="594">
        <v>25039903</v>
      </c>
      <c r="B923" s="594" t="s">
        <v>3689</v>
      </c>
      <c r="C923" s="596">
        <v>0</v>
      </c>
      <c r="D923" s="595">
        <v>966839582.44000006</v>
      </c>
      <c r="E923" s="595">
        <v>350590280.39999998</v>
      </c>
      <c r="F923" s="595">
        <v>271582527.27999997</v>
      </c>
      <c r="G923" s="596">
        <v>0</v>
      </c>
      <c r="H923" s="595">
        <v>887831829.32000005</v>
      </c>
      <c r="I923" s="594" t="s">
        <v>3757</v>
      </c>
    </row>
    <row r="924" spans="1:9" ht="17.100000000000001" customHeight="1">
      <c r="A924" s="594">
        <v>2801</v>
      </c>
      <c r="B924" s="594" t="s">
        <v>1666</v>
      </c>
      <c r="C924" s="596">
        <v>0</v>
      </c>
      <c r="D924" s="595">
        <v>9347450</v>
      </c>
      <c r="E924" s="596">
        <v>0</v>
      </c>
      <c r="F924" s="596">
        <v>0</v>
      </c>
      <c r="G924" s="596">
        <v>0</v>
      </c>
      <c r="H924" s="595">
        <v>9347450</v>
      </c>
      <c r="I924" s="594" t="s">
        <v>1667</v>
      </c>
    </row>
    <row r="925" spans="1:9" ht="17.100000000000001" customHeight="1">
      <c r="A925" s="594">
        <v>280101</v>
      </c>
      <c r="B925" s="594" t="s">
        <v>1666</v>
      </c>
      <c r="C925" s="596">
        <v>0</v>
      </c>
      <c r="D925" s="595">
        <v>9347450</v>
      </c>
      <c r="E925" s="596">
        <v>0</v>
      </c>
      <c r="F925" s="596">
        <v>0</v>
      </c>
      <c r="G925" s="596">
        <v>0</v>
      </c>
      <c r="H925" s="595">
        <v>9347450</v>
      </c>
      <c r="I925" s="594" t="s">
        <v>1668</v>
      </c>
    </row>
    <row r="926" spans="1:9" ht="17.100000000000001" customHeight="1">
      <c r="A926" s="594">
        <v>28010101</v>
      </c>
      <c r="B926" s="594" t="s">
        <v>1666</v>
      </c>
      <c r="C926" s="596">
        <v>0</v>
      </c>
      <c r="D926" s="595">
        <v>9347450</v>
      </c>
      <c r="E926" s="596">
        <v>0</v>
      </c>
      <c r="F926" s="596">
        <v>0</v>
      </c>
      <c r="G926" s="596">
        <v>0</v>
      </c>
      <c r="H926" s="595">
        <v>9347450</v>
      </c>
      <c r="I926" s="594" t="s">
        <v>1669</v>
      </c>
    </row>
    <row r="927" spans="1:9" ht="17.100000000000001" customHeight="1">
      <c r="A927" s="594"/>
      <c r="B927" s="598" t="s">
        <v>3758</v>
      </c>
      <c r="C927" s="595">
        <v>777575686.94000006</v>
      </c>
      <c r="D927" s="595">
        <v>765346018369.93005</v>
      </c>
      <c r="E927" s="595">
        <v>4360563369825.2002</v>
      </c>
      <c r="F927" s="595">
        <v>4371007507578.1899</v>
      </c>
      <c r="G927" s="595">
        <v>782731080.50999999</v>
      </c>
      <c r="H927" s="595">
        <v>775795311516.48999</v>
      </c>
      <c r="I927" s="594" t="s">
        <v>1125</v>
      </c>
    </row>
    <row r="928" spans="1:9" ht="17.100000000000001" customHeight="1">
      <c r="A928" s="320"/>
      <c r="B928" s="320"/>
      <c r="C928" s="320"/>
      <c r="D928" s="557" t="s">
        <v>4198</v>
      </c>
      <c r="E928" s="320" t="s">
        <v>3763</v>
      </c>
      <c r="F928" s="320"/>
      <c r="G928" s="320"/>
      <c r="H928" s="320"/>
      <c r="I928" s="320"/>
    </row>
    <row r="929" spans="1:9" ht="17.100000000000001" customHeight="1">
      <c r="A929" s="671"/>
      <c r="B929" s="671"/>
      <c r="C929" s="671"/>
      <c r="D929" s="671"/>
      <c r="E929" s="671"/>
      <c r="F929" s="671"/>
      <c r="G929" s="671"/>
      <c r="H929" s="671"/>
      <c r="I929" s="671"/>
    </row>
    <row r="930" spans="1:9" ht="17.100000000000001" customHeight="1">
      <c r="A930" s="320"/>
      <c r="B930" s="320"/>
      <c r="C930" s="589" t="s">
        <v>3707</v>
      </c>
      <c r="D930" s="320"/>
      <c r="E930" s="320"/>
      <c r="F930" s="671"/>
      <c r="G930" s="671"/>
      <c r="H930" s="671"/>
      <c r="I930" s="671"/>
    </row>
    <row r="931" spans="1:9" ht="17.100000000000001" customHeight="1">
      <c r="A931" s="590" t="s">
        <v>3708</v>
      </c>
      <c r="B931" s="590"/>
      <c r="C931" s="597">
        <v>42887</v>
      </c>
      <c r="D931" s="590"/>
      <c r="E931" s="557" t="s">
        <v>3709</v>
      </c>
      <c r="F931" s="671"/>
      <c r="G931" s="671"/>
      <c r="H931" s="671"/>
      <c r="I931" s="671"/>
    </row>
    <row r="932" spans="1:9" ht="28.5" customHeight="1">
      <c r="A932" s="593" t="s">
        <v>596</v>
      </c>
      <c r="B932" s="593" t="s">
        <v>597</v>
      </c>
      <c r="C932" s="593" t="s">
        <v>3710</v>
      </c>
      <c r="D932" s="593" t="s">
        <v>3711</v>
      </c>
      <c r="E932" s="593" t="s">
        <v>3712</v>
      </c>
      <c r="F932" s="593" t="s">
        <v>3713</v>
      </c>
      <c r="G932" s="593" t="s">
        <v>3714</v>
      </c>
      <c r="H932" s="593" t="s">
        <v>3715</v>
      </c>
      <c r="I932" s="593" t="s">
        <v>596</v>
      </c>
    </row>
    <row r="933" spans="1:9">
      <c r="A933" s="594">
        <v>3031</v>
      </c>
      <c r="B933" s="594" t="s">
        <v>1670</v>
      </c>
      <c r="C933" s="595">
        <v>36287571.060000002</v>
      </c>
      <c r="D933" s="596">
        <v>0</v>
      </c>
      <c r="E933" s="595">
        <v>5592942540927.2305</v>
      </c>
      <c r="F933" s="595">
        <v>5592602731480.2998</v>
      </c>
      <c r="G933" s="595">
        <v>376097017.99000001</v>
      </c>
      <c r="H933" s="596">
        <v>0</v>
      </c>
      <c r="I933" s="594" t="s">
        <v>1671</v>
      </c>
    </row>
    <row r="934" spans="1:9">
      <c r="A934" s="594">
        <v>303101</v>
      </c>
      <c r="B934" s="594" t="s">
        <v>3884</v>
      </c>
      <c r="C934" s="596">
        <v>0</v>
      </c>
      <c r="D934" s="596">
        <v>0</v>
      </c>
      <c r="E934" s="595">
        <v>2631425900982.7998</v>
      </c>
      <c r="F934" s="595">
        <v>2631425900982.7998</v>
      </c>
      <c r="G934" s="596">
        <v>0</v>
      </c>
      <c r="H934" s="596">
        <v>0</v>
      </c>
      <c r="I934" s="594" t="s">
        <v>3885</v>
      </c>
    </row>
    <row r="935" spans="1:9">
      <c r="A935" s="594">
        <v>30310101</v>
      </c>
      <c r="B935" s="594" t="s">
        <v>3884</v>
      </c>
      <c r="C935" s="596">
        <v>0</v>
      </c>
      <c r="D935" s="596">
        <v>0</v>
      </c>
      <c r="E935" s="595">
        <v>2631425900982.7998</v>
      </c>
      <c r="F935" s="595">
        <v>2631425900982.7998</v>
      </c>
      <c r="G935" s="596">
        <v>0</v>
      </c>
      <c r="H935" s="596">
        <v>0</v>
      </c>
      <c r="I935" s="594" t="s">
        <v>3886</v>
      </c>
    </row>
    <row r="936" spans="1:9" ht="28.5" customHeight="1">
      <c r="A936" s="594">
        <v>303102</v>
      </c>
      <c r="B936" s="594" t="s">
        <v>1672</v>
      </c>
      <c r="C936" s="595">
        <v>12093343.92</v>
      </c>
      <c r="D936" s="596">
        <v>0</v>
      </c>
      <c r="E936" s="595">
        <v>8097604065.1599998</v>
      </c>
      <c r="F936" s="595">
        <v>7966121802.8400002</v>
      </c>
      <c r="G936" s="595">
        <v>143575606.24000001</v>
      </c>
      <c r="H936" s="596">
        <v>0</v>
      </c>
      <c r="I936" s="594" t="s">
        <v>1673</v>
      </c>
    </row>
    <row r="937" spans="1:9" ht="17.100000000000001" customHeight="1">
      <c r="A937" s="594">
        <v>30310201</v>
      </c>
      <c r="B937" s="594" t="s">
        <v>1674</v>
      </c>
      <c r="C937" s="595">
        <v>12093343.92</v>
      </c>
      <c r="D937" s="596">
        <v>0</v>
      </c>
      <c r="E937" s="595">
        <v>8097604065.1599998</v>
      </c>
      <c r="F937" s="595">
        <v>7966121802.8400002</v>
      </c>
      <c r="G937" s="595">
        <v>143575606.24000001</v>
      </c>
      <c r="H937" s="596">
        <v>0</v>
      </c>
      <c r="I937" s="594" t="s">
        <v>1675</v>
      </c>
    </row>
    <row r="938" spans="1:9" ht="17.100000000000001" customHeight="1">
      <c r="A938" s="594">
        <v>303103</v>
      </c>
      <c r="B938" s="594" t="s">
        <v>1676</v>
      </c>
      <c r="C938" s="596">
        <v>0</v>
      </c>
      <c r="D938" s="595">
        <v>5836844.7199999997</v>
      </c>
      <c r="E938" s="595">
        <v>53775163583.949997</v>
      </c>
      <c r="F938" s="595">
        <v>53565467236.440002</v>
      </c>
      <c r="G938" s="595">
        <v>203859502.78999999</v>
      </c>
      <c r="H938" s="596">
        <v>0</v>
      </c>
      <c r="I938" s="594" t="s">
        <v>1677</v>
      </c>
    </row>
    <row r="939" spans="1:9" ht="17.100000000000001" customHeight="1">
      <c r="A939" s="594">
        <v>30310301</v>
      </c>
      <c r="B939" s="594" t="s">
        <v>1676</v>
      </c>
      <c r="C939" s="596">
        <v>0</v>
      </c>
      <c r="D939" s="595">
        <v>5836844.7199999997</v>
      </c>
      <c r="E939" s="595">
        <v>53775163583.949997</v>
      </c>
      <c r="F939" s="595">
        <v>53565467236.440002</v>
      </c>
      <c r="G939" s="595">
        <v>203859502.78999999</v>
      </c>
      <c r="H939" s="596">
        <v>0</v>
      </c>
      <c r="I939" s="594" t="s">
        <v>1678</v>
      </c>
    </row>
    <row r="940" spans="1:9" ht="17.100000000000001" customHeight="1">
      <c r="A940" s="594">
        <v>303104</v>
      </c>
      <c r="B940" s="594" t="s">
        <v>1679</v>
      </c>
      <c r="C940" s="595">
        <v>20020327.52</v>
      </c>
      <c r="D940" s="596">
        <v>0</v>
      </c>
      <c r="E940" s="595">
        <v>13310633182.43</v>
      </c>
      <c r="F940" s="595">
        <v>13311715661.41</v>
      </c>
      <c r="G940" s="595">
        <v>18937848.539999999</v>
      </c>
      <c r="H940" s="596">
        <v>0</v>
      </c>
      <c r="I940" s="594" t="s">
        <v>1680</v>
      </c>
    </row>
    <row r="941" spans="1:9" ht="17.100000000000001" customHeight="1">
      <c r="A941" s="594">
        <v>30310401</v>
      </c>
      <c r="B941" s="594" t="s">
        <v>1681</v>
      </c>
      <c r="C941" s="595">
        <v>20020327.52</v>
      </c>
      <c r="D941" s="596">
        <v>0</v>
      </c>
      <c r="E941" s="595">
        <v>13310633182.43</v>
      </c>
      <c r="F941" s="595">
        <v>13311715661.41</v>
      </c>
      <c r="G941" s="595">
        <v>18937848.539999999</v>
      </c>
      <c r="H941" s="596">
        <v>0</v>
      </c>
      <c r="I941" s="594" t="s">
        <v>1682</v>
      </c>
    </row>
    <row r="942" spans="1:9" ht="17.100000000000001" customHeight="1">
      <c r="A942" s="594">
        <v>303106</v>
      </c>
      <c r="B942" s="594" t="s">
        <v>3887</v>
      </c>
      <c r="C942" s="596">
        <v>0</v>
      </c>
      <c r="D942" s="595">
        <v>508576.55</v>
      </c>
      <c r="E942" s="595">
        <v>8018921278.21</v>
      </c>
      <c r="F942" s="595">
        <v>8021854525.2399998</v>
      </c>
      <c r="G942" s="596">
        <v>0</v>
      </c>
      <c r="H942" s="595">
        <v>3441823.58</v>
      </c>
      <c r="I942" s="594" t="s">
        <v>3888</v>
      </c>
    </row>
    <row r="943" spans="1:9" ht="17.100000000000001" customHeight="1">
      <c r="A943" s="594">
        <v>30310601</v>
      </c>
      <c r="B943" s="594" t="s">
        <v>3889</v>
      </c>
      <c r="C943" s="596">
        <v>0</v>
      </c>
      <c r="D943" s="596">
        <v>0</v>
      </c>
      <c r="E943" s="595">
        <v>3790987516.5700002</v>
      </c>
      <c r="F943" s="595">
        <v>3790987516.5700002</v>
      </c>
      <c r="G943" s="596">
        <v>0</v>
      </c>
      <c r="H943" s="596">
        <v>0</v>
      </c>
      <c r="I943" s="594" t="s">
        <v>3890</v>
      </c>
    </row>
    <row r="944" spans="1:9" ht="17.100000000000001" customHeight="1">
      <c r="A944" s="594">
        <v>30310602</v>
      </c>
      <c r="B944" s="594" t="s">
        <v>3891</v>
      </c>
      <c r="C944" s="596">
        <v>0</v>
      </c>
      <c r="D944" s="595">
        <v>357029.75</v>
      </c>
      <c r="E944" s="595">
        <v>28869605.109999999</v>
      </c>
      <c r="F944" s="595">
        <v>31729580.039999999</v>
      </c>
      <c r="G944" s="596">
        <v>0</v>
      </c>
      <c r="H944" s="595">
        <v>3217004.68</v>
      </c>
      <c r="I944" s="594" t="s">
        <v>3892</v>
      </c>
    </row>
    <row r="945" spans="1:9" ht="17.100000000000001" customHeight="1">
      <c r="A945" s="594">
        <v>30310603</v>
      </c>
      <c r="B945" s="594" t="s">
        <v>3893</v>
      </c>
      <c r="C945" s="596">
        <v>0</v>
      </c>
      <c r="D945" s="596">
        <v>0</v>
      </c>
      <c r="E945" s="595">
        <v>731099642.50999999</v>
      </c>
      <c r="F945" s="595">
        <v>731099642.50999999</v>
      </c>
      <c r="G945" s="596">
        <v>0</v>
      </c>
      <c r="H945" s="596">
        <v>0</v>
      </c>
      <c r="I945" s="594" t="s">
        <v>3894</v>
      </c>
    </row>
    <row r="946" spans="1:9" ht="17.100000000000001" customHeight="1">
      <c r="A946" s="594">
        <v>30310604</v>
      </c>
      <c r="B946" s="594" t="s">
        <v>3895</v>
      </c>
      <c r="C946" s="596">
        <v>0</v>
      </c>
      <c r="D946" s="595">
        <v>165596.79999999999</v>
      </c>
      <c r="E946" s="595">
        <v>1892200518.26</v>
      </c>
      <c r="F946" s="595">
        <v>1892434229.3599999</v>
      </c>
      <c r="G946" s="596">
        <v>0</v>
      </c>
      <c r="H946" s="595">
        <v>399307.9</v>
      </c>
      <c r="I946" s="594" t="s">
        <v>3896</v>
      </c>
    </row>
    <row r="947" spans="1:9" ht="17.100000000000001" customHeight="1">
      <c r="A947" s="594">
        <v>30310605</v>
      </c>
      <c r="B947" s="594" t="s">
        <v>3897</v>
      </c>
      <c r="C947" s="595">
        <v>14050</v>
      </c>
      <c r="D947" s="596">
        <v>0</v>
      </c>
      <c r="E947" s="595">
        <v>87489397.969999999</v>
      </c>
      <c r="F947" s="595">
        <v>87328958.969999999</v>
      </c>
      <c r="G947" s="595">
        <v>174489</v>
      </c>
      <c r="H947" s="596">
        <v>0</v>
      </c>
      <c r="I947" s="594" t="s">
        <v>3898</v>
      </c>
    </row>
    <row r="948" spans="1:9" ht="17.100000000000001" customHeight="1">
      <c r="A948" s="594">
        <v>30310606</v>
      </c>
      <c r="B948" s="594" t="s">
        <v>3899</v>
      </c>
      <c r="C948" s="596">
        <v>0</v>
      </c>
      <c r="D948" s="596">
        <v>0</v>
      </c>
      <c r="E948" s="595">
        <v>1488274597.79</v>
      </c>
      <c r="F948" s="595">
        <v>1488274597.79</v>
      </c>
      <c r="G948" s="596">
        <v>0</v>
      </c>
      <c r="H948" s="596">
        <v>0</v>
      </c>
      <c r="I948" s="594" t="s">
        <v>3900</v>
      </c>
    </row>
    <row r="949" spans="1:9" ht="17.100000000000001" customHeight="1">
      <c r="A949" s="594">
        <v>303107</v>
      </c>
      <c r="B949" s="594" t="s">
        <v>1683</v>
      </c>
      <c r="C949" s="596">
        <v>0</v>
      </c>
      <c r="D949" s="595">
        <v>88543664.200000003</v>
      </c>
      <c r="E949" s="595">
        <v>17133078789.66</v>
      </c>
      <c r="F949" s="595">
        <v>17167288297.34</v>
      </c>
      <c r="G949" s="596">
        <v>0</v>
      </c>
      <c r="H949" s="595">
        <v>122753171.88</v>
      </c>
      <c r="I949" s="594" t="s">
        <v>1684</v>
      </c>
    </row>
    <row r="950" spans="1:9" ht="17.100000000000001" customHeight="1">
      <c r="A950" s="594">
        <v>30310701</v>
      </c>
      <c r="B950" s="594" t="s">
        <v>1685</v>
      </c>
      <c r="C950" s="596">
        <v>0</v>
      </c>
      <c r="D950" s="595">
        <v>1920430512.3499999</v>
      </c>
      <c r="E950" s="595">
        <v>7180958833.3000002</v>
      </c>
      <c r="F950" s="595">
        <v>7187920108.3900003</v>
      </c>
      <c r="G950" s="596">
        <v>0</v>
      </c>
      <c r="H950" s="595">
        <v>1927391787.4400001</v>
      </c>
      <c r="I950" s="594" t="s">
        <v>1686</v>
      </c>
    </row>
    <row r="951" spans="1:9" ht="17.100000000000001" customHeight="1">
      <c r="A951" s="594">
        <v>30310703</v>
      </c>
      <c r="B951" s="594" t="s">
        <v>1687</v>
      </c>
      <c r="C951" s="595">
        <v>1831886848.1500001</v>
      </c>
      <c r="D951" s="596">
        <v>0</v>
      </c>
      <c r="E951" s="595">
        <v>9952119956.3600006</v>
      </c>
      <c r="F951" s="595">
        <v>9979368188.9500008</v>
      </c>
      <c r="G951" s="595">
        <v>1804638615.5599999</v>
      </c>
      <c r="H951" s="596">
        <v>0</v>
      </c>
      <c r="I951" s="594" t="s">
        <v>1688</v>
      </c>
    </row>
    <row r="952" spans="1:9" ht="17.100000000000001" customHeight="1">
      <c r="A952" s="594">
        <v>303108</v>
      </c>
      <c r="B952" s="594" t="s">
        <v>3901</v>
      </c>
      <c r="C952" s="596">
        <v>0</v>
      </c>
      <c r="D952" s="596">
        <v>0</v>
      </c>
      <c r="E952" s="595">
        <v>1460419353151.6899</v>
      </c>
      <c r="F952" s="595">
        <v>1460419353151.6899</v>
      </c>
      <c r="G952" s="596">
        <v>0</v>
      </c>
      <c r="H952" s="596">
        <v>0</v>
      </c>
      <c r="I952" s="594" t="s">
        <v>3902</v>
      </c>
    </row>
    <row r="953" spans="1:9" ht="17.100000000000001" customHeight="1">
      <c r="A953" s="594">
        <v>30310801</v>
      </c>
      <c r="B953" s="594" t="s">
        <v>3903</v>
      </c>
      <c r="C953" s="596">
        <v>0</v>
      </c>
      <c r="D953" s="596">
        <v>0</v>
      </c>
      <c r="E953" s="595">
        <v>1460419353151.6899</v>
      </c>
      <c r="F953" s="595">
        <v>1460419353151.6899</v>
      </c>
      <c r="G953" s="596">
        <v>0</v>
      </c>
      <c r="H953" s="596">
        <v>0</v>
      </c>
      <c r="I953" s="594" t="s">
        <v>3904</v>
      </c>
    </row>
    <row r="954" spans="1:9" ht="17.100000000000001" customHeight="1">
      <c r="A954" s="594">
        <v>303111</v>
      </c>
      <c r="B954" s="594" t="s">
        <v>2831</v>
      </c>
      <c r="C954" s="595">
        <v>63068920.909999996</v>
      </c>
      <c r="D954" s="596">
        <v>0</v>
      </c>
      <c r="E954" s="595">
        <v>26873682742.900002</v>
      </c>
      <c r="F954" s="595">
        <v>26827757852.029999</v>
      </c>
      <c r="G954" s="595">
        <v>108993811.78</v>
      </c>
      <c r="H954" s="596">
        <v>0</v>
      </c>
      <c r="I954" s="594" t="s">
        <v>2832</v>
      </c>
    </row>
    <row r="955" spans="1:9" ht="17.100000000000001" customHeight="1">
      <c r="A955" s="594">
        <v>30311101</v>
      </c>
      <c r="B955" s="594" t="s">
        <v>2831</v>
      </c>
      <c r="C955" s="595">
        <v>63068920.909999996</v>
      </c>
      <c r="D955" s="596">
        <v>0</v>
      </c>
      <c r="E955" s="595">
        <v>26873682742.900002</v>
      </c>
      <c r="F955" s="595">
        <v>26827757852.029999</v>
      </c>
      <c r="G955" s="595">
        <v>108993811.78</v>
      </c>
      <c r="H955" s="596">
        <v>0</v>
      </c>
      <c r="I955" s="594" t="s">
        <v>2833</v>
      </c>
    </row>
    <row r="956" spans="1:9" ht="17.100000000000001" customHeight="1">
      <c r="A956" s="594">
        <v>303112</v>
      </c>
      <c r="B956" s="594" t="s">
        <v>2834</v>
      </c>
      <c r="C956" s="596">
        <v>0</v>
      </c>
      <c r="D956" s="595">
        <v>437208.13</v>
      </c>
      <c r="E956" s="595">
        <v>4950499.82</v>
      </c>
      <c r="F956" s="595">
        <v>4669922.5199999996</v>
      </c>
      <c r="G956" s="596">
        <v>0</v>
      </c>
      <c r="H956" s="595">
        <v>156630.82999999999</v>
      </c>
      <c r="I956" s="594" t="s">
        <v>2835</v>
      </c>
    </row>
    <row r="957" spans="1:9" ht="17.100000000000001" customHeight="1">
      <c r="A957" s="594">
        <v>30311201</v>
      </c>
      <c r="B957" s="594" t="s">
        <v>2836</v>
      </c>
      <c r="C957" s="596">
        <v>0</v>
      </c>
      <c r="D957" s="595">
        <v>8104.87</v>
      </c>
      <c r="E957" s="595">
        <v>110938.47</v>
      </c>
      <c r="F957" s="595">
        <v>103104.58</v>
      </c>
      <c r="G957" s="596">
        <v>0</v>
      </c>
      <c r="H957" s="596">
        <v>270.98</v>
      </c>
      <c r="I957" s="594" t="s">
        <v>2837</v>
      </c>
    </row>
    <row r="958" spans="1:9" ht="17.100000000000001" customHeight="1">
      <c r="A958" s="594">
        <v>30311202</v>
      </c>
      <c r="B958" s="594" t="s">
        <v>2838</v>
      </c>
      <c r="C958" s="596">
        <v>0</v>
      </c>
      <c r="D958" s="595">
        <v>429330.64</v>
      </c>
      <c r="E958" s="595">
        <v>4822016.3099999996</v>
      </c>
      <c r="F958" s="595">
        <v>4549269.96</v>
      </c>
      <c r="G958" s="596">
        <v>0</v>
      </c>
      <c r="H958" s="595">
        <v>156584.29</v>
      </c>
      <c r="I958" s="594" t="s">
        <v>2839</v>
      </c>
    </row>
    <row r="959" spans="1:9" ht="17.100000000000001" customHeight="1">
      <c r="A959" s="594">
        <v>30311203</v>
      </c>
      <c r="B959" s="594" t="s">
        <v>3905</v>
      </c>
      <c r="C959" s="596">
        <v>0</v>
      </c>
      <c r="D959" s="596">
        <v>0</v>
      </c>
      <c r="E959" s="595">
        <v>17545.04</v>
      </c>
      <c r="F959" s="595">
        <v>17545.04</v>
      </c>
      <c r="G959" s="596">
        <v>0</v>
      </c>
      <c r="H959" s="596">
        <v>0</v>
      </c>
      <c r="I959" s="594" t="s">
        <v>3906</v>
      </c>
    </row>
    <row r="960" spans="1:9" ht="17.100000000000001" customHeight="1">
      <c r="A960" s="594">
        <v>30311205</v>
      </c>
      <c r="B960" s="594" t="s">
        <v>3907</v>
      </c>
      <c r="C960" s="596">
        <v>227.38</v>
      </c>
      <c r="D960" s="596">
        <v>0</v>
      </c>
      <c r="E960" s="596">
        <v>0</v>
      </c>
      <c r="F960" s="596">
        <v>2.94</v>
      </c>
      <c r="G960" s="596">
        <v>224.44</v>
      </c>
      <c r="H960" s="596">
        <v>0</v>
      </c>
      <c r="I960" s="594" t="s">
        <v>3908</v>
      </c>
    </row>
    <row r="961" spans="1:9" ht="17.100000000000001" customHeight="1">
      <c r="A961" s="594">
        <v>303199</v>
      </c>
      <c r="B961" s="594" t="s">
        <v>1689</v>
      </c>
      <c r="C961" s="595">
        <v>36431272.310000002</v>
      </c>
      <c r="D961" s="596">
        <v>0</v>
      </c>
      <c r="E961" s="595">
        <v>1373883252650.6101</v>
      </c>
      <c r="F961" s="595">
        <v>1373892602047.99</v>
      </c>
      <c r="G961" s="595">
        <v>27081874.93</v>
      </c>
      <c r="H961" s="596">
        <v>0</v>
      </c>
      <c r="I961" s="594" t="s">
        <v>1690</v>
      </c>
    </row>
    <row r="962" spans="1:9" ht="17.100000000000001" customHeight="1">
      <c r="A962" s="594">
        <v>30319999</v>
      </c>
      <c r="B962" s="594" t="s">
        <v>489</v>
      </c>
      <c r="C962" s="595">
        <v>36431272.310000002</v>
      </c>
      <c r="D962" s="596">
        <v>0</v>
      </c>
      <c r="E962" s="595">
        <v>1373883252650.6101</v>
      </c>
      <c r="F962" s="595">
        <v>1373892602047.99</v>
      </c>
      <c r="G962" s="595">
        <v>27081874.93</v>
      </c>
      <c r="H962" s="596">
        <v>0</v>
      </c>
      <c r="I962" s="594" t="s">
        <v>1691</v>
      </c>
    </row>
    <row r="963" spans="1:9" ht="17.100000000000001" customHeight="1">
      <c r="A963" s="594">
        <v>3041</v>
      </c>
      <c r="B963" s="594" t="s">
        <v>1692</v>
      </c>
      <c r="C963" s="595">
        <v>5758756.9500000002</v>
      </c>
      <c r="D963" s="596">
        <v>0</v>
      </c>
      <c r="E963" s="595">
        <v>1230093000942.4099</v>
      </c>
      <c r="F963" s="595">
        <v>1229699830149.8201</v>
      </c>
      <c r="G963" s="595">
        <v>398929549.54000002</v>
      </c>
      <c r="H963" s="596">
        <v>0</v>
      </c>
      <c r="I963" s="594" t="s">
        <v>1693</v>
      </c>
    </row>
    <row r="964" spans="1:9" ht="17.100000000000001" customHeight="1">
      <c r="A964" s="594">
        <v>304101</v>
      </c>
      <c r="B964" s="594" t="s">
        <v>1694</v>
      </c>
      <c r="C964" s="596">
        <v>0</v>
      </c>
      <c r="D964" s="596">
        <v>0.02</v>
      </c>
      <c r="E964" s="595">
        <v>193867128437.45001</v>
      </c>
      <c r="F964" s="595">
        <v>193867128437.63</v>
      </c>
      <c r="G964" s="596">
        <v>0</v>
      </c>
      <c r="H964" s="596">
        <v>0.2</v>
      </c>
      <c r="I964" s="594" t="s">
        <v>1695</v>
      </c>
    </row>
    <row r="965" spans="1:9" ht="28.5" customHeight="1">
      <c r="A965" s="594">
        <v>30410101</v>
      </c>
      <c r="B965" s="594" t="s">
        <v>1696</v>
      </c>
      <c r="C965" s="596">
        <v>0</v>
      </c>
      <c r="D965" s="596">
        <v>0.02</v>
      </c>
      <c r="E965" s="595">
        <v>185467228910.64999</v>
      </c>
      <c r="F965" s="595">
        <v>185467228910.82999</v>
      </c>
      <c r="G965" s="596">
        <v>0</v>
      </c>
      <c r="H965" s="596">
        <v>0.2</v>
      </c>
      <c r="I965" s="594" t="s">
        <v>1697</v>
      </c>
    </row>
    <row r="966" spans="1:9">
      <c r="A966" s="594">
        <v>30410111</v>
      </c>
      <c r="B966" s="594" t="s">
        <v>1698</v>
      </c>
      <c r="C966" s="596">
        <v>0</v>
      </c>
      <c r="D966" s="595">
        <v>22692198644.009998</v>
      </c>
      <c r="E966" s="596">
        <v>0</v>
      </c>
      <c r="F966" s="595">
        <v>3920000000</v>
      </c>
      <c r="G966" s="596">
        <v>0</v>
      </c>
      <c r="H966" s="595">
        <v>26612198644.009998</v>
      </c>
      <c r="I966" s="594" t="s">
        <v>1699</v>
      </c>
    </row>
    <row r="967" spans="1:9">
      <c r="A967" s="320"/>
      <c r="B967" s="320"/>
      <c r="C967" s="320"/>
      <c r="D967" s="557" t="s">
        <v>4198</v>
      </c>
      <c r="E967" s="320" t="s">
        <v>3764</v>
      </c>
      <c r="F967" s="320"/>
      <c r="G967" s="320"/>
      <c r="H967" s="320"/>
      <c r="I967" s="320"/>
    </row>
    <row r="968" spans="1:9">
      <c r="A968" s="671"/>
      <c r="B968" s="671"/>
      <c r="C968" s="671"/>
      <c r="D968" s="671"/>
      <c r="E968" s="671"/>
      <c r="F968" s="671"/>
      <c r="G968" s="671"/>
      <c r="H968" s="671"/>
      <c r="I968" s="671"/>
    </row>
    <row r="969" spans="1:9" ht="28.5" customHeight="1">
      <c r="A969" s="320"/>
      <c r="B969" s="320"/>
      <c r="C969" s="589" t="s">
        <v>3707</v>
      </c>
      <c r="D969" s="320"/>
      <c r="E969" s="320"/>
      <c r="F969" s="671"/>
      <c r="G969" s="671"/>
      <c r="H969" s="671"/>
      <c r="I969" s="671"/>
    </row>
    <row r="970" spans="1:9" ht="17.100000000000001" customHeight="1">
      <c r="A970" s="590" t="s">
        <v>3708</v>
      </c>
      <c r="B970" s="590"/>
      <c r="C970" s="597">
        <v>42887</v>
      </c>
      <c r="D970" s="590"/>
      <c r="E970" s="557" t="s">
        <v>3709</v>
      </c>
      <c r="F970" s="671"/>
      <c r="G970" s="671"/>
      <c r="H970" s="671"/>
      <c r="I970" s="671"/>
    </row>
    <row r="971" spans="1:9" ht="17.100000000000001" customHeight="1">
      <c r="A971" s="593" t="s">
        <v>596</v>
      </c>
      <c r="B971" s="593" t="s">
        <v>597</v>
      </c>
      <c r="C971" s="593" t="s">
        <v>3710</v>
      </c>
      <c r="D971" s="593" t="s">
        <v>3711</v>
      </c>
      <c r="E971" s="593" t="s">
        <v>3712</v>
      </c>
      <c r="F971" s="593" t="s">
        <v>3713</v>
      </c>
      <c r="G971" s="593" t="s">
        <v>3714</v>
      </c>
      <c r="H971" s="593" t="s">
        <v>3715</v>
      </c>
      <c r="I971" s="593" t="s">
        <v>596</v>
      </c>
    </row>
    <row r="972" spans="1:9" ht="17.100000000000001" customHeight="1">
      <c r="A972" s="594">
        <v>30410199</v>
      </c>
      <c r="B972" s="594" t="s">
        <v>1700</v>
      </c>
      <c r="C972" s="595">
        <v>22692198644.009998</v>
      </c>
      <c r="D972" s="596">
        <v>0</v>
      </c>
      <c r="E972" s="595">
        <v>8399899526.8000002</v>
      </c>
      <c r="F972" s="595">
        <v>4479899526.8000002</v>
      </c>
      <c r="G972" s="595">
        <v>26612198644.009998</v>
      </c>
      <c r="H972" s="596">
        <v>0</v>
      </c>
      <c r="I972" s="594" t="s">
        <v>1701</v>
      </c>
    </row>
    <row r="973" spans="1:9" ht="17.100000000000001" customHeight="1">
      <c r="A973" s="594">
        <v>304105</v>
      </c>
      <c r="B973" s="594" t="s">
        <v>1702</v>
      </c>
      <c r="C973" s="596">
        <v>0</v>
      </c>
      <c r="D973" s="595">
        <v>7682.85</v>
      </c>
      <c r="E973" s="595">
        <v>1630687060.03</v>
      </c>
      <c r="F973" s="595">
        <v>1630687060.04</v>
      </c>
      <c r="G973" s="596">
        <v>0</v>
      </c>
      <c r="H973" s="595">
        <v>7682.86</v>
      </c>
      <c r="I973" s="594" t="s">
        <v>1703</v>
      </c>
    </row>
    <row r="974" spans="1:9" ht="17.100000000000001" customHeight="1">
      <c r="A974" s="594">
        <v>30410501</v>
      </c>
      <c r="B974" s="594" t="s">
        <v>1702</v>
      </c>
      <c r="C974" s="596">
        <v>0</v>
      </c>
      <c r="D974" s="595">
        <v>7682.85</v>
      </c>
      <c r="E974" s="595">
        <v>1630687060.03</v>
      </c>
      <c r="F974" s="595">
        <v>1630687060.04</v>
      </c>
      <c r="G974" s="596">
        <v>0</v>
      </c>
      <c r="H974" s="595">
        <v>7682.86</v>
      </c>
      <c r="I974" s="594" t="s">
        <v>1704</v>
      </c>
    </row>
    <row r="975" spans="1:9" ht="17.100000000000001" customHeight="1">
      <c r="A975" s="594">
        <v>30410901</v>
      </c>
      <c r="B975" s="594" t="s">
        <v>1705</v>
      </c>
      <c r="C975" s="595">
        <v>1324900000</v>
      </c>
      <c r="D975" s="596">
        <v>0</v>
      </c>
      <c r="E975" s="596">
        <v>0</v>
      </c>
      <c r="F975" s="596">
        <v>0</v>
      </c>
      <c r="G975" s="595">
        <v>1324900000</v>
      </c>
      <c r="H975" s="596">
        <v>0</v>
      </c>
      <c r="I975" s="594" t="s">
        <v>1706</v>
      </c>
    </row>
    <row r="976" spans="1:9" ht="17.100000000000001" customHeight="1">
      <c r="A976" s="594">
        <v>30410902</v>
      </c>
      <c r="B976" s="594" t="s">
        <v>1707</v>
      </c>
      <c r="C976" s="596">
        <v>0</v>
      </c>
      <c r="D976" s="595">
        <v>1324900000</v>
      </c>
      <c r="E976" s="596">
        <v>0</v>
      </c>
      <c r="F976" s="596">
        <v>0</v>
      </c>
      <c r="G976" s="596">
        <v>0</v>
      </c>
      <c r="H976" s="595">
        <v>1324900000</v>
      </c>
      <c r="I976" s="594" t="s">
        <v>1708</v>
      </c>
    </row>
    <row r="977" spans="1:9" ht="17.100000000000001" customHeight="1">
      <c r="A977" s="594">
        <v>304114</v>
      </c>
      <c r="B977" s="594" t="s">
        <v>1709</v>
      </c>
      <c r="C977" s="595">
        <v>5749356.4900000002</v>
      </c>
      <c r="D977" s="596">
        <v>0</v>
      </c>
      <c r="E977" s="595">
        <v>3037305928.21</v>
      </c>
      <c r="F977" s="595">
        <v>3044244724.4699998</v>
      </c>
      <c r="G977" s="596">
        <v>0</v>
      </c>
      <c r="H977" s="595">
        <v>1189439.77</v>
      </c>
      <c r="I977" s="594" t="s">
        <v>1710</v>
      </c>
    </row>
    <row r="978" spans="1:9" ht="17.100000000000001" customHeight="1">
      <c r="A978" s="594">
        <v>30411401</v>
      </c>
      <c r="B978" s="594" t="s">
        <v>1709</v>
      </c>
      <c r="C978" s="595">
        <v>5749356.4900000002</v>
      </c>
      <c r="D978" s="596">
        <v>0</v>
      </c>
      <c r="E978" s="595">
        <v>3037305928.21</v>
      </c>
      <c r="F978" s="595">
        <v>3044244724.4699998</v>
      </c>
      <c r="G978" s="596">
        <v>0</v>
      </c>
      <c r="H978" s="595">
        <v>1189439.77</v>
      </c>
      <c r="I978" s="594" t="s">
        <v>1711</v>
      </c>
    </row>
    <row r="979" spans="1:9" ht="17.100000000000001" customHeight="1">
      <c r="A979" s="594">
        <v>304115</v>
      </c>
      <c r="B979" s="594" t="s">
        <v>3909</v>
      </c>
      <c r="C979" s="595">
        <v>17083.330000000002</v>
      </c>
      <c r="D979" s="596">
        <v>0</v>
      </c>
      <c r="E979" s="595">
        <v>1031557879516.72</v>
      </c>
      <c r="F979" s="595">
        <v>1031157769927.6801</v>
      </c>
      <c r="G979" s="595">
        <v>400126672.37</v>
      </c>
      <c r="H979" s="596">
        <v>0</v>
      </c>
      <c r="I979" s="594" t="s">
        <v>3910</v>
      </c>
    </row>
    <row r="980" spans="1:9" ht="17.100000000000001" customHeight="1">
      <c r="A980" s="594">
        <v>30411501</v>
      </c>
      <c r="B980" s="594" t="s">
        <v>3909</v>
      </c>
      <c r="C980" s="595">
        <v>17083.330000000002</v>
      </c>
      <c r="D980" s="596">
        <v>0</v>
      </c>
      <c r="E980" s="595">
        <v>1031557879516.72</v>
      </c>
      <c r="F980" s="595">
        <v>1031157769927.6801</v>
      </c>
      <c r="G980" s="595">
        <v>400126672.37</v>
      </c>
      <c r="H980" s="596">
        <v>0</v>
      </c>
      <c r="I980" s="594" t="s">
        <v>3911</v>
      </c>
    </row>
    <row r="981" spans="1:9" ht="17.100000000000001" customHeight="1">
      <c r="A981" s="594">
        <v>305101</v>
      </c>
      <c r="B981" s="594" t="s">
        <v>1705</v>
      </c>
      <c r="C981" s="595">
        <v>388503825</v>
      </c>
      <c r="D981" s="596">
        <v>0</v>
      </c>
      <c r="E981" s="596">
        <v>0</v>
      </c>
      <c r="F981" s="596">
        <v>0</v>
      </c>
      <c r="G981" s="595">
        <v>388503825</v>
      </c>
      <c r="H981" s="596">
        <v>0</v>
      </c>
      <c r="I981" s="594" t="s">
        <v>1712</v>
      </c>
    </row>
    <row r="982" spans="1:9" ht="17.100000000000001" customHeight="1">
      <c r="A982" s="594">
        <v>30510101</v>
      </c>
      <c r="B982" s="594" t="s">
        <v>1705</v>
      </c>
      <c r="C982" s="595">
        <v>388503825</v>
      </c>
      <c r="D982" s="596">
        <v>0</v>
      </c>
      <c r="E982" s="596">
        <v>0</v>
      </c>
      <c r="F982" s="596">
        <v>0</v>
      </c>
      <c r="G982" s="595">
        <v>388503825</v>
      </c>
      <c r="H982" s="596">
        <v>0</v>
      </c>
      <c r="I982" s="594" t="s">
        <v>1713</v>
      </c>
    </row>
    <row r="983" spans="1:9" ht="17.100000000000001" customHeight="1">
      <c r="A983" s="594">
        <v>305102</v>
      </c>
      <c r="B983" s="594" t="s">
        <v>1707</v>
      </c>
      <c r="C983" s="596">
        <v>0</v>
      </c>
      <c r="D983" s="595">
        <v>388503825</v>
      </c>
      <c r="E983" s="596">
        <v>0</v>
      </c>
      <c r="F983" s="596">
        <v>0</v>
      </c>
      <c r="G983" s="596">
        <v>0</v>
      </c>
      <c r="H983" s="595">
        <v>388503825</v>
      </c>
      <c r="I983" s="594" t="s">
        <v>1714</v>
      </c>
    </row>
    <row r="984" spans="1:9" ht="17.100000000000001" customHeight="1">
      <c r="A984" s="594">
        <v>30510201</v>
      </c>
      <c r="B984" s="594" t="s">
        <v>1707</v>
      </c>
      <c r="C984" s="596">
        <v>0</v>
      </c>
      <c r="D984" s="595">
        <v>388503825</v>
      </c>
      <c r="E984" s="596">
        <v>0</v>
      </c>
      <c r="F984" s="596">
        <v>0</v>
      </c>
      <c r="G984" s="596">
        <v>0</v>
      </c>
      <c r="H984" s="595">
        <v>388503825</v>
      </c>
      <c r="I984" s="594" t="s">
        <v>1715</v>
      </c>
    </row>
    <row r="985" spans="1:9" ht="17.100000000000001" customHeight="1">
      <c r="A985" s="594">
        <v>3301</v>
      </c>
      <c r="B985" s="594" t="s">
        <v>3912</v>
      </c>
      <c r="C985" s="596">
        <v>0</v>
      </c>
      <c r="D985" s="596">
        <v>0</v>
      </c>
      <c r="E985" s="595">
        <v>48489290219.949997</v>
      </c>
      <c r="F985" s="595">
        <v>48489290219.949997</v>
      </c>
      <c r="G985" s="596">
        <v>0</v>
      </c>
      <c r="H985" s="596">
        <v>0</v>
      </c>
      <c r="I985" s="594" t="s">
        <v>3913</v>
      </c>
    </row>
    <row r="986" spans="1:9" ht="17.100000000000001" customHeight="1">
      <c r="A986" s="594">
        <v>330103</v>
      </c>
      <c r="B986" s="594" t="s">
        <v>3914</v>
      </c>
      <c r="C986" s="596">
        <v>0</v>
      </c>
      <c r="D986" s="596">
        <v>0</v>
      </c>
      <c r="E986" s="595">
        <v>12749131876.280001</v>
      </c>
      <c r="F986" s="595">
        <v>12749131876.280001</v>
      </c>
      <c r="G986" s="596">
        <v>0</v>
      </c>
      <c r="H986" s="596">
        <v>0</v>
      </c>
      <c r="I986" s="594" t="s">
        <v>3915</v>
      </c>
    </row>
    <row r="987" spans="1:9" ht="17.100000000000001" customHeight="1">
      <c r="A987" s="594">
        <v>33010301</v>
      </c>
      <c r="B987" s="594" t="s">
        <v>3914</v>
      </c>
      <c r="C987" s="596">
        <v>0</v>
      </c>
      <c r="D987" s="596">
        <v>0</v>
      </c>
      <c r="E987" s="595">
        <v>12749131876.280001</v>
      </c>
      <c r="F987" s="595">
        <v>12749131876.280001</v>
      </c>
      <c r="G987" s="596">
        <v>0</v>
      </c>
      <c r="H987" s="596">
        <v>0</v>
      </c>
      <c r="I987" s="594" t="s">
        <v>3916</v>
      </c>
    </row>
    <row r="988" spans="1:9" ht="17.100000000000001" customHeight="1">
      <c r="A988" s="594">
        <v>330105</v>
      </c>
      <c r="B988" s="594" t="s">
        <v>3917</v>
      </c>
      <c r="C988" s="596">
        <v>0</v>
      </c>
      <c r="D988" s="596">
        <v>0</v>
      </c>
      <c r="E988" s="595">
        <v>29059964161.369999</v>
      </c>
      <c r="F988" s="595">
        <v>29059964161.369999</v>
      </c>
      <c r="G988" s="596">
        <v>0</v>
      </c>
      <c r="H988" s="596">
        <v>0</v>
      </c>
      <c r="I988" s="594" t="s">
        <v>3918</v>
      </c>
    </row>
    <row r="989" spans="1:9" ht="17.100000000000001" customHeight="1">
      <c r="A989" s="594">
        <v>33010501</v>
      </c>
      <c r="B989" s="594" t="s">
        <v>3919</v>
      </c>
      <c r="C989" s="596">
        <v>0</v>
      </c>
      <c r="D989" s="596">
        <v>0</v>
      </c>
      <c r="E989" s="595">
        <v>29059964161.369999</v>
      </c>
      <c r="F989" s="595">
        <v>29059964161.369999</v>
      </c>
      <c r="G989" s="596">
        <v>0</v>
      </c>
      <c r="H989" s="596">
        <v>0</v>
      </c>
      <c r="I989" s="594" t="s">
        <v>3920</v>
      </c>
    </row>
    <row r="990" spans="1:9" ht="17.100000000000001" customHeight="1">
      <c r="A990" s="594">
        <v>330106</v>
      </c>
      <c r="B990" s="594" t="s">
        <v>3921</v>
      </c>
      <c r="C990" s="596">
        <v>0</v>
      </c>
      <c r="D990" s="596">
        <v>0</v>
      </c>
      <c r="E990" s="595">
        <v>1632903525.01</v>
      </c>
      <c r="F990" s="595">
        <v>1632903525.01</v>
      </c>
      <c r="G990" s="596">
        <v>0</v>
      </c>
      <c r="H990" s="596">
        <v>0</v>
      </c>
      <c r="I990" s="594" t="s">
        <v>3922</v>
      </c>
    </row>
    <row r="991" spans="1:9" ht="17.100000000000001" customHeight="1">
      <c r="A991" s="594">
        <v>33010601</v>
      </c>
      <c r="B991" s="594" t="s">
        <v>3923</v>
      </c>
      <c r="C991" s="596">
        <v>0</v>
      </c>
      <c r="D991" s="596">
        <v>0</v>
      </c>
      <c r="E991" s="595">
        <v>1632903525.01</v>
      </c>
      <c r="F991" s="595">
        <v>1632903525.01</v>
      </c>
      <c r="G991" s="596">
        <v>0</v>
      </c>
      <c r="H991" s="596">
        <v>0</v>
      </c>
      <c r="I991" s="594" t="s">
        <v>3924</v>
      </c>
    </row>
    <row r="992" spans="1:9" ht="17.100000000000001" customHeight="1">
      <c r="A992" s="594">
        <v>330107</v>
      </c>
      <c r="B992" s="594" t="s">
        <v>3925</v>
      </c>
      <c r="C992" s="596">
        <v>0</v>
      </c>
      <c r="D992" s="596">
        <v>0</v>
      </c>
      <c r="E992" s="595">
        <v>1963194922.54</v>
      </c>
      <c r="F992" s="595">
        <v>1963194922.54</v>
      </c>
      <c r="G992" s="596">
        <v>0</v>
      </c>
      <c r="H992" s="596">
        <v>0</v>
      </c>
      <c r="I992" s="594" t="s">
        <v>3926</v>
      </c>
    </row>
    <row r="993" spans="1:9" ht="17.100000000000001" customHeight="1">
      <c r="A993" s="594">
        <v>33010701</v>
      </c>
      <c r="B993" s="594" t="s">
        <v>3925</v>
      </c>
      <c r="C993" s="596">
        <v>0</v>
      </c>
      <c r="D993" s="596">
        <v>0</v>
      </c>
      <c r="E993" s="595">
        <v>1963194922.54</v>
      </c>
      <c r="F993" s="595">
        <v>1963194922.54</v>
      </c>
      <c r="G993" s="596">
        <v>0</v>
      </c>
      <c r="H993" s="596">
        <v>0</v>
      </c>
      <c r="I993" s="594" t="s">
        <v>3927</v>
      </c>
    </row>
    <row r="994" spans="1:9" ht="17.100000000000001" customHeight="1">
      <c r="A994" s="594">
        <v>330110</v>
      </c>
      <c r="B994" s="594" t="s">
        <v>3928</v>
      </c>
      <c r="C994" s="596">
        <v>0</v>
      </c>
      <c r="D994" s="596">
        <v>0</v>
      </c>
      <c r="E994" s="595">
        <v>27549010.600000001</v>
      </c>
      <c r="F994" s="595">
        <v>27549010.600000001</v>
      </c>
      <c r="G994" s="596">
        <v>0</v>
      </c>
      <c r="H994" s="596">
        <v>0</v>
      </c>
      <c r="I994" s="594" t="s">
        <v>3929</v>
      </c>
    </row>
    <row r="995" spans="1:9" ht="17.100000000000001" customHeight="1">
      <c r="A995" s="594">
        <v>33011001</v>
      </c>
      <c r="B995" s="594" t="s">
        <v>3928</v>
      </c>
      <c r="C995" s="596">
        <v>0</v>
      </c>
      <c r="D995" s="596">
        <v>0</v>
      </c>
      <c r="E995" s="595">
        <v>27549010.600000001</v>
      </c>
      <c r="F995" s="595">
        <v>27549010.600000001</v>
      </c>
      <c r="G995" s="596">
        <v>0</v>
      </c>
      <c r="H995" s="596">
        <v>0</v>
      </c>
      <c r="I995" s="594" t="s">
        <v>3930</v>
      </c>
    </row>
    <row r="996" spans="1:9" ht="17.100000000000001" customHeight="1">
      <c r="A996" s="594">
        <v>330113</v>
      </c>
      <c r="B996" s="594" t="s">
        <v>3934</v>
      </c>
      <c r="C996" s="596">
        <v>0</v>
      </c>
      <c r="D996" s="596">
        <v>0</v>
      </c>
      <c r="E996" s="595">
        <v>3051244898.29</v>
      </c>
      <c r="F996" s="595">
        <v>3051244898.29</v>
      </c>
      <c r="G996" s="596">
        <v>0</v>
      </c>
      <c r="H996" s="596">
        <v>0</v>
      </c>
      <c r="I996" s="594" t="s">
        <v>3935</v>
      </c>
    </row>
    <row r="997" spans="1:9" ht="17.100000000000001" customHeight="1">
      <c r="A997" s="594">
        <v>33011301</v>
      </c>
      <c r="B997" s="594" t="s">
        <v>3934</v>
      </c>
      <c r="C997" s="596">
        <v>0</v>
      </c>
      <c r="D997" s="596">
        <v>0</v>
      </c>
      <c r="E997" s="595">
        <v>3051244898.29</v>
      </c>
      <c r="F997" s="595">
        <v>3051244898.29</v>
      </c>
      <c r="G997" s="596">
        <v>0</v>
      </c>
      <c r="H997" s="596">
        <v>0</v>
      </c>
      <c r="I997" s="594" t="s">
        <v>3936</v>
      </c>
    </row>
    <row r="998" spans="1:9" ht="17.100000000000001" customHeight="1">
      <c r="A998" s="594">
        <v>330114</v>
      </c>
      <c r="B998" s="594" t="s">
        <v>3937</v>
      </c>
      <c r="C998" s="596">
        <v>0</v>
      </c>
      <c r="D998" s="596">
        <v>0</v>
      </c>
      <c r="E998" s="595">
        <v>5301825.8600000003</v>
      </c>
      <c r="F998" s="595">
        <v>5301825.8600000003</v>
      </c>
      <c r="G998" s="596">
        <v>0</v>
      </c>
      <c r="H998" s="596">
        <v>0</v>
      </c>
      <c r="I998" s="594" t="s">
        <v>3938</v>
      </c>
    </row>
    <row r="999" spans="1:9" ht="17.100000000000001" customHeight="1">
      <c r="A999" s="594">
        <v>33011401</v>
      </c>
      <c r="B999" s="594" t="s">
        <v>3937</v>
      </c>
      <c r="C999" s="596">
        <v>0</v>
      </c>
      <c r="D999" s="596">
        <v>0</v>
      </c>
      <c r="E999" s="595">
        <v>5301825.8600000003</v>
      </c>
      <c r="F999" s="595">
        <v>5301825.8600000003</v>
      </c>
      <c r="G999" s="596">
        <v>0</v>
      </c>
      <c r="H999" s="596">
        <v>0</v>
      </c>
      <c r="I999" s="594" t="s">
        <v>3939</v>
      </c>
    </row>
    <row r="1000" spans="1:9" ht="17.100000000000001" customHeight="1">
      <c r="A1000" s="594"/>
      <c r="B1000" s="598" t="s">
        <v>3760</v>
      </c>
      <c r="C1000" s="595">
        <v>26374883899.02</v>
      </c>
      <c r="D1000" s="595">
        <v>26332837571.009998</v>
      </c>
      <c r="E1000" s="595">
        <v>6871524832089.5898</v>
      </c>
      <c r="F1000" s="595">
        <v>6870791851850.0703</v>
      </c>
      <c r="G1000" s="595">
        <v>31032991114.66</v>
      </c>
      <c r="H1000" s="595">
        <v>30257964547.130001</v>
      </c>
      <c r="I1000" s="594" t="s">
        <v>1125</v>
      </c>
    </row>
    <row r="1001" spans="1:9" ht="17.100000000000001" customHeight="1">
      <c r="A1001" s="320"/>
      <c r="B1001" s="320"/>
      <c r="C1001" s="320"/>
      <c r="D1001" s="557" t="s">
        <v>4198</v>
      </c>
      <c r="E1001" s="320" t="s">
        <v>3768</v>
      </c>
      <c r="F1001" s="320"/>
      <c r="G1001" s="320"/>
      <c r="H1001" s="320"/>
      <c r="I1001" s="320"/>
    </row>
    <row r="1002" spans="1:9" ht="17.100000000000001" customHeight="1">
      <c r="A1002" s="671"/>
      <c r="B1002" s="671"/>
      <c r="C1002" s="671"/>
      <c r="D1002" s="671"/>
      <c r="E1002" s="671"/>
      <c r="F1002" s="671"/>
      <c r="G1002" s="671"/>
      <c r="H1002" s="671"/>
      <c r="I1002" s="671"/>
    </row>
    <row r="1003" spans="1:9" ht="17.100000000000001" customHeight="1">
      <c r="A1003" s="320"/>
      <c r="B1003" s="320"/>
      <c r="C1003" s="589" t="s">
        <v>3707</v>
      </c>
      <c r="D1003" s="320"/>
      <c r="E1003" s="320"/>
      <c r="F1003" s="671"/>
      <c r="G1003" s="671"/>
      <c r="H1003" s="671"/>
      <c r="I1003" s="671"/>
    </row>
    <row r="1004" spans="1:9" ht="28.5" customHeight="1">
      <c r="A1004" s="590" t="s">
        <v>3708</v>
      </c>
      <c r="B1004" s="590"/>
      <c r="C1004" s="597">
        <v>42887</v>
      </c>
      <c r="D1004" s="590"/>
      <c r="E1004" s="557" t="s">
        <v>3709</v>
      </c>
      <c r="F1004" s="671"/>
      <c r="G1004" s="671"/>
      <c r="H1004" s="671"/>
      <c r="I1004" s="671"/>
    </row>
    <row r="1005" spans="1:9" ht="16.5">
      <c r="A1005" s="593" t="s">
        <v>596</v>
      </c>
      <c r="B1005" s="593" t="s">
        <v>597</v>
      </c>
      <c r="C1005" s="593" t="s">
        <v>3710</v>
      </c>
      <c r="D1005" s="593" t="s">
        <v>3711</v>
      </c>
      <c r="E1005" s="593" t="s">
        <v>3712</v>
      </c>
      <c r="F1005" s="593" t="s">
        <v>3713</v>
      </c>
      <c r="G1005" s="593" t="s">
        <v>3714</v>
      </c>
      <c r="H1005" s="593" t="s">
        <v>3715</v>
      </c>
      <c r="I1005" s="593" t="s">
        <v>596</v>
      </c>
    </row>
    <row r="1006" spans="1:9">
      <c r="A1006" s="594">
        <v>4001</v>
      </c>
      <c r="B1006" s="594" t="s">
        <v>1716</v>
      </c>
      <c r="C1006" s="596">
        <v>0</v>
      </c>
      <c r="D1006" s="595">
        <v>8153418539</v>
      </c>
      <c r="E1006" s="596">
        <v>0</v>
      </c>
      <c r="F1006" s="595">
        <v>1439000000</v>
      </c>
      <c r="G1006" s="596">
        <v>0</v>
      </c>
      <c r="H1006" s="595">
        <v>9592418539</v>
      </c>
      <c r="I1006" s="594" t="s">
        <v>1717</v>
      </c>
    </row>
    <row r="1007" spans="1:9">
      <c r="A1007" s="594">
        <v>400101</v>
      </c>
      <c r="B1007" s="594" t="s">
        <v>1718</v>
      </c>
      <c r="C1007" s="596">
        <v>0</v>
      </c>
      <c r="D1007" s="595">
        <v>5754293600</v>
      </c>
      <c r="E1007" s="596">
        <v>0</v>
      </c>
      <c r="F1007" s="596">
        <v>0</v>
      </c>
      <c r="G1007" s="596">
        <v>0</v>
      </c>
      <c r="H1007" s="595">
        <v>5754293600</v>
      </c>
      <c r="I1007" s="594" t="s">
        <v>1719</v>
      </c>
    </row>
    <row r="1008" spans="1:9" ht="28.5" customHeight="1">
      <c r="A1008" s="594">
        <v>40010101</v>
      </c>
      <c r="B1008" s="594" t="s">
        <v>1718</v>
      </c>
      <c r="C1008" s="596">
        <v>0</v>
      </c>
      <c r="D1008" s="595">
        <v>5754293600</v>
      </c>
      <c r="E1008" s="596">
        <v>0</v>
      </c>
      <c r="F1008" s="596">
        <v>0</v>
      </c>
      <c r="G1008" s="596">
        <v>0</v>
      </c>
      <c r="H1008" s="595">
        <v>5754293600</v>
      </c>
      <c r="I1008" s="594" t="s">
        <v>1720</v>
      </c>
    </row>
    <row r="1009" spans="1:9" ht="17.100000000000001" customHeight="1">
      <c r="A1009" s="594">
        <v>400102</v>
      </c>
      <c r="B1009" s="594" t="s">
        <v>1721</v>
      </c>
      <c r="C1009" s="596">
        <v>0</v>
      </c>
      <c r="D1009" s="595">
        <v>377457616</v>
      </c>
      <c r="E1009" s="596">
        <v>0</v>
      </c>
      <c r="F1009" s="596">
        <v>0</v>
      </c>
      <c r="G1009" s="596">
        <v>0</v>
      </c>
      <c r="H1009" s="595">
        <v>377457616</v>
      </c>
      <c r="I1009" s="594" t="s">
        <v>1722</v>
      </c>
    </row>
    <row r="1010" spans="1:9" ht="17.100000000000001" customHeight="1">
      <c r="A1010" s="594">
        <v>40010201</v>
      </c>
      <c r="B1010" s="594" t="s">
        <v>1721</v>
      </c>
      <c r="C1010" s="596">
        <v>0</v>
      </c>
      <c r="D1010" s="595">
        <v>377457616</v>
      </c>
      <c r="E1010" s="596">
        <v>0</v>
      </c>
      <c r="F1010" s="596">
        <v>0</v>
      </c>
      <c r="G1010" s="596">
        <v>0</v>
      </c>
      <c r="H1010" s="595">
        <v>377457616</v>
      </c>
      <c r="I1010" s="594" t="s">
        <v>1723</v>
      </c>
    </row>
    <row r="1011" spans="1:9" ht="17.100000000000001" customHeight="1">
      <c r="A1011" s="594">
        <v>400103</v>
      </c>
      <c r="B1011" s="594" t="s">
        <v>1724</v>
      </c>
      <c r="C1011" s="596">
        <v>0</v>
      </c>
      <c r="D1011" s="595">
        <v>2021667323</v>
      </c>
      <c r="E1011" s="596">
        <v>0</v>
      </c>
      <c r="F1011" s="596">
        <v>0</v>
      </c>
      <c r="G1011" s="596">
        <v>0</v>
      </c>
      <c r="H1011" s="595">
        <v>2021667323</v>
      </c>
      <c r="I1011" s="594" t="s">
        <v>1725</v>
      </c>
    </row>
    <row r="1012" spans="1:9" ht="17.100000000000001" customHeight="1">
      <c r="A1012" s="594">
        <v>40010301</v>
      </c>
      <c r="B1012" s="594" t="s">
        <v>1724</v>
      </c>
      <c r="C1012" s="596">
        <v>0</v>
      </c>
      <c r="D1012" s="595">
        <v>2021667323</v>
      </c>
      <c r="E1012" s="596">
        <v>0</v>
      </c>
      <c r="F1012" s="596">
        <v>0</v>
      </c>
      <c r="G1012" s="596">
        <v>0</v>
      </c>
      <c r="H1012" s="595">
        <v>2021667323</v>
      </c>
      <c r="I1012" s="594" t="s">
        <v>1726</v>
      </c>
    </row>
    <row r="1013" spans="1:9" ht="17.100000000000001" customHeight="1">
      <c r="A1013" s="594">
        <v>400199</v>
      </c>
      <c r="B1013" s="594" t="s">
        <v>4254</v>
      </c>
      <c r="C1013" s="596">
        <v>0</v>
      </c>
      <c r="D1013" s="596">
        <v>0</v>
      </c>
      <c r="E1013" s="596">
        <v>0</v>
      </c>
      <c r="F1013" s="595">
        <v>1439000000</v>
      </c>
      <c r="G1013" s="596">
        <v>0</v>
      </c>
      <c r="H1013" s="595">
        <v>1439000000</v>
      </c>
      <c r="I1013" s="594" t="s">
        <v>4255</v>
      </c>
    </row>
    <row r="1014" spans="1:9" ht="17.100000000000001" customHeight="1">
      <c r="A1014" s="594">
        <v>40019999</v>
      </c>
      <c r="B1014" s="594" t="s">
        <v>4254</v>
      </c>
      <c r="C1014" s="596">
        <v>0</v>
      </c>
      <c r="D1014" s="596">
        <v>0</v>
      </c>
      <c r="E1014" s="596">
        <v>0</v>
      </c>
      <c r="F1014" s="595">
        <v>1439000000</v>
      </c>
      <c r="G1014" s="596">
        <v>0</v>
      </c>
      <c r="H1014" s="595">
        <v>1439000000</v>
      </c>
      <c r="I1014" s="594" t="s">
        <v>4256</v>
      </c>
    </row>
    <row r="1015" spans="1:9" ht="17.100000000000001" customHeight="1">
      <c r="A1015" s="594">
        <v>4002</v>
      </c>
      <c r="B1015" s="594" t="s">
        <v>1727</v>
      </c>
      <c r="C1015" s="596">
        <v>0</v>
      </c>
      <c r="D1015" s="595">
        <v>4964337799.0100002</v>
      </c>
      <c r="E1015" s="596">
        <v>0</v>
      </c>
      <c r="F1015" s="595">
        <v>4839829636.1999998</v>
      </c>
      <c r="G1015" s="596">
        <v>0</v>
      </c>
      <c r="H1015" s="595">
        <v>9804167435.2099991</v>
      </c>
      <c r="I1015" s="594" t="s">
        <v>1728</v>
      </c>
    </row>
    <row r="1016" spans="1:9" ht="17.100000000000001" customHeight="1">
      <c r="A1016" s="594">
        <v>400201</v>
      </c>
      <c r="B1016" s="594" t="s">
        <v>1729</v>
      </c>
      <c r="C1016" s="596">
        <v>0</v>
      </c>
      <c r="D1016" s="595">
        <v>3200000000</v>
      </c>
      <c r="E1016" s="596">
        <v>0</v>
      </c>
      <c r="F1016" s="595">
        <v>4839829636.1999998</v>
      </c>
      <c r="G1016" s="596">
        <v>0</v>
      </c>
      <c r="H1016" s="595">
        <v>8039829636.1999998</v>
      </c>
      <c r="I1016" s="594" t="s">
        <v>1730</v>
      </c>
    </row>
    <row r="1017" spans="1:9" ht="17.100000000000001" customHeight="1">
      <c r="A1017" s="594">
        <v>40020101</v>
      </c>
      <c r="B1017" s="594" t="s">
        <v>1729</v>
      </c>
      <c r="C1017" s="596">
        <v>0</v>
      </c>
      <c r="D1017" s="595">
        <v>3200000000</v>
      </c>
      <c r="E1017" s="596">
        <v>0</v>
      </c>
      <c r="F1017" s="595">
        <v>4839829636.1999998</v>
      </c>
      <c r="G1017" s="596">
        <v>0</v>
      </c>
      <c r="H1017" s="595">
        <v>8039829636.1999998</v>
      </c>
      <c r="I1017" s="594" t="s">
        <v>1731</v>
      </c>
    </row>
    <row r="1018" spans="1:9" ht="17.100000000000001" customHeight="1">
      <c r="A1018" s="594">
        <v>400299</v>
      </c>
      <c r="B1018" s="594" t="s">
        <v>1732</v>
      </c>
      <c r="C1018" s="596">
        <v>0</v>
      </c>
      <c r="D1018" s="595">
        <v>1764337799.01</v>
      </c>
      <c r="E1018" s="596">
        <v>0</v>
      </c>
      <c r="F1018" s="596">
        <v>0</v>
      </c>
      <c r="G1018" s="596">
        <v>0</v>
      </c>
      <c r="H1018" s="595">
        <v>1764337799.01</v>
      </c>
      <c r="I1018" s="594" t="s">
        <v>1733</v>
      </c>
    </row>
    <row r="1019" spans="1:9" ht="17.100000000000001" customHeight="1">
      <c r="A1019" s="594">
        <v>40029999</v>
      </c>
      <c r="B1019" s="594" t="s">
        <v>1732</v>
      </c>
      <c r="C1019" s="596">
        <v>0</v>
      </c>
      <c r="D1019" s="595">
        <v>1764337799.01</v>
      </c>
      <c r="E1019" s="596">
        <v>0</v>
      </c>
      <c r="F1019" s="596">
        <v>0</v>
      </c>
      <c r="G1019" s="596">
        <v>0</v>
      </c>
      <c r="H1019" s="595">
        <v>1764337799.01</v>
      </c>
      <c r="I1019" s="594" t="s">
        <v>1734</v>
      </c>
    </row>
    <row r="1020" spans="1:9" ht="17.100000000000001" customHeight="1">
      <c r="A1020" s="594">
        <v>4101</v>
      </c>
      <c r="B1020" s="594" t="s">
        <v>1735</v>
      </c>
      <c r="C1020" s="596">
        <v>0</v>
      </c>
      <c r="D1020" s="595">
        <v>3161329553.7800002</v>
      </c>
      <c r="E1020" s="596">
        <v>0</v>
      </c>
      <c r="F1020" s="596">
        <v>0</v>
      </c>
      <c r="G1020" s="596">
        <v>0</v>
      </c>
      <c r="H1020" s="595">
        <v>3161329553.7800002</v>
      </c>
      <c r="I1020" s="594" t="s">
        <v>1736</v>
      </c>
    </row>
    <row r="1021" spans="1:9" ht="17.100000000000001" customHeight="1">
      <c r="A1021" s="594">
        <v>410101</v>
      </c>
      <c r="B1021" s="594" t="s">
        <v>1737</v>
      </c>
      <c r="C1021" s="596">
        <v>0</v>
      </c>
      <c r="D1021" s="595">
        <v>3161329553.7800002</v>
      </c>
      <c r="E1021" s="596">
        <v>0</v>
      </c>
      <c r="F1021" s="596">
        <v>0</v>
      </c>
      <c r="G1021" s="596">
        <v>0</v>
      </c>
      <c r="H1021" s="595">
        <v>3161329553.7800002</v>
      </c>
      <c r="I1021" s="594" t="s">
        <v>1738</v>
      </c>
    </row>
    <row r="1022" spans="1:9" ht="17.100000000000001" customHeight="1">
      <c r="A1022" s="594">
        <v>41010101</v>
      </c>
      <c r="B1022" s="594" t="s">
        <v>1737</v>
      </c>
      <c r="C1022" s="596">
        <v>0</v>
      </c>
      <c r="D1022" s="595">
        <v>3161329553.7800002</v>
      </c>
      <c r="E1022" s="596">
        <v>0</v>
      </c>
      <c r="F1022" s="596">
        <v>0</v>
      </c>
      <c r="G1022" s="596">
        <v>0</v>
      </c>
      <c r="H1022" s="595">
        <v>3161329553.7800002</v>
      </c>
      <c r="I1022" s="594" t="s">
        <v>1739</v>
      </c>
    </row>
    <row r="1023" spans="1:9" ht="17.100000000000001" customHeight="1">
      <c r="A1023" s="594">
        <v>4102</v>
      </c>
      <c r="B1023" s="594" t="s">
        <v>1740</v>
      </c>
      <c r="C1023" s="596">
        <v>0</v>
      </c>
      <c r="D1023" s="595">
        <v>7707685905.71</v>
      </c>
      <c r="E1023" s="596">
        <v>0</v>
      </c>
      <c r="F1023" s="595">
        <v>17479.29</v>
      </c>
      <c r="G1023" s="596">
        <v>0</v>
      </c>
      <c r="H1023" s="595">
        <v>7707703385</v>
      </c>
      <c r="I1023" s="594" t="s">
        <v>1741</v>
      </c>
    </row>
    <row r="1024" spans="1:9" ht="17.100000000000001" customHeight="1">
      <c r="A1024" s="594">
        <v>410201</v>
      </c>
      <c r="B1024" s="594" t="s">
        <v>1742</v>
      </c>
      <c r="C1024" s="596">
        <v>0</v>
      </c>
      <c r="D1024" s="595">
        <v>5855192556.3100004</v>
      </c>
      <c r="E1024" s="596">
        <v>0</v>
      </c>
      <c r="F1024" s="596">
        <v>0</v>
      </c>
      <c r="G1024" s="596">
        <v>0</v>
      </c>
      <c r="H1024" s="595">
        <v>5855192556.3100004</v>
      </c>
      <c r="I1024" s="594" t="s">
        <v>1743</v>
      </c>
    </row>
    <row r="1025" spans="1:9" ht="17.100000000000001" customHeight="1">
      <c r="A1025" s="594">
        <v>41020101</v>
      </c>
      <c r="B1025" s="594" t="s">
        <v>1742</v>
      </c>
      <c r="C1025" s="596">
        <v>0</v>
      </c>
      <c r="D1025" s="595">
        <v>5855192556.3100004</v>
      </c>
      <c r="E1025" s="596">
        <v>0</v>
      </c>
      <c r="F1025" s="596">
        <v>0</v>
      </c>
      <c r="G1025" s="596">
        <v>0</v>
      </c>
      <c r="H1025" s="595">
        <v>5855192556.3100004</v>
      </c>
      <c r="I1025" s="594" t="s">
        <v>1744</v>
      </c>
    </row>
    <row r="1026" spans="1:9" ht="17.100000000000001" customHeight="1">
      <c r="A1026" s="594">
        <v>410299</v>
      </c>
      <c r="B1026" s="594" t="s">
        <v>1745</v>
      </c>
      <c r="C1026" s="596">
        <v>0</v>
      </c>
      <c r="D1026" s="595">
        <v>1852493349.4000001</v>
      </c>
      <c r="E1026" s="596">
        <v>0</v>
      </c>
      <c r="F1026" s="595">
        <v>17479.29</v>
      </c>
      <c r="G1026" s="596">
        <v>0</v>
      </c>
      <c r="H1026" s="595">
        <v>1852510828.6900001</v>
      </c>
      <c r="I1026" s="594" t="s">
        <v>1746</v>
      </c>
    </row>
    <row r="1027" spans="1:9" ht="17.100000000000001" customHeight="1">
      <c r="A1027" s="594">
        <v>41029999</v>
      </c>
      <c r="B1027" s="594" t="s">
        <v>1745</v>
      </c>
      <c r="C1027" s="596">
        <v>0</v>
      </c>
      <c r="D1027" s="595">
        <v>1852493349.4000001</v>
      </c>
      <c r="E1027" s="596">
        <v>0</v>
      </c>
      <c r="F1027" s="595">
        <v>17479.29</v>
      </c>
      <c r="G1027" s="596">
        <v>0</v>
      </c>
      <c r="H1027" s="595">
        <v>1852510828.6900001</v>
      </c>
      <c r="I1027" s="594" t="s">
        <v>1747</v>
      </c>
    </row>
    <row r="1028" spans="1:9" ht="17.100000000000001" customHeight="1">
      <c r="A1028" s="594">
        <v>4104</v>
      </c>
      <c r="B1028" s="594" t="s">
        <v>1748</v>
      </c>
      <c r="C1028" s="596">
        <v>0</v>
      </c>
      <c r="D1028" s="595">
        <v>12447512871.85</v>
      </c>
      <c r="E1028" s="595">
        <v>1790553064.1800001</v>
      </c>
      <c r="F1028" s="595">
        <v>80890775.310000002</v>
      </c>
      <c r="G1028" s="596">
        <v>0</v>
      </c>
      <c r="H1028" s="595">
        <v>10737850582.98</v>
      </c>
      <c r="I1028" s="594" t="s">
        <v>1749</v>
      </c>
    </row>
    <row r="1029" spans="1:9" ht="17.100000000000001" customHeight="1">
      <c r="A1029" s="594">
        <v>410408</v>
      </c>
      <c r="B1029" s="594" t="s">
        <v>1750</v>
      </c>
      <c r="C1029" s="596">
        <v>0</v>
      </c>
      <c r="D1029" s="595">
        <v>12447512871.85</v>
      </c>
      <c r="E1029" s="595">
        <v>1790553064.1800001</v>
      </c>
      <c r="F1029" s="595">
        <v>80890775.310000002</v>
      </c>
      <c r="G1029" s="596">
        <v>0</v>
      </c>
      <c r="H1029" s="595">
        <v>10737850582.98</v>
      </c>
      <c r="I1029" s="594" t="s">
        <v>1751</v>
      </c>
    </row>
    <row r="1030" spans="1:9" ht="17.100000000000001" customHeight="1">
      <c r="A1030" s="594">
        <v>41040801</v>
      </c>
      <c r="B1030" s="594" t="s">
        <v>1750</v>
      </c>
      <c r="C1030" s="596">
        <v>0</v>
      </c>
      <c r="D1030" s="595">
        <v>12447512871.85</v>
      </c>
      <c r="E1030" s="595">
        <v>1790553064.1800001</v>
      </c>
      <c r="F1030" s="595">
        <v>80890775.310000002</v>
      </c>
      <c r="G1030" s="596">
        <v>0</v>
      </c>
      <c r="H1030" s="595">
        <v>10737850582.98</v>
      </c>
      <c r="I1030" s="594" t="s">
        <v>1752</v>
      </c>
    </row>
    <row r="1031" spans="1:9" ht="17.100000000000001" customHeight="1">
      <c r="A1031" s="594">
        <v>4301</v>
      </c>
      <c r="B1031" s="594" t="s">
        <v>2840</v>
      </c>
      <c r="C1031" s="596">
        <v>0</v>
      </c>
      <c r="D1031" s="595">
        <v>-1774048961.3399999</v>
      </c>
      <c r="E1031" s="595">
        <v>145972106.93000001</v>
      </c>
      <c r="F1031" s="595">
        <v>659510279.44000006</v>
      </c>
      <c r="G1031" s="596">
        <v>0</v>
      </c>
      <c r="H1031" s="595">
        <v>-1260510788.8299999</v>
      </c>
      <c r="I1031" s="594" t="s">
        <v>2841</v>
      </c>
    </row>
    <row r="1032" spans="1:9" ht="17.100000000000001" customHeight="1">
      <c r="A1032" s="594">
        <v>430101</v>
      </c>
      <c r="B1032" s="594" t="s">
        <v>2840</v>
      </c>
      <c r="C1032" s="596">
        <v>0</v>
      </c>
      <c r="D1032" s="595">
        <v>-1774048961.3399999</v>
      </c>
      <c r="E1032" s="595">
        <v>145972106.93000001</v>
      </c>
      <c r="F1032" s="595">
        <v>659510279.44000006</v>
      </c>
      <c r="G1032" s="596">
        <v>0</v>
      </c>
      <c r="H1032" s="595">
        <v>-1260510788.8299999</v>
      </c>
      <c r="I1032" s="594" t="s">
        <v>2842</v>
      </c>
    </row>
    <row r="1033" spans="1:9" ht="17.100000000000001" customHeight="1">
      <c r="A1033" s="594">
        <v>43010101</v>
      </c>
      <c r="B1033" s="594" t="s">
        <v>2843</v>
      </c>
      <c r="C1033" s="596">
        <v>0</v>
      </c>
      <c r="D1033" s="595">
        <v>-1775804010.4400001</v>
      </c>
      <c r="E1033" s="595">
        <v>141169697.41999999</v>
      </c>
      <c r="F1033" s="595">
        <v>657079687.84000003</v>
      </c>
      <c r="G1033" s="596">
        <v>0</v>
      </c>
      <c r="H1033" s="595">
        <v>-1259894020.02</v>
      </c>
      <c r="I1033" s="594" t="s">
        <v>2844</v>
      </c>
    </row>
    <row r="1034" spans="1:9" ht="17.100000000000001" customHeight="1">
      <c r="A1034" s="594">
        <v>43010102</v>
      </c>
      <c r="B1034" s="594" t="s">
        <v>2845</v>
      </c>
      <c r="C1034" s="596">
        <v>0</v>
      </c>
      <c r="D1034" s="595">
        <v>1755049.1</v>
      </c>
      <c r="E1034" s="595">
        <v>4802409.51</v>
      </c>
      <c r="F1034" s="595">
        <v>2430591.6</v>
      </c>
      <c r="G1034" s="596">
        <v>0</v>
      </c>
      <c r="H1034" s="595">
        <v>-616768.81000000006</v>
      </c>
      <c r="I1034" s="594" t="s">
        <v>2846</v>
      </c>
    </row>
    <row r="1035" spans="1:9" ht="17.100000000000001" customHeight="1">
      <c r="A1035" s="594"/>
      <c r="B1035" s="598" t="s">
        <v>3762</v>
      </c>
      <c r="C1035" s="596">
        <v>0</v>
      </c>
      <c r="D1035" s="595">
        <v>34660235708.010002</v>
      </c>
      <c r="E1035" s="595">
        <v>1936525171.1099999</v>
      </c>
      <c r="F1035" s="595">
        <v>7019248170.2399998</v>
      </c>
      <c r="G1035" s="596">
        <v>0</v>
      </c>
      <c r="H1035" s="595">
        <v>39742958707.139999</v>
      </c>
      <c r="I1035" s="594" t="s">
        <v>1125</v>
      </c>
    </row>
    <row r="1036" spans="1:9" ht="17.100000000000001" customHeight="1">
      <c r="A1036" s="320"/>
      <c r="B1036" s="320"/>
      <c r="C1036" s="320"/>
      <c r="D1036" s="557" t="s">
        <v>4198</v>
      </c>
      <c r="E1036" s="320" t="s">
        <v>3769</v>
      </c>
      <c r="F1036" s="320"/>
      <c r="G1036" s="320"/>
      <c r="H1036" s="320"/>
      <c r="I1036" s="320"/>
    </row>
    <row r="1037" spans="1:9" ht="17.100000000000001" customHeight="1">
      <c r="A1037" s="671"/>
      <c r="B1037" s="671"/>
      <c r="C1037" s="671"/>
      <c r="D1037" s="671"/>
      <c r="E1037" s="671"/>
      <c r="F1037" s="671"/>
      <c r="G1037" s="671"/>
      <c r="H1037" s="671"/>
      <c r="I1037" s="671"/>
    </row>
    <row r="1038" spans="1:9" ht="17.100000000000001" customHeight="1">
      <c r="A1038" s="320"/>
      <c r="B1038" s="320"/>
      <c r="C1038" s="589" t="s">
        <v>3707</v>
      </c>
      <c r="D1038" s="320"/>
      <c r="E1038" s="320"/>
      <c r="F1038" s="671"/>
      <c r="G1038" s="671"/>
      <c r="H1038" s="671"/>
      <c r="I1038" s="671"/>
    </row>
    <row r="1039" spans="1:9" ht="17.100000000000001" customHeight="1">
      <c r="A1039" s="590" t="s">
        <v>3708</v>
      </c>
      <c r="B1039" s="590"/>
      <c r="C1039" s="597">
        <v>42887</v>
      </c>
      <c r="D1039" s="590"/>
      <c r="E1039" s="557" t="s">
        <v>3709</v>
      </c>
      <c r="F1039" s="671"/>
      <c r="G1039" s="671"/>
      <c r="H1039" s="671"/>
      <c r="I1039" s="671"/>
    </row>
    <row r="1040" spans="1:9" ht="17.100000000000001" customHeight="1">
      <c r="A1040" s="593" t="s">
        <v>596</v>
      </c>
      <c r="B1040" s="593" t="s">
        <v>597</v>
      </c>
      <c r="C1040" s="593" t="s">
        <v>3710</v>
      </c>
      <c r="D1040" s="593" t="s">
        <v>3711</v>
      </c>
      <c r="E1040" s="593" t="s">
        <v>3712</v>
      </c>
      <c r="F1040" s="593" t="s">
        <v>3713</v>
      </c>
      <c r="G1040" s="593" t="s">
        <v>3714</v>
      </c>
      <c r="H1040" s="593" t="s">
        <v>3715</v>
      </c>
      <c r="I1040" s="593" t="s">
        <v>596</v>
      </c>
    </row>
    <row r="1041" spans="1:9" ht="17.100000000000001" customHeight="1">
      <c r="A1041" s="594">
        <v>6011</v>
      </c>
      <c r="B1041" s="594" t="s">
        <v>1753</v>
      </c>
      <c r="C1041" s="596">
        <v>0</v>
      </c>
      <c r="D1041" s="595">
        <v>4700992402.4099998</v>
      </c>
      <c r="E1041" s="595">
        <v>-1120895.26</v>
      </c>
      <c r="F1041" s="595">
        <v>1064085875.83</v>
      </c>
      <c r="G1041" s="596">
        <v>0</v>
      </c>
      <c r="H1041" s="595">
        <v>5766199173.5</v>
      </c>
      <c r="I1041" s="594" t="s">
        <v>1754</v>
      </c>
    </row>
    <row r="1042" spans="1:9" ht="17.100000000000001" customHeight="1">
      <c r="A1042" s="594">
        <v>601101</v>
      </c>
      <c r="B1042" s="594" t="s">
        <v>1755</v>
      </c>
      <c r="C1042" s="596">
        <v>0</v>
      </c>
      <c r="D1042" s="595">
        <v>199375939.72999999</v>
      </c>
      <c r="E1042" s="595">
        <v>-562119.82999999996</v>
      </c>
      <c r="F1042" s="595">
        <v>38159981.990000002</v>
      </c>
      <c r="G1042" s="596">
        <v>0</v>
      </c>
      <c r="H1042" s="595">
        <v>238098041.55000001</v>
      </c>
      <c r="I1042" s="594" t="s">
        <v>1756</v>
      </c>
    </row>
    <row r="1043" spans="1:9" ht="28.5" customHeight="1">
      <c r="A1043" s="594">
        <v>60110101</v>
      </c>
      <c r="B1043" s="594" t="s">
        <v>2693</v>
      </c>
      <c r="C1043" s="596">
        <v>0</v>
      </c>
      <c r="D1043" s="595">
        <v>27019.84</v>
      </c>
      <c r="E1043" s="596">
        <v>0</v>
      </c>
      <c r="F1043" s="595">
        <v>4672.26</v>
      </c>
      <c r="G1043" s="596">
        <v>0</v>
      </c>
      <c r="H1043" s="595">
        <v>31692.1</v>
      </c>
      <c r="I1043" s="594" t="s">
        <v>2694</v>
      </c>
    </row>
    <row r="1044" spans="1:9">
      <c r="A1044" s="594">
        <v>60110102</v>
      </c>
      <c r="B1044" s="594" t="s">
        <v>1757</v>
      </c>
      <c r="C1044" s="596">
        <v>0</v>
      </c>
      <c r="D1044" s="595">
        <v>1086689.93</v>
      </c>
      <c r="E1044" s="596">
        <v>0</v>
      </c>
      <c r="F1044" s="595">
        <v>206018.48</v>
      </c>
      <c r="G1044" s="596">
        <v>0</v>
      </c>
      <c r="H1044" s="595">
        <v>1292708.4099999999</v>
      </c>
      <c r="I1044" s="594" t="s">
        <v>1758</v>
      </c>
    </row>
    <row r="1045" spans="1:9">
      <c r="A1045" s="594">
        <v>60110103</v>
      </c>
      <c r="B1045" s="594" t="s">
        <v>1759</v>
      </c>
      <c r="C1045" s="596">
        <v>0</v>
      </c>
      <c r="D1045" s="595">
        <v>30219.02</v>
      </c>
      <c r="E1045" s="596">
        <v>0</v>
      </c>
      <c r="F1045" s="595">
        <v>5749.7</v>
      </c>
      <c r="G1045" s="596">
        <v>0</v>
      </c>
      <c r="H1045" s="595">
        <v>35968.720000000001</v>
      </c>
      <c r="I1045" s="594" t="s">
        <v>1760</v>
      </c>
    </row>
    <row r="1046" spans="1:9">
      <c r="A1046" s="594">
        <v>60110104</v>
      </c>
      <c r="B1046" s="594" t="s">
        <v>1761</v>
      </c>
      <c r="C1046" s="596">
        <v>0</v>
      </c>
      <c r="D1046" s="595">
        <v>1741891.12</v>
      </c>
      <c r="E1046" s="596">
        <v>0</v>
      </c>
      <c r="F1046" s="595">
        <v>322949.01</v>
      </c>
      <c r="G1046" s="596">
        <v>0</v>
      </c>
      <c r="H1046" s="595">
        <v>2064840.13</v>
      </c>
      <c r="I1046" s="594" t="s">
        <v>1762</v>
      </c>
    </row>
    <row r="1047" spans="1:9" ht="28.5" customHeight="1">
      <c r="A1047" s="594">
        <v>60110105</v>
      </c>
      <c r="B1047" s="594" t="s">
        <v>1763</v>
      </c>
      <c r="C1047" s="596">
        <v>0</v>
      </c>
      <c r="D1047" s="595">
        <v>46804380.979999997</v>
      </c>
      <c r="E1047" s="596">
        <v>0</v>
      </c>
      <c r="F1047" s="595">
        <v>9442277.7100000009</v>
      </c>
      <c r="G1047" s="596">
        <v>0</v>
      </c>
      <c r="H1047" s="595">
        <v>56246658.689999998</v>
      </c>
      <c r="I1047" s="594" t="s">
        <v>1764</v>
      </c>
    </row>
    <row r="1048" spans="1:9" ht="17.100000000000001" customHeight="1">
      <c r="A1048" s="594">
        <v>60110106</v>
      </c>
      <c r="B1048" s="594" t="s">
        <v>1765</v>
      </c>
      <c r="C1048" s="596">
        <v>0</v>
      </c>
      <c r="D1048" s="595">
        <v>13151812.470000001</v>
      </c>
      <c r="E1048" s="596">
        <v>0</v>
      </c>
      <c r="F1048" s="595">
        <v>3010634.64</v>
      </c>
      <c r="G1048" s="596">
        <v>0</v>
      </c>
      <c r="H1048" s="595">
        <v>16162447.109999999</v>
      </c>
      <c r="I1048" s="594" t="s">
        <v>1766</v>
      </c>
    </row>
    <row r="1049" spans="1:9" ht="17.100000000000001" customHeight="1">
      <c r="A1049" s="594">
        <v>60110107</v>
      </c>
      <c r="B1049" s="594" t="s">
        <v>1767</v>
      </c>
      <c r="C1049" s="596">
        <v>0</v>
      </c>
      <c r="D1049" s="595">
        <v>50762.94</v>
      </c>
      <c r="E1049" s="596">
        <v>0</v>
      </c>
      <c r="F1049" s="595">
        <v>12819.19</v>
      </c>
      <c r="G1049" s="596">
        <v>0</v>
      </c>
      <c r="H1049" s="595">
        <v>63582.13</v>
      </c>
      <c r="I1049" s="594" t="s">
        <v>1768</v>
      </c>
    </row>
    <row r="1050" spans="1:9" ht="17.100000000000001" customHeight="1">
      <c r="A1050" s="594">
        <v>60110108</v>
      </c>
      <c r="B1050" s="594" t="s">
        <v>2695</v>
      </c>
      <c r="C1050" s="596">
        <v>0</v>
      </c>
      <c r="D1050" s="595">
        <v>61601.07</v>
      </c>
      <c r="E1050" s="596">
        <v>0</v>
      </c>
      <c r="F1050" s="595">
        <v>10576.07</v>
      </c>
      <c r="G1050" s="596">
        <v>0</v>
      </c>
      <c r="H1050" s="595">
        <v>72177.14</v>
      </c>
      <c r="I1050" s="594" t="s">
        <v>2696</v>
      </c>
    </row>
    <row r="1051" spans="1:9" ht="17.100000000000001" customHeight="1">
      <c r="A1051" s="594">
        <v>60110110</v>
      </c>
      <c r="B1051" s="594" t="s">
        <v>1769</v>
      </c>
      <c r="C1051" s="596">
        <v>0</v>
      </c>
      <c r="D1051" s="595">
        <v>49005921</v>
      </c>
      <c r="E1051" s="596">
        <v>0</v>
      </c>
      <c r="F1051" s="595">
        <v>9912646.1500000004</v>
      </c>
      <c r="G1051" s="596">
        <v>0</v>
      </c>
      <c r="H1051" s="595">
        <v>58918567.149999999</v>
      </c>
      <c r="I1051" s="594" t="s">
        <v>1770</v>
      </c>
    </row>
    <row r="1052" spans="1:9" ht="17.100000000000001" customHeight="1">
      <c r="A1052" s="594">
        <v>60110111</v>
      </c>
      <c r="B1052" s="594" t="s">
        <v>1771</v>
      </c>
      <c r="C1052" s="596">
        <v>0</v>
      </c>
      <c r="D1052" s="595">
        <v>86824389.459999993</v>
      </c>
      <c r="E1052" s="595">
        <v>-562119.82999999996</v>
      </c>
      <c r="F1052" s="595">
        <v>14659979.75</v>
      </c>
      <c r="G1052" s="596">
        <v>0</v>
      </c>
      <c r="H1052" s="595">
        <v>102046489.04000001</v>
      </c>
      <c r="I1052" s="594" t="s">
        <v>1772</v>
      </c>
    </row>
    <row r="1053" spans="1:9" ht="17.100000000000001" customHeight="1">
      <c r="A1053" s="594">
        <v>60110112</v>
      </c>
      <c r="B1053" s="594" t="s">
        <v>1773</v>
      </c>
      <c r="C1053" s="596">
        <v>0</v>
      </c>
      <c r="D1053" s="595">
        <v>591251.9</v>
      </c>
      <c r="E1053" s="596">
        <v>0</v>
      </c>
      <c r="F1053" s="595">
        <v>571659.03</v>
      </c>
      <c r="G1053" s="596">
        <v>0</v>
      </c>
      <c r="H1053" s="595">
        <v>1162910.93</v>
      </c>
      <c r="I1053" s="594" t="s">
        <v>1774</v>
      </c>
    </row>
    <row r="1054" spans="1:9" ht="17.100000000000001" customHeight="1">
      <c r="A1054" s="594">
        <v>601103</v>
      </c>
      <c r="B1054" s="594" t="s">
        <v>1775</v>
      </c>
      <c r="C1054" s="596">
        <v>0</v>
      </c>
      <c r="D1054" s="595">
        <v>147299779.18000001</v>
      </c>
      <c r="E1054" s="596">
        <v>0</v>
      </c>
      <c r="F1054" s="595">
        <v>32442581.850000001</v>
      </c>
      <c r="G1054" s="596">
        <v>0</v>
      </c>
      <c r="H1054" s="595">
        <v>179742361.03</v>
      </c>
      <c r="I1054" s="594" t="s">
        <v>1776</v>
      </c>
    </row>
    <row r="1055" spans="1:9" ht="17.100000000000001" customHeight="1">
      <c r="A1055" s="594">
        <v>60110301</v>
      </c>
      <c r="B1055" s="594" t="s">
        <v>1777</v>
      </c>
      <c r="C1055" s="596">
        <v>0</v>
      </c>
      <c r="D1055" s="595">
        <v>39263296.539999999</v>
      </c>
      <c r="E1055" s="596">
        <v>0</v>
      </c>
      <c r="F1055" s="595">
        <v>10089875.59</v>
      </c>
      <c r="G1055" s="596">
        <v>0</v>
      </c>
      <c r="H1055" s="595">
        <v>49353172.130000003</v>
      </c>
      <c r="I1055" s="594" t="s">
        <v>1778</v>
      </c>
    </row>
    <row r="1056" spans="1:9" ht="17.100000000000001" customHeight="1">
      <c r="A1056" s="594">
        <v>60110302</v>
      </c>
      <c r="B1056" s="594" t="s">
        <v>1779</v>
      </c>
      <c r="C1056" s="596">
        <v>0</v>
      </c>
      <c r="D1056" s="595">
        <v>56544263.380000003</v>
      </c>
      <c r="E1056" s="596">
        <v>0</v>
      </c>
      <c r="F1056" s="595">
        <v>11228360.380000001</v>
      </c>
      <c r="G1056" s="596">
        <v>0</v>
      </c>
      <c r="H1056" s="595">
        <v>67772623.760000005</v>
      </c>
      <c r="I1056" s="594" t="s">
        <v>1780</v>
      </c>
    </row>
    <row r="1057" spans="1:9" ht="17.100000000000001" customHeight="1">
      <c r="A1057" s="594">
        <v>60110303</v>
      </c>
      <c r="B1057" s="594" t="s">
        <v>1781</v>
      </c>
      <c r="C1057" s="596">
        <v>0</v>
      </c>
      <c r="D1057" s="595">
        <v>3023868.23</v>
      </c>
      <c r="E1057" s="596">
        <v>0</v>
      </c>
      <c r="F1057" s="595">
        <v>76598.289999999994</v>
      </c>
      <c r="G1057" s="596">
        <v>0</v>
      </c>
      <c r="H1057" s="595">
        <v>3100466.52</v>
      </c>
      <c r="I1057" s="594" t="s">
        <v>1782</v>
      </c>
    </row>
    <row r="1058" spans="1:9" ht="17.100000000000001" customHeight="1">
      <c r="A1058" s="594">
        <v>60110304</v>
      </c>
      <c r="B1058" s="594" t="s">
        <v>1783</v>
      </c>
      <c r="C1058" s="596">
        <v>0</v>
      </c>
      <c r="D1058" s="595">
        <v>24595639.25</v>
      </c>
      <c r="E1058" s="596">
        <v>0</v>
      </c>
      <c r="F1058" s="595">
        <v>5191813.07</v>
      </c>
      <c r="G1058" s="596">
        <v>0</v>
      </c>
      <c r="H1058" s="595">
        <v>29787452.32</v>
      </c>
      <c r="I1058" s="594" t="s">
        <v>1784</v>
      </c>
    </row>
    <row r="1059" spans="1:9" ht="17.100000000000001" customHeight="1">
      <c r="A1059" s="594">
        <v>60110305</v>
      </c>
      <c r="B1059" s="594" t="s">
        <v>1785</v>
      </c>
      <c r="C1059" s="596">
        <v>0</v>
      </c>
      <c r="D1059" s="595">
        <v>23872711.780000001</v>
      </c>
      <c r="E1059" s="596">
        <v>0</v>
      </c>
      <c r="F1059" s="595">
        <v>5855934.5199999996</v>
      </c>
      <c r="G1059" s="596">
        <v>0</v>
      </c>
      <c r="H1059" s="595">
        <v>29728646.300000001</v>
      </c>
      <c r="I1059" s="594" t="s">
        <v>1786</v>
      </c>
    </row>
    <row r="1060" spans="1:9" ht="17.100000000000001" customHeight="1">
      <c r="A1060" s="594">
        <v>601104</v>
      </c>
      <c r="B1060" s="594" t="s">
        <v>1787</v>
      </c>
      <c r="C1060" s="596">
        <v>0</v>
      </c>
      <c r="D1060" s="595">
        <v>4242990909.3600001</v>
      </c>
      <c r="E1060" s="595">
        <v>-558775.43000000005</v>
      </c>
      <c r="F1060" s="595">
        <v>961390888.10000002</v>
      </c>
      <c r="G1060" s="596">
        <v>0</v>
      </c>
      <c r="H1060" s="595">
        <v>5204940572.8900003</v>
      </c>
      <c r="I1060" s="594" t="s">
        <v>1788</v>
      </c>
    </row>
    <row r="1061" spans="1:9" ht="17.100000000000001" customHeight="1">
      <c r="A1061" s="594">
        <v>60110401</v>
      </c>
      <c r="B1061" s="594" t="s">
        <v>1789</v>
      </c>
      <c r="C1061" s="596">
        <v>0</v>
      </c>
      <c r="D1061" s="595">
        <v>5859025.6600000001</v>
      </c>
      <c r="E1061" s="596">
        <v>0</v>
      </c>
      <c r="F1061" s="595">
        <v>15464478.470000001</v>
      </c>
      <c r="G1061" s="596">
        <v>0</v>
      </c>
      <c r="H1061" s="595">
        <v>21323504.129999999</v>
      </c>
      <c r="I1061" s="594" t="s">
        <v>1790</v>
      </c>
    </row>
    <row r="1062" spans="1:9" ht="17.100000000000001" customHeight="1">
      <c r="A1062" s="594">
        <v>60110402</v>
      </c>
      <c r="B1062" s="594" t="s">
        <v>1791</v>
      </c>
      <c r="C1062" s="596">
        <v>0</v>
      </c>
      <c r="D1062" s="595">
        <v>162075124.97999999</v>
      </c>
      <c r="E1062" s="596">
        <v>0</v>
      </c>
      <c r="F1062" s="595">
        <v>39509387.909999996</v>
      </c>
      <c r="G1062" s="596">
        <v>0</v>
      </c>
      <c r="H1062" s="595">
        <v>201584512.88999999</v>
      </c>
      <c r="I1062" s="594" t="s">
        <v>1792</v>
      </c>
    </row>
    <row r="1063" spans="1:9" ht="17.100000000000001" customHeight="1">
      <c r="A1063" s="594">
        <v>60110403</v>
      </c>
      <c r="B1063" s="594" t="s">
        <v>1793</v>
      </c>
      <c r="C1063" s="596">
        <v>0</v>
      </c>
      <c r="D1063" s="595">
        <v>671370991.5</v>
      </c>
      <c r="E1063" s="596">
        <v>0</v>
      </c>
      <c r="F1063" s="595">
        <v>144356860.88</v>
      </c>
      <c r="G1063" s="596">
        <v>0</v>
      </c>
      <c r="H1063" s="595">
        <v>815727852.38</v>
      </c>
      <c r="I1063" s="594" t="s">
        <v>1794</v>
      </c>
    </row>
    <row r="1064" spans="1:9" ht="17.100000000000001" customHeight="1">
      <c r="A1064" s="594">
        <v>60110404</v>
      </c>
      <c r="B1064" s="594" t="s">
        <v>1795</v>
      </c>
      <c r="C1064" s="596">
        <v>0</v>
      </c>
      <c r="D1064" s="595">
        <v>174304366.59999999</v>
      </c>
      <c r="E1064" s="596">
        <v>0</v>
      </c>
      <c r="F1064" s="595">
        <v>36781939.560000002</v>
      </c>
      <c r="G1064" s="596">
        <v>0</v>
      </c>
      <c r="H1064" s="595">
        <v>211086306.16</v>
      </c>
      <c r="I1064" s="594" t="s">
        <v>1796</v>
      </c>
    </row>
    <row r="1065" spans="1:9" ht="17.100000000000001" customHeight="1">
      <c r="A1065" s="594">
        <v>60110405</v>
      </c>
      <c r="B1065" s="594" t="s">
        <v>1797</v>
      </c>
      <c r="C1065" s="596">
        <v>0</v>
      </c>
      <c r="D1065" s="595">
        <v>222453949.43000001</v>
      </c>
      <c r="E1065" s="595">
        <v>-522102.07</v>
      </c>
      <c r="F1065" s="595">
        <v>39685693.840000004</v>
      </c>
      <c r="G1065" s="596">
        <v>0</v>
      </c>
      <c r="H1065" s="595">
        <v>262661745.34</v>
      </c>
      <c r="I1065" s="594" t="s">
        <v>1798</v>
      </c>
    </row>
    <row r="1066" spans="1:9" ht="17.100000000000001" customHeight="1">
      <c r="A1066" s="594">
        <v>60110406</v>
      </c>
      <c r="B1066" s="594" t="s">
        <v>1799</v>
      </c>
      <c r="C1066" s="596">
        <v>0</v>
      </c>
      <c r="D1066" s="595">
        <v>3948688.18</v>
      </c>
      <c r="E1066" s="596">
        <v>0</v>
      </c>
      <c r="F1066" s="595">
        <v>1024929.81</v>
      </c>
      <c r="G1066" s="596">
        <v>0</v>
      </c>
      <c r="H1066" s="595">
        <v>4973617.99</v>
      </c>
      <c r="I1066" s="594" t="s">
        <v>1800</v>
      </c>
    </row>
    <row r="1067" spans="1:9" ht="17.100000000000001" customHeight="1">
      <c r="A1067" s="594">
        <v>60110407</v>
      </c>
      <c r="B1067" s="594" t="s">
        <v>1801</v>
      </c>
      <c r="C1067" s="596">
        <v>0</v>
      </c>
      <c r="D1067" s="595">
        <v>825122848.13999999</v>
      </c>
      <c r="E1067" s="596">
        <v>0</v>
      </c>
      <c r="F1067" s="595">
        <v>197668613.58000001</v>
      </c>
      <c r="G1067" s="596">
        <v>0</v>
      </c>
      <c r="H1067" s="595">
        <v>1022791461.72</v>
      </c>
      <c r="I1067" s="594" t="s">
        <v>1802</v>
      </c>
    </row>
    <row r="1068" spans="1:9" ht="17.100000000000001" customHeight="1">
      <c r="A1068" s="594">
        <v>60110408</v>
      </c>
      <c r="B1068" s="594" t="s">
        <v>1803</v>
      </c>
      <c r="C1068" s="596">
        <v>0</v>
      </c>
      <c r="D1068" s="595">
        <v>656537373.40999997</v>
      </c>
      <c r="E1068" s="595">
        <v>-36673.360000000001</v>
      </c>
      <c r="F1068" s="595">
        <v>143462288.03</v>
      </c>
      <c r="G1068" s="596">
        <v>0</v>
      </c>
      <c r="H1068" s="595">
        <v>800036334.79999995</v>
      </c>
      <c r="I1068" s="594" t="s">
        <v>1804</v>
      </c>
    </row>
    <row r="1069" spans="1:9" ht="17.100000000000001" customHeight="1">
      <c r="A1069" s="594">
        <v>60110409</v>
      </c>
      <c r="B1069" s="594" t="s">
        <v>1805</v>
      </c>
      <c r="C1069" s="596">
        <v>0</v>
      </c>
      <c r="D1069" s="595">
        <v>33694613.340000004</v>
      </c>
      <c r="E1069" s="596">
        <v>0</v>
      </c>
      <c r="F1069" s="595">
        <v>5100107.6399999997</v>
      </c>
      <c r="G1069" s="596">
        <v>0</v>
      </c>
      <c r="H1069" s="595">
        <v>38794720.979999997</v>
      </c>
      <c r="I1069" s="594" t="s">
        <v>1806</v>
      </c>
    </row>
    <row r="1070" spans="1:9" ht="17.100000000000001" customHeight="1">
      <c r="A1070" s="594">
        <v>60110410</v>
      </c>
      <c r="B1070" s="594" t="s">
        <v>1807</v>
      </c>
      <c r="C1070" s="596">
        <v>0</v>
      </c>
      <c r="D1070" s="595">
        <v>690610459.16999996</v>
      </c>
      <c r="E1070" s="596">
        <v>0</v>
      </c>
      <c r="F1070" s="595">
        <v>160608860.63</v>
      </c>
      <c r="G1070" s="596">
        <v>0</v>
      </c>
      <c r="H1070" s="595">
        <v>851219319.79999995</v>
      </c>
      <c r="I1070" s="594" t="s">
        <v>1808</v>
      </c>
    </row>
    <row r="1071" spans="1:9" ht="17.100000000000001" customHeight="1">
      <c r="A1071" s="594">
        <v>60110411</v>
      </c>
      <c r="B1071" s="594" t="s">
        <v>1809</v>
      </c>
      <c r="C1071" s="596">
        <v>0</v>
      </c>
      <c r="D1071" s="595">
        <v>686966109.51999998</v>
      </c>
      <c r="E1071" s="596">
        <v>0</v>
      </c>
      <c r="F1071" s="595">
        <v>148387467.81</v>
      </c>
      <c r="G1071" s="596">
        <v>0</v>
      </c>
      <c r="H1071" s="595">
        <v>835353577.33000004</v>
      </c>
      <c r="I1071" s="594" t="s">
        <v>1810</v>
      </c>
    </row>
    <row r="1072" spans="1:9" ht="17.100000000000001" customHeight="1">
      <c r="A1072" s="594">
        <v>60110412</v>
      </c>
      <c r="B1072" s="594" t="s">
        <v>1811</v>
      </c>
      <c r="C1072" s="596">
        <v>0</v>
      </c>
      <c r="D1072" s="595">
        <v>67832473.420000002</v>
      </c>
      <c r="E1072" s="596">
        <v>0</v>
      </c>
      <c r="F1072" s="595">
        <v>16521187.869999999</v>
      </c>
      <c r="G1072" s="596">
        <v>0</v>
      </c>
      <c r="H1072" s="595">
        <v>84353661.290000007</v>
      </c>
      <c r="I1072" s="594" t="s">
        <v>1812</v>
      </c>
    </row>
    <row r="1073" spans="1:9" ht="17.100000000000001" customHeight="1">
      <c r="A1073" s="594">
        <v>60110413</v>
      </c>
      <c r="B1073" s="594" t="s">
        <v>1813</v>
      </c>
      <c r="C1073" s="596">
        <v>0</v>
      </c>
      <c r="D1073" s="595">
        <v>26848178.800000001</v>
      </c>
      <c r="E1073" s="596">
        <v>0</v>
      </c>
      <c r="F1073" s="595">
        <v>9855594.6099999994</v>
      </c>
      <c r="G1073" s="596">
        <v>0</v>
      </c>
      <c r="H1073" s="595">
        <v>36703773.409999996</v>
      </c>
      <c r="I1073" s="594" t="s">
        <v>1814</v>
      </c>
    </row>
    <row r="1074" spans="1:9" ht="17.100000000000001" customHeight="1">
      <c r="A1074" s="594">
        <v>60110414</v>
      </c>
      <c r="B1074" s="594" t="s">
        <v>1815</v>
      </c>
      <c r="C1074" s="596">
        <v>0</v>
      </c>
      <c r="D1074" s="595">
        <v>15366707.210000001</v>
      </c>
      <c r="E1074" s="596">
        <v>0</v>
      </c>
      <c r="F1074" s="595">
        <v>2963477.46</v>
      </c>
      <c r="G1074" s="596">
        <v>0</v>
      </c>
      <c r="H1074" s="595">
        <v>18330184.670000002</v>
      </c>
      <c r="I1074" s="594" t="s">
        <v>1816</v>
      </c>
    </row>
    <row r="1075" spans="1:9" ht="17.100000000000001" customHeight="1">
      <c r="A1075" s="320"/>
      <c r="B1075" s="320"/>
      <c r="C1075" s="320"/>
      <c r="D1075" s="557" t="s">
        <v>4198</v>
      </c>
      <c r="E1075" s="320" t="s">
        <v>3770</v>
      </c>
      <c r="F1075" s="320"/>
      <c r="G1075" s="320"/>
      <c r="H1075" s="320"/>
      <c r="I1075" s="320"/>
    </row>
    <row r="1076" spans="1:9" ht="17.100000000000001" customHeight="1">
      <c r="A1076" s="671"/>
      <c r="B1076" s="671"/>
      <c r="C1076" s="671"/>
      <c r="D1076" s="671"/>
      <c r="E1076" s="671"/>
      <c r="F1076" s="671"/>
      <c r="G1076" s="671"/>
      <c r="H1076" s="671"/>
      <c r="I1076" s="671"/>
    </row>
    <row r="1077" spans="1:9" ht="17.100000000000001" customHeight="1">
      <c r="A1077" s="320"/>
      <c r="B1077" s="320"/>
      <c r="C1077" s="589" t="s">
        <v>3707</v>
      </c>
      <c r="D1077" s="320"/>
      <c r="E1077" s="320"/>
      <c r="F1077" s="671"/>
      <c r="G1077" s="671"/>
      <c r="H1077" s="671"/>
      <c r="I1077" s="671"/>
    </row>
    <row r="1078" spans="1:9" ht="17.100000000000001" customHeight="1">
      <c r="A1078" s="590" t="s">
        <v>3708</v>
      </c>
      <c r="B1078" s="590"/>
      <c r="C1078" s="597">
        <v>42887</v>
      </c>
      <c r="D1078" s="590"/>
      <c r="E1078" s="557" t="s">
        <v>3709</v>
      </c>
      <c r="F1078" s="671"/>
      <c r="G1078" s="671"/>
      <c r="H1078" s="671"/>
      <c r="I1078" s="671"/>
    </row>
    <row r="1079" spans="1:9" ht="17.100000000000001" customHeight="1">
      <c r="A1079" s="593" t="s">
        <v>596</v>
      </c>
      <c r="B1079" s="593" t="s">
        <v>597</v>
      </c>
      <c r="C1079" s="593" t="s">
        <v>3710</v>
      </c>
      <c r="D1079" s="593" t="s">
        <v>3711</v>
      </c>
      <c r="E1079" s="593" t="s">
        <v>3712</v>
      </c>
      <c r="F1079" s="593" t="s">
        <v>3713</v>
      </c>
      <c r="G1079" s="593" t="s">
        <v>3714</v>
      </c>
      <c r="H1079" s="593" t="s">
        <v>3715</v>
      </c>
      <c r="I1079" s="593" t="s">
        <v>596</v>
      </c>
    </row>
    <row r="1080" spans="1:9" ht="17.100000000000001" customHeight="1">
      <c r="A1080" s="594">
        <v>601105</v>
      </c>
      <c r="B1080" s="594" t="s">
        <v>1817</v>
      </c>
      <c r="C1080" s="596">
        <v>0</v>
      </c>
      <c r="D1080" s="595">
        <v>82307429.040000007</v>
      </c>
      <c r="E1080" s="596">
        <v>0</v>
      </c>
      <c r="F1080" s="595">
        <v>16917273.829999998</v>
      </c>
      <c r="G1080" s="596">
        <v>0</v>
      </c>
      <c r="H1080" s="595">
        <v>99224702.870000005</v>
      </c>
      <c r="I1080" s="594" t="s">
        <v>1818</v>
      </c>
    </row>
    <row r="1081" spans="1:9" ht="17.100000000000001" customHeight="1">
      <c r="A1081" s="594">
        <v>60110501</v>
      </c>
      <c r="B1081" s="594" t="s">
        <v>1817</v>
      </c>
      <c r="C1081" s="596">
        <v>0</v>
      </c>
      <c r="D1081" s="595">
        <v>82307429.040000007</v>
      </c>
      <c r="E1081" s="596">
        <v>0</v>
      </c>
      <c r="F1081" s="595">
        <v>16917273.829999998</v>
      </c>
      <c r="G1081" s="596">
        <v>0</v>
      </c>
      <c r="H1081" s="595">
        <v>99224702.870000005</v>
      </c>
      <c r="I1081" s="594" t="s">
        <v>1819</v>
      </c>
    </row>
    <row r="1082" spans="1:9" ht="28.5" customHeight="1">
      <c r="A1082" s="594">
        <v>601106</v>
      </c>
      <c r="B1082" s="594" t="s">
        <v>4133</v>
      </c>
      <c r="C1082" s="596">
        <v>0</v>
      </c>
      <c r="D1082" s="595">
        <v>8489.5499999999993</v>
      </c>
      <c r="E1082" s="596">
        <v>0</v>
      </c>
      <c r="F1082" s="596">
        <v>0</v>
      </c>
      <c r="G1082" s="596">
        <v>0</v>
      </c>
      <c r="H1082" s="595">
        <v>8489.5499999999993</v>
      </c>
      <c r="I1082" s="594" t="s">
        <v>4134</v>
      </c>
    </row>
    <row r="1083" spans="1:9">
      <c r="A1083" s="594">
        <v>60110601</v>
      </c>
      <c r="B1083" s="594" t="s">
        <v>4135</v>
      </c>
      <c r="C1083" s="596">
        <v>0</v>
      </c>
      <c r="D1083" s="595">
        <v>8489.5499999999993</v>
      </c>
      <c r="E1083" s="596">
        <v>0</v>
      </c>
      <c r="F1083" s="596">
        <v>0</v>
      </c>
      <c r="G1083" s="596">
        <v>0</v>
      </c>
      <c r="H1083" s="595">
        <v>8489.5499999999993</v>
      </c>
      <c r="I1083" s="594" t="s">
        <v>4136</v>
      </c>
    </row>
    <row r="1084" spans="1:9">
      <c r="A1084" s="594">
        <v>601107</v>
      </c>
      <c r="B1084" s="594" t="s">
        <v>3467</v>
      </c>
      <c r="C1084" s="596">
        <v>0</v>
      </c>
      <c r="D1084" s="595">
        <v>2783172.55</v>
      </c>
      <c r="E1084" s="596">
        <v>0</v>
      </c>
      <c r="F1084" s="595">
        <v>3347950.4</v>
      </c>
      <c r="G1084" s="596">
        <v>0</v>
      </c>
      <c r="H1084" s="595">
        <v>6131122.9500000002</v>
      </c>
      <c r="I1084" s="594" t="s">
        <v>3468</v>
      </c>
    </row>
    <row r="1085" spans="1:9">
      <c r="A1085" s="594">
        <v>60110705</v>
      </c>
      <c r="B1085" s="594" t="s">
        <v>3469</v>
      </c>
      <c r="C1085" s="596">
        <v>0</v>
      </c>
      <c r="D1085" s="595">
        <v>358570.27</v>
      </c>
      <c r="E1085" s="596">
        <v>0</v>
      </c>
      <c r="F1085" s="595">
        <v>22178.59</v>
      </c>
      <c r="G1085" s="596">
        <v>0</v>
      </c>
      <c r="H1085" s="595">
        <v>380748.86</v>
      </c>
      <c r="I1085" s="594" t="s">
        <v>3470</v>
      </c>
    </row>
    <row r="1086" spans="1:9" ht="28.5" customHeight="1">
      <c r="A1086" s="594">
        <v>60110708</v>
      </c>
      <c r="B1086" s="594" t="s">
        <v>4257</v>
      </c>
      <c r="C1086" s="596">
        <v>0</v>
      </c>
      <c r="D1086" s="595">
        <v>2002079.64</v>
      </c>
      <c r="E1086" s="596">
        <v>0</v>
      </c>
      <c r="F1086" s="595">
        <v>3232325.83</v>
      </c>
      <c r="G1086" s="596">
        <v>0</v>
      </c>
      <c r="H1086" s="595">
        <v>5234405.47</v>
      </c>
      <c r="I1086" s="594" t="s">
        <v>4258</v>
      </c>
    </row>
    <row r="1087" spans="1:9" ht="17.100000000000001" customHeight="1">
      <c r="A1087" s="594">
        <v>60110799</v>
      </c>
      <c r="B1087" s="594" t="s">
        <v>3690</v>
      </c>
      <c r="C1087" s="596">
        <v>0</v>
      </c>
      <c r="D1087" s="595">
        <v>422522.64</v>
      </c>
      <c r="E1087" s="596">
        <v>0</v>
      </c>
      <c r="F1087" s="595">
        <v>93445.98</v>
      </c>
      <c r="G1087" s="596">
        <v>0</v>
      </c>
      <c r="H1087" s="595">
        <v>515968.62</v>
      </c>
      <c r="I1087" s="594" t="s">
        <v>3765</v>
      </c>
    </row>
    <row r="1088" spans="1:9" ht="17.100000000000001" customHeight="1">
      <c r="A1088" s="594">
        <v>601108</v>
      </c>
      <c r="B1088" s="594" t="s">
        <v>1820</v>
      </c>
      <c r="C1088" s="596">
        <v>0</v>
      </c>
      <c r="D1088" s="595">
        <v>1432432.87</v>
      </c>
      <c r="E1088" s="596">
        <v>0</v>
      </c>
      <c r="F1088" s="595">
        <v>4399948.91</v>
      </c>
      <c r="G1088" s="596">
        <v>0</v>
      </c>
      <c r="H1088" s="595">
        <v>5832381.7800000003</v>
      </c>
      <c r="I1088" s="594" t="s">
        <v>1821</v>
      </c>
    </row>
    <row r="1089" spans="1:9" ht="17.100000000000001" customHeight="1">
      <c r="A1089" s="594">
        <v>60110801</v>
      </c>
      <c r="B1089" s="594" t="s">
        <v>3691</v>
      </c>
      <c r="C1089" s="596">
        <v>0</v>
      </c>
      <c r="D1089" s="595">
        <v>-376730.17</v>
      </c>
      <c r="E1089" s="596">
        <v>0</v>
      </c>
      <c r="F1089" s="595">
        <v>898529.98</v>
      </c>
      <c r="G1089" s="596">
        <v>0</v>
      </c>
      <c r="H1089" s="595">
        <v>521799.81</v>
      </c>
      <c r="I1089" s="594" t="s">
        <v>3766</v>
      </c>
    </row>
    <row r="1090" spans="1:9" ht="17.100000000000001" customHeight="1">
      <c r="A1090" s="594">
        <v>60110802</v>
      </c>
      <c r="B1090" s="594" t="s">
        <v>1822</v>
      </c>
      <c r="C1090" s="596">
        <v>0</v>
      </c>
      <c r="D1090" s="595">
        <v>265822.58</v>
      </c>
      <c r="E1090" s="596">
        <v>0</v>
      </c>
      <c r="F1090" s="595">
        <v>3129030.42</v>
      </c>
      <c r="G1090" s="596">
        <v>0</v>
      </c>
      <c r="H1090" s="595">
        <v>3394853</v>
      </c>
      <c r="I1090" s="594" t="s">
        <v>1823</v>
      </c>
    </row>
    <row r="1091" spans="1:9" ht="17.100000000000001" customHeight="1">
      <c r="A1091" s="594">
        <v>60110805</v>
      </c>
      <c r="B1091" s="594" t="s">
        <v>1824</v>
      </c>
      <c r="C1091" s="596">
        <v>0</v>
      </c>
      <c r="D1091" s="595">
        <v>1110620.3400000001</v>
      </c>
      <c r="E1091" s="596">
        <v>0</v>
      </c>
      <c r="F1091" s="595">
        <v>290313.03999999998</v>
      </c>
      <c r="G1091" s="596">
        <v>0</v>
      </c>
      <c r="H1091" s="595">
        <v>1400933.38</v>
      </c>
      <c r="I1091" s="594" t="s">
        <v>1825</v>
      </c>
    </row>
    <row r="1092" spans="1:9" ht="17.100000000000001" customHeight="1">
      <c r="A1092" s="594">
        <v>60110807</v>
      </c>
      <c r="B1092" s="594" t="s">
        <v>1826</v>
      </c>
      <c r="C1092" s="596">
        <v>0</v>
      </c>
      <c r="D1092" s="595">
        <v>432720.12</v>
      </c>
      <c r="E1092" s="596">
        <v>0</v>
      </c>
      <c r="F1092" s="595">
        <v>82075.47</v>
      </c>
      <c r="G1092" s="596">
        <v>0</v>
      </c>
      <c r="H1092" s="595">
        <v>514795.59</v>
      </c>
      <c r="I1092" s="594" t="s">
        <v>1827</v>
      </c>
    </row>
    <row r="1093" spans="1:9" ht="17.100000000000001" customHeight="1">
      <c r="A1093" s="594">
        <v>601109</v>
      </c>
      <c r="B1093" s="594" t="s">
        <v>1828</v>
      </c>
      <c r="C1093" s="596">
        <v>0</v>
      </c>
      <c r="D1093" s="595">
        <v>24782317.379999999</v>
      </c>
      <c r="E1093" s="596">
        <v>0</v>
      </c>
      <c r="F1093" s="595">
        <v>7427250.75</v>
      </c>
      <c r="G1093" s="596">
        <v>0</v>
      </c>
      <c r="H1093" s="595">
        <v>32209568.129999999</v>
      </c>
      <c r="I1093" s="594" t="s">
        <v>1829</v>
      </c>
    </row>
    <row r="1094" spans="1:9" ht="17.100000000000001" customHeight="1">
      <c r="A1094" s="594">
        <v>60110901</v>
      </c>
      <c r="B1094" s="594" t="s">
        <v>1828</v>
      </c>
      <c r="C1094" s="596">
        <v>0</v>
      </c>
      <c r="D1094" s="595">
        <v>24782317.379999999</v>
      </c>
      <c r="E1094" s="596">
        <v>0</v>
      </c>
      <c r="F1094" s="595">
        <v>7427250.75</v>
      </c>
      <c r="G1094" s="596">
        <v>0</v>
      </c>
      <c r="H1094" s="595">
        <v>32209568.129999999</v>
      </c>
      <c r="I1094" s="594" t="s">
        <v>1830</v>
      </c>
    </row>
    <row r="1095" spans="1:9" ht="17.100000000000001" customHeight="1">
      <c r="A1095" s="594">
        <v>601199</v>
      </c>
      <c r="B1095" s="594" t="s">
        <v>4152</v>
      </c>
      <c r="C1095" s="596">
        <v>0</v>
      </c>
      <c r="D1095" s="595">
        <v>11932.75</v>
      </c>
      <c r="E1095" s="596">
        <v>0</v>
      </c>
      <c r="F1095" s="596">
        <v>0</v>
      </c>
      <c r="G1095" s="596">
        <v>0</v>
      </c>
      <c r="H1095" s="595">
        <v>11932.75</v>
      </c>
      <c r="I1095" s="594" t="s">
        <v>4153</v>
      </c>
    </row>
    <row r="1096" spans="1:9" ht="17.100000000000001" customHeight="1">
      <c r="A1096" s="594">
        <v>60119999</v>
      </c>
      <c r="B1096" s="594" t="s">
        <v>4152</v>
      </c>
      <c r="C1096" s="596">
        <v>0</v>
      </c>
      <c r="D1096" s="595">
        <v>11932.75</v>
      </c>
      <c r="E1096" s="596">
        <v>0</v>
      </c>
      <c r="F1096" s="596">
        <v>0</v>
      </c>
      <c r="G1096" s="596">
        <v>0</v>
      </c>
      <c r="H1096" s="595">
        <v>11932.75</v>
      </c>
      <c r="I1096" s="594" t="s">
        <v>4154</v>
      </c>
    </row>
    <row r="1097" spans="1:9" ht="17.100000000000001" customHeight="1">
      <c r="A1097" s="594">
        <v>6012</v>
      </c>
      <c r="B1097" s="594" t="s">
        <v>1831</v>
      </c>
      <c r="C1097" s="596">
        <v>0</v>
      </c>
      <c r="D1097" s="595">
        <v>2424325832.3099999</v>
      </c>
      <c r="E1097" s="596">
        <v>0</v>
      </c>
      <c r="F1097" s="595">
        <v>1581530470.24</v>
      </c>
      <c r="G1097" s="596">
        <v>0</v>
      </c>
      <c r="H1097" s="595">
        <v>4005856302.5500002</v>
      </c>
      <c r="I1097" s="594" t="s">
        <v>1832</v>
      </c>
    </row>
    <row r="1098" spans="1:9" ht="17.100000000000001" customHeight="1">
      <c r="A1098" s="594">
        <v>601201</v>
      </c>
      <c r="B1098" s="594" t="s">
        <v>1833</v>
      </c>
      <c r="C1098" s="596">
        <v>0</v>
      </c>
      <c r="D1098" s="595">
        <v>410461612.14999998</v>
      </c>
      <c r="E1098" s="596">
        <v>0</v>
      </c>
      <c r="F1098" s="595">
        <v>84954224</v>
      </c>
      <c r="G1098" s="596">
        <v>0</v>
      </c>
      <c r="H1098" s="595">
        <v>495415836.14999998</v>
      </c>
      <c r="I1098" s="594" t="s">
        <v>1834</v>
      </c>
    </row>
    <row r="1099" spans="1:9" ht="17.100000000000001" customHeight="1">
      <c r="A1099" s="594">
        <v>60120101</v>
      </c>
      <c r="B1099" s="594" t="s">
        <v>1835</v>
      </c>
      <c r="C1099" s="596">
        <v>0</v>
      </c>
      <c r="D1099" s="595">
        <v>409394505.02999997</v>
      </c>
      <c r="E1099" s="596">
        <v>0</v>
      </c>
      <c r="F1099" s="595">
        <v>84894266.379999995</v>
      </c>
      <c r="G1099" s="596">
        <v>0</v>
      </c>
      <c r="H1099" s="595">
        <v>494288771.41000003</v>
      </c>
      <c r="I1099" s="594" t="s">
        <v>1836</v>
      </c>
    </row>
    <row r="1100" spans="1:9" ht="17.100000000000001" customHeight="1">
      <c r="A1100" s="594">
        <v>60120199</v>
      </c>
      <c r="B1100" s="594" t="s">
        <v>1837</v>
      </c>
      <c r="C1100" s="596">
        <v>0</v>
      </c>
      <c r="D1100" s="595">
        <v>1067107.1200000001</v>
      </c>
      <c r="E1100" s="596">
        <v>0</v>
      </c>
      <c r="F1100" s="595">
        <v>59957.62</v>
      </c>
      <c r="G1100" s="596">
        <v>0</v>
      </c>
      <c r="H1100" s="595">
        <v>1127064.74</v>
      </c>
      <c r="I1100" s="594" t="s">
        <v>1838</v>
      </c>
    </row>
    <row r="1101" spans="1:9" ht="17.100000000000001" customHeight="1">
      <c r="A1101" s="594">
        <v>601202</v>
      </c>
      <c r="B1101" s="594" t="s">
        <v>1839</v>
      </c>
      <c r="C1101" s="596">
        <v>0</v>
      </c>
      <c r="D1101" s="595">
        <v>79626649.620000005</v>
      </c>
      <c r="E1101" s="596">
        <v>0</v>
      </c>
      <c r="F1101" s="595">
        <v>5075212.07</v>
      </c>
      <c r="G1101" s="596">
        <v>0</v>
      </c>
      <c r="H1101" s="595">
        <v>84701861.689999998</v>
      </c>
      <c r="I1101" s="594" t="s">
        <v>1840</v>
      </c>
    </row>
    <row r="1102" spans="1:9" ht="17.100000000000001" customHeight="1">
      <c r="A1102" s="594">
        <v>60120202</v>
      </c>
      <c r="B1102" s="594" t="s">
        <v>2607</v>
      </c>
      <c r="C1102" s="596">
        <v>0</v>
      </c>
      <c r="D1102" s="595">
        <v>4580946.3</v>
      </c>
      <c r="E1102" s="596">
        <v>0</v>
      </c>
      <c r="F1102" s="595">
        <v>420583.98</v>
      </c>
      <c r="G1102" s="596">
        <v>0</v>
      </c>
      <c r="H1102" s="595">
        <v>5001530.28</v>
      </c>
      <c r="I1102" s="594" t="s">
        <v>1841</v>
      </c>
    </row>
    <row r="1103" spans="1:9" ht="17.100000000000001" customHeight="1">
      <c r="A1103" s="594">
        <v>60120203</v>
      </c>
      <c r="B1103" s="594" t="s">
        <v>2697</v>
      </c>
      <c r="C1103" s="596">
        <v>0</v>
      </c>
      <c r="D1103" s="595">
        <v>1666516.05</v>
      </c>
      <c r="E1103" s="596">
        <v>0</v>
      </c>
      <c r="F1103" s="595">
        <v>101378.09</v>
      </c>
      <c r="G1103" s="596">
        <v>0</v>
      </c>
      <c r="H1103" s="595">
        <v>1767894.14</v>
      </c>
      <c r="I1103" s="594" t="s">
        <v>2698</v>
      </c>
    </row>
    <row r="1104" spans="1:9" ht="17.100000000000001" customHeight="1">
      <c r="A1104" s="594">
        <v>60120204</v>
      </c>
      <c r="B1104" s="594" t="s">
        <v>2608</v>
      </c>
      <c r="C1104" s="596">
        <v>0</v>
      </c>
      <c r="D1104" s="595">
        <v>68592972.230000004</v>
      </c>
      <c r="E1104" s="596">
        <v>0</v>
      </c>
      <c r="F1104" s="595">
        <v>4553250</v>
      </c>
      <c r="G1104" s="596">
        <v>0</v>
      </c>
      <c r="H1104" s="595">
        <v>73146222.230000004</v>
      </c>
      <c r="I1104" s="594" t="s">
        <v>1842</v>
      </c>
    </row>
    <row r="1105" spans="1:9" ht="17.100000000000001" customHeight="1">
      <c r="A1105" s="594">
        <v>60120297</v>
      </c>
      <c r="B1105" s="594" t="s">
        <v>3692</v>
      </c>
      <c r="C1105" s="596">
        <v>0</v>
      </c>
      <c r="D1105" s="595">
        <v>4658333.33</v>
      </c>
      <c r="E1105" s="596">
        <v>0</v>
      </c>
      <c r="F1105" s="596">
        <v>0</v>
      </c>
      <c r="G1105" s="596">
        <v>0</v>
      </c>
      <c r="H1105" s="595">
        <v>4658333.33</v>
      </c>
      <c r="I1105" s="594" t="s">
        <v>3767</v>
      </c>
    </row>
    <row r="1106" spans="1:9" ht="17.100000000000001" customHeight="1">
      <c r="A1106" s="594">
        <v>60120299</v>
      </c>
      <c r="B1106" s="594" t="s">
        <v>4014</v>
      </c>
      <c r="C1106" s="596">
        <v>0</v>
      </c>
      <c r="D1106" s="595">
        <v>127881.71</v>
      </c>
      <c r="E1106" s="596">
        <v>0</v>
      </c>
      <c r="F1106" s="596">
        <v>0</v>
      </c>
      <c r="G1106" s="596">
        <v>0</v>
      </c>
      <c r="H1106" s="595">
        <v>127881.71</v>
      </c>
      <c r="I1106" s="594" t="s">
        <v>4015</v>
      </c>
    </row>
    <row r="1107" spans="1:9" ht="17.100000000000001" customHeight="1">
      <c r="A1107" s="594">
        <v>601203</v>
      </c>
      <c r="B1107" s="594" t="s">
        <v>1843</v>
      </c>
      <c r="C1107" s="596">
        <v>0</v>
      </c>
      <c r="D1107" s="595">
        <v>1036414917.46</v>
      </c>
      <c r="E1107" s="596">
        <v>0</v>
      </c>
      <c r="F1107" s="595">
        <v>1237835087.53</v>
      </c>
      <c r="G1107" s="596">
        <v>0</v>
      </c>
      <c r="H1107" s="595">
        <v>2274250004.9899998</v>
      </c>
      <c r="I1107" s="594" t="s">
        <v>1844</v>
      </c>
    </row>
    <row r="1108" spans="1:9" ht="17.100000000000001" customHeight="1">
      <c r="A1108" s="594">
        <v>60120301</v>
      </c>
      <c r="B1108" s="594" t="s">
        <v>1845</v>
      </c>
      <c r="C1108" s="596">
        <v>0</v>
      </c>
      <c r="D1108" s="595">
        <v>1849202.3</v>
      </c>
      <c r="E1108" s="596">
        <v>0</v>
      </c>
      <c r="F1108" s="595">
        <v>294258.15000000002</v>
      </c>
      <c r="G1108" s="596">
        <v>0</v>
      </c>
      <c r="H1108" s="595">
        <v>2143460.4500000002</v>
      </c>
      <c r="I1108" s="594" t="s">
        <v>1846</v>
      </c>
    </row>
    <row r="1109" spans="1:9" ht="17.100000000000001" customHeight="1">
      <c r="A1109" s="594">
        <v>60120302</v>
      </c>
      <c r="B1109" s="594" t="s">
        <v>4016</v>
      </c>
      <c r="C1109" s="596">
        <v>0</v>
      </c>
      <c r="D1109" s="595">
        <v>1034565715.16</v>
      </c>
      <c r="E1109" s="596">
        <v>0</v>
      </c>
      <c r="F1109" s="595">
        <v>1237540829.3800001</v>
      </c>
      <c r="G1109" s="596">
        <v>0</v>
      </c>
      <c r="H1109" s="595">
        <v>2272106544.54</v>
      </c>
      <c r="I1109" s="594" t="s">
        <v>4017</v>
      </c>
    </row>
    <row r="1110" spans="1:9" ht="17.100000000000001" customHeight="1">
      <c r="A1110" s="594">
        <v>601204</v>
      </c>
      <c r="B1110" s="594" t="s">
        <v>1847</v>
      </c>
      <c r="C1110" s="596">
        <v>0</v>
      </c>
      <c r="D1110" s="595">
        <v>67599222.480000004</v>
      </c>
      <c r="E1110" s="596">
        <v>0</v>
      </c>
      <c r="F1110" s="595">
        <v>31344552.059999999</v>
      </c>
      <c r="G1110" s="596">
        <v>0</v>
      </c>
      <c r="H1110" s="595">
        <v>98943774.540000007</v>
      </c>
      <c r="I1110" s="594" t="s">
        <v>1848</v>
      </c>
    </row>
    <row r="1111" spans="1:9" ht="17.100000000000001" customHeight="1">
      <c r="A1111" s="594">
        <v>60120402</v>
      </c>
      <c r="B1111" s="594" t="s">
        <v>1849</v>
      </c>
      <c r="C1111" s="596">
        <v>0</v>
      </c>
      <c r="D1111" s="595">
        <v>394061.8</v>
      </c>
      <c r="E1111" s="596">
        <v>0</v>
      </c>
      <c r="F1111" s="595">
        <v>564990.93000000005</v>
      </c>
      <c r="G1111" s="596">
        <v>0</v>
      </c>
      <c r="H1111" s="595">
        <v>959052.73</v>
      </c>
      <c r="I1111" s="594" t="s">
        <v>1850</v>
      </c>
    </row>
    <row r="1112" spans="1:9" ht="17.100000000000001" customHeight="1">
      <c r="A1112" s="594">
        <v>60120414</v>
      </c>
      <c r="B1112" s="594" t="s">
        <v>4137</v>
      </c>
      <c r="C1112" s="596">
        <v>0</v>
      </c>
      <c r="D1112" s="595">
        <v>459291.67</v>
      </c>
      <c r="E1112" s="596">
        <v>0</v>
      </c>
      <c r="F1112" s="595">
        <v>96000</v>
      </c>
      <c r="G1112" s="596">
        <v>0</v>
      </c>
      <c r="H1112" s="595">
        <v>555291.67000000004</v>
      </c>
      <c r="I1112" s="594" t="s">
        <v>4138</v>
      </c>
    </row>
    <row r="1113" spans="1:9" ht="17.100000000000001" customHeight="1">
      <c r="A1113" s="594">
        <v>60120431</v>
      </c>
      <c r="B1113" s="594" t="s">
        <v>3471</v>
      </c>
      <c r="C1113" s="596">
        <v>0</v>
      </c>
      <c r="D1113" s="595">
        <v>60119173.009999998</v>
      </c>
      <c r="E1113" s="596">
        <v>0</v>
      </c>
      <c r="F1113" s="595">
        <v>21904950.02</v>
      </c>
      <c r="G1113" s="596">
        <v>0</v>
      </c>
      <c r="H1113" s="595">
        <v>82024123.030000001</v>
      </c>
      <c r="I1113" s="594" t="s">
        <v>3472</v>
      </c>
    </row>
    <row r="1114" spans="1:9" ht="17.100000000000001" customHeight="1">
      <c r="A1114" s="320"/>
      <c r="B1114" s="320"/>
      <c r="C1114" s="320"/>
      <c r="D1114" s="557" t="s">
        <v>4198</v>
      </c>
      <c r="E1114" s="320" t="s">
        <v>3771</v>
      </c>
      <c r="F1114" s="320"/>
      <c r="G1114" s="320"/>
      <c r="H1114" s="320"/>
      <c r="I1114" s="320"/>
    </row>
    <row r="1115" spans="1:9" ht="17.100000000000001" customHeight="1">
      <c r="A1115" s="671"/>
      <c r="B1115" s="671"/>
      <c r="C1115" s="671"/>
      <c r="D1115" s="671"/>
      <c r="E1115" s="671"/>
      <c r="F1115" s="671"/>
      <c r="G1115" s="671"/>
      <c r="H1115" s="671"/>
      <c r="I1115" s="671"/>
    </row>
    <row r="1116" spans="1:9" ht="17.100000000000001" customHeight="1">
      <c r="A1116" s="320"/>
      <c r="B1116" s="320"/>
      <c r="C1116" s="589" t="s">
        <v>3707</v>
      </c>
      <c r="D1116" s="320"/>
      <c r="E1116" s="320"/>
      <c r="F1116" s="671"/>
      <c r="G1116" s="671"/>
      <c r="H1116" s="671"/>
      <c r="I1116" s="671"/>
    </row>
    <row r="1117" spans="1:9" ht="17.100000000000001" customHeight="1">
      <c r="A1117" s="590" t="s">
        <v>3708</v>
      </c>
      <c r="B1117" s="590"/>
      <c r="C1117" s="597">
        <v>42887</v>
      </c>
      <c r="D1117" s="590"/>
      <c r="E1117" s="557" t="s">
        <v>3709</v>
      </c>
      <c r="F1117" s="671"/>
      <c r="G1117" s="671"/>
      <c r="H1117" s="671"/>
      <c r="I1117" s="671"/>
    </row>
    <row r="1118" spans="1:9" ht="17.100000000000001" customHeight="1">
      <c r="A1118" s="593" t="s">
        <v>596</v>
      </c>
      <c r="B1118" s="593" t="s">
        <v>597</v>
      </c>
      <c r="C1118" s="593" t="s">
        <v>3710</v>
      </c>
      <c r="D1118" s="593" t="s">
        <v>3711</v>
      </c>
      <c r="E1118" s="593" t="s">
        <v>3712</v>
      </c>
      <c r="F1118" s="593" t="s">
        <v>3713</v>
      </c>
      <c r="G1118" s="593" t="s">
        <v>3714</v>
      </c>
      <c r="H1118" s="593" t="s">
        <v>3715</v>
      </c>
      <c r="I1118" s="593" t="s">
        <v>596</v>
      </c>
    </row>
    <row r="1119" spans="1:9" ht="17.100000000000001" customHeight="1">
      <c r="A1119" s="594">
        <v>60120432</v>
      </c>
      <c r="B1119" s="594" t="s">
        <v>4259</v>
      </c>
      <c r="C1119" s="596">
        <v>0</v>
      </c>
      <c r="D1119" s="596">
        <v>0</v>
      </c>
      <c r="E1119" s="596">
        <v>0</v>
      </c>
      <c r="F1119" s="595">
        <v>958611.11</v>
      </c>
      <c r="G1119" s="596">
        <v>0</v>
      </c>
      <c r="H1119" s="595">
        <v>958611.11</v>
      </c>
      <c r="I1119" s="594" t="s">
        <v>4260</v>
      </c>
    </row>
    <row r="1120" spans="1:9" ht="17.100000000000001" customHeight="1">
      <c r="A1120" s="594">
        <v>60120499</v>
      </c>
      <c r="B1120" s="594" t="s">
        <v>4018</v>
      </c>
      <c r="C1120" s="596">
        <v>0</v>
      </c>
      <c r="D1120" s="595">
        <v>6626696</v>
      </c>
      <c r="E1120" s="596">
        <v>0</v>
      </c>
      <c r="F1120" s="595">
        <v>7820000</v>
      </c>
      <c r="G1120" s="596">
        <v>0</v>
      </c>
      <c r="H1120" s="595">
        <v>14446696</v>
      </c>
      <c r="I1120" s="594" t="s">
        <v>4019</v>
      </c>
    </row>
    <row r="1121" spans="1:9" ht="28.5" customHeight="1">
      <c r="A1121" s="594">
        <v>601205</v>
      </c>
      <c r="B1121" s="594" t="s">
        <v>1851</v>
      </c>
      <c r="C1121" s="596">
        <v>0</v>
      </c>
      <c r="D1121" s="595">
        <v>4640.5200000000004</v>
      </c>
      <c r="E1121" s="596">
        <v>0</v>
      </c>
      <c r="F1121" s="595">
        <v>1989.4</v>
      </c>
      <c r="G1121" s="596">
        <v>0</v>
      </c>
      <c r="H1121" s="595">
        <v>6629.92</v>
      </c>
      <c r="I1121" s="594" t="s">
        <v>1852</v>
      </c>
    </row>
    <row r="1122" spans="1:9">
      <c r="A1122" s="594">
        <v>60120505</v>
      </c>
      <c r="B1122" s="594" t="s">
        <v>1853</v>
      </c>
      <c r="C1122" s="596">
        <v>0</v>
      </c>
      <c r="D1122" s="595">
        <v>4640.5200000000004</v>
      </c>
      <c r="E1122" s="596">
        <v>0</v>
      </c>
      <c r="F1122" s="595">
        <v>1989.4</v>
      </c>
      <c r="G1122" s="596">
        <v>0</v>
      </c>
      <c r="H1122" s="595">
        <v>6629.92</v>
      </c>
      <c r="I1122" s="594" t="s">
        <v>1854</v>
      </c>
    </row>
    <row r="1123" spans="1:9">
      <c r="A1123" s="594">
        <v>601206</v>
      </c>
      <c r="B1123" s="594" t="s">
        <v>4139</v>
      </c>
      <c r="C1123" s="596">
        <v>0</v>
      </c>
      <c r="D1123" s="595">
        <v>4863.0600000000004</v>
      </c>
      <c r="E1123" s="596">
        <v>0</v>
      </c>
      <c r="F1123" s="596">
        <v>0</v>
      </c>
      <c r="G1123" s="596">
        <v>0</v>
      </c>
      <c r="H1123" s="595">
        <v>4863.0600000000004</v>
      </c>
      <c r="I1123" s="594" t="s">
        <v>4140</v>
      </c>
    </row>
    <row r="1124" spans="1:9">
      <c r="A1124" s="594">
        <v>60120601</v>
      </c>
      <c r="B1124" s="594" t="s">
        <v>4139</v>
      </c>
      <c r="C1124" s="596">
        <v>0</v>
      </c>
      <c r="D1124" s="595">
        <v>4863.0600000000004</v>
      </c>
      <c r="E1124" s="596">
        <v>0</v>
      </c>
      <c r="F1124" s="596">
        <v>0</v>
      </c>
      <c r="G1124" s="596">
        <v>0</v>
      </c>
      <c r="H1124" s="595">
        <v>4863.0600000000004</v>
      </c>
      <c r="I1124" s="594" t="s">
        <v>4141</v>
      </c>
    </row>
    <row r="1125" spans="1:9" ht="28.5" customHeight="1">
      <c r="A1125" s="594">
        <v>601207</v>
      </c>
      <c r="B1125" s="594" t="s">
        <v>1855</v>
      </c>
      <c r="C1125" s="596">
        <v>0</v>
      </c>
      <c r="D1125" s="595">
        <v>504342454.56999999</v>
      </c>
      <c r="E1125" s="596">
        <v>0</v>
      </c>
      <c r="F1125" s="595">
        <v>170551507.53999999</v>
      </c>
      <c r="G1125" s="596">
        <v>0</v>
      </c>
      <c r="H1125" s="595">
        <v>674893962.11000001</v>
      </c>
      <c r="I1125" s="594" t="s">
        <v>1856</v>
      </c>
    </row>
    <row r="1126" spans="1:9" ht="17.100000000000001" customHeight="1">
      <c r="A1126" s="594">
        <v>60120702</v>
      </c>
      <c r="B1126" s="594" t="s">
        <v>1857</v>
      </c>
      <c r="C1126" s="596">
        <v>0</v>
      </c>
      <c r="D1126" s="595">
        <v>318062716.19</v>
      </c>
      <c r="E1126" s="596">
        <v>0</v>
      </c>
      <c r="F1126" s="595">
        <v>110596282.98</v>
      </c>
      <c r="G1126" s="596">
        <v>0</v>
      </c>
      <c r="H1126" s="595">
        <v>428658999.17000002</v>
      </c>
      <c r="I1126" s="594" t="s">
        <v>1858</v>
      </c>
    </row>
    <row r="1127" spans="1:9" ht="17.100000000000001" customHeight="1">
      <c r="A1127" s="594">
        <v>60120703</v>
      </c>
      <c r="B1127" s="594" t="s">
        <v>1859</v>
      </c>
      <c r="C1127" s="596">
        <v>0</v>
      </c>
      <c r="D1127" s="595">
        <v>136475476.65000001</v>
      </c>
      <c r="E1127" s="596">
        <v>0</v>
      </c>
      <c r="F1127" s="595">
        <v>51010990.640000001</v>
      </c>
      <c r="G1127" s="596">
        <v>0</v>
      </c>
      <c r="H1127" s="595">
        <v>187486467.28999999</v>
      </c>
      <c r="I1127" s="594" t="s">
        <v>1860</v>
      </c>
    </row>
    <row r="1128" spans="1:9" ht="17.100000000000001" customHeight="1">
      <c r="A1128" s="594">
        <v>60120704</v>
      </c>
      <c r="B1128" s="594" t="s">
        <v>1861</v>
      </c>
      <c r="C1128" s="596">
        <v>0</v>
      </c>
      <c r="D1128" s="595">
        <v>49804261.729999997</v>
      </c>
      <c r="E1128" s="596">
        <v>0</v>
      </c>
      <c r="F1128" s="595">
        <v>8944233.9199999999</v>
      </c>
      <c r="G1128" s="596">
        <v>0</v>
      </c>
      <c r="H1128" s="595">
        <v>58748495.649999999</v>
      </c>
      <c r="I1128" s="594" t="s">
        <v>1862</v>
      </c>
    </row>
    <row r="1129" spans="1:9" ht="17.100000000000001" customHeight="1">
      <c r="A1129" s="594">
        <v>601208</v>
      </c>
      <c r="B1129" s="594" t="s">
        <v>1863</v>
      </c>
      <c r="C1129" s="596">
        <v>0</v>
      </c>
      <c r="D1129" s="595">
        <v>272125270.88</v>
      </c>
      <c r="E1129" s="596">
        <v>0</v>
      </c>
      <c r="F1129" s="595">
        <v>30678324.780000001</v>
      </c>
      <c r="G1129" s="596">
        <v>0</v>
      </c>
      <c r="H1129" s="595">
        <v>302803595.66000003</v>
      </c>
      <c r="I1129" s="594" t="s">
        <v>1864</v>
      </c>
    </row>
    <row r="1130" spans="1:9" ht="17.100000000000001" customHeight="1">
      <c r="A1130" s="594">
        <v>60120801</v>
      </c>
      <c r="B1130" s="594" t="s">
        <v>1865</v>
      </c>
      <c r="C1130" s="596">
        <v>0</v>
      </c>
      <c r="D1130" s="595">
        <v>220629802.61000001</v>
      </c>
      <c r="E1130" s="596">
        <v>0</v>
      </c>
      <c r="F1130" s="595">
        <v>19977895.710000001</v>
      </c>
      <c r="G1130" s="596">
        <v>0</v>
      </c>
      <c r="H1130" s="595">
        <v>240607698.31999999</v>
      </c>
      <c r="I1130" s="594" t="s">
        <v>1866</v>
      </c>
    </row>
    <row r="1131" spans="1:9" ht="17.100000000000001" customHeight="1">
      <c r="A1131" s="594">
        <v>60120802</v>
      </c>
      <c r="B1131" s="594" t="s">
        <v>1867</v>
      </c>
      <c r="C1131" s="596">
        <v>0</v>
      </c>
      <c r="D1131" s="595">
        <v>51495468.270000003</v>
      </c>
      <c r="E1131" s="596">
        <v>0</v>
      </c>
      <c r="F1131" s="595">
        <v>10700429.07</v>
      </c>
      <c r="G1131" s="596">
        <v>0</v>
      </c>
      <c r="H1131" s="595">
        <v>62195897.340000004</v>
      </c>
      <c r="I1131" s="594" t="s">
        <v>1868</v>
      </c>
    </row>
    <row r="1132" spans="1:9" ht="17.100000000000001" customHeight="1">
      <c r="A1132" s="594">
        <v>601209</v>
      </c>
      <c r="B1132" s="594" t="s">
        <v>1869</v>
      </c>
      <c r="C1132" s="596">
        <v>0</v>
      </c>
      <c r="D1132" s="595">
        <v>53746201.57</v>
      </c>
      <c r="E1132" s="596">
        <v>0</v>
      </c>
      <c r="F1132" s="595">
        <v>21089572.859999999</v>
      </c>
      <c r="G1132" s="596">
        <v>0</v>
      </c>
      <c r="H1132" s="595">
        <v>74835774.430000007</v>
      </c>
      <c r="I1132" s="594" t="s">
        <v>1870</v>
      </c>
    </row>
    <row r="1133" spans="1:9" ht="17.100000000000001" customHeight="1">
      <c r="A1133" s="594">
        <v>60120901</v>
      </c>
      <c r="B1133" s="594" t="s">
        <v>1871</v>
      </c>
      <c r="C1133" s="596">
        <v>0</v>
      </c>
      <c r="D1133" s="595">
        <v>10439335.16</v>
      </c>
      <c r="E1133" s="596">
        <v>0</v>
      </c>
      <c r="F1133" s="595">
        <v>1620960.37</v>
      </c>
      <c r="G1133" s="596">
        <v>0</v>
      </c>
      <c r="H1133" s="595">
        <v>12060295.529999999</v>
      </c>
      <c r="I1133" s="594" t="s">
        <v>1872</v>
      </c>
    </row>
    <row r="1134" spans="1:9" ht="17.100000000000001" customHeight="1">
      <c r="A1134" s="594">
        <v>60120902</v>
      </c>
      <c r="B1134" s="594" t="s">
        <v>1873</v>
      </c>
      <c r="C1134" s="596">
        <v>0</v>
      </c>
      <c r="D1134" s="595">
        <v>43306866.409999996</v>
      </c>
      <c r="E1134" s="596">
        <v>0</v>
      </c>
      <c r="F1134" s="595">
        <v>19468612.489999998</v>
      </c>
      <c r="G1134" s="596">
        <v>0</v>
      </c>
      <c r="H1134" s="595">
        <v>62775478.899999999</v>
      </c>
      <c r="I1134" s="594" t="s">
        <v>1874</v>
      </c>
    </row>
    <row r="1135" spans="1:9" ht="17.100000000000001" customHeight="1">
      <c r="A1135" s="594">
        <v>6021</v>
      </c>
      <c r="B1135" s="594" t="s">
        <v>1875</v>
      </c>
      <c r="C1135" s="596">
        <v>0</v>
      </c>
      <c r="D1135" s="595">
        <v>1250358031.3699999</v>
      </c>
      <c r="E1135" s="595">
        <v>30465.62</v>
      </c>
      <c r="F1135" s="595">
        <v>119215563.54000001</v>
      </c>
      <c r="G1135" s="596">
        <v>0</v>
      </c>
      <c r="H1135" s="595">
        <v>1369543129.29</v>
      </c>
      <c r="I1135" s="594" t="s">
        <v>1876</v>
      </c>
    </row>
    <row r="1136" spans="1:9" ht="17.100000000000001" customHeight="1">
      <c r="A1136" s="594">
        <v>602101</v>
      </c>
      <c r="B1136" s="594" t="s">
        <v>1877</v>
      </c>
      <c r="C1136" s="596">
        <v>0</v>
      </c>
      <c r="D1136" s="595">
        <v>228635513.44999999</v>
      </c>
      <c r="E1136" s="595">
        <v>30465.62</v>
      </c>
      <c r="F1136" s="595">
        <v>47907514.789999999</v>
      </c>
      <c r="G1136" s="596">
        <v>0</v>
      </c>
      <c r="H1136" s="595">
        <v>276512562.62</v>
      </c>
      <c r="I1136" s="594" t="s">
        <v>1878</v>
      </c>
    </row>
    <row r="1137" spans="1:9" ht="17.100000000000001" customHeight="1">
      <c r="A1137" s="594">
        <v>60210101</v>
      </c>
      <c r="B1137" s="594" t="s">
        <v>1879</v>
      </c>
      <c r="C1137" s="596">
        <v>0</v>
      </c>
      <c r="D1137" s="595">
        <v>2066434.55</v>
      </c>
      <c r="E1137" s="596">
        <v>0</v>
      </c>
      <c r="F1137" s="595">
        <v>376417.8</v>
      </c>
      <c r="G1137" s="596">
        <v>0</v>
      </c>
      <c r="H1137" s="595">
        <v>2442852.35</v>
      </c>
      <c r="I1137" s="594" t="s">
        <v>1880</v>
      </c>
    </row>
    <row r="1138" spans="1:9" ht="17.100000000000001" customHeight="1">
      <c r="A1138" s="594">
        <v>60210102</v>
      </c>
      <c r="B1138" s="594" t="s">
        <v>1881</v>
      </c>
      <c r="C1138" s="596">
        <v>0</v>
      </c>
      <c r="D1138" s="595">
        <v>244774.04</v>
      </c>
      <c r="E1138" s="596">
        <v>0</v>
      </c>
      <c r="F1138" s="595">
        <v>47852.65</v>
      </c>
      <c r="G1138" s="596">
        <v>0</v>
      </c>
      <c r="H1138" s="595">
        <v>292626.69</v>
      </c>
      <c r="I1138" s="594" t="s">
        <v>1882</v>
      </c>
    </row>
    <row r="1139" spans="1:9" ht="17.100000000000001" customHeight="1">
      <c r="A1139" s="594">
        <v>60210103</v>
      </c>
      <c r="B1139" s="594" t="s">
        <v>1883</v>
      </c>
      <c r="C1139" s="596">
        <v>0</v>
      </c>
      <c r="D1139" s="595">
        <v>27266177.66</v>
      </c>
      <c r="E1139" s="595">
        <v>30377.360000000001</v>
      </c>
      <c r="F1139" s="595">
        <v>6451047.25</v>
      </c>
      <c r="G1139" s="596">
        <v>0</v>
      </c>
      <c r="H1139" s="595">
        <v>33686847.549999997</v>
      </c>
      <c r="I1139" s="594" t="s">
        <v>1884</v>
      </c>
    </row>
    <row r="1140" spans="1:9" ht="17.100000000000001" customHeight="1">
      <c r="A1140" s="594">
        <v>60210104</v>
      </c>
      <c r="B1140" s="594" t="s">
        <v>1885</v>
      </c>
      <c r="C1140" s="596">
        <v>0</v>
      </c>
      <c r="D1140" s="595">
        <v>2189796.5699999998</v>
      </c>
      <c r="E1140" s="596">
        <v>0</v>
      </c>
      <c r="F1140" s="595">
        <v>314880.12</v>
      </c>
      <c r="G1140" s="596">
        <v>0</v>
      </c>
      <c r="H1140" s="595">
        <v>2504676.69</v>
      </c>
      <c r="I1140" s="594" t="s">
        <v>1886</v>
      </c>
    </row>
    <row r="1141" spans="1:9" ht="17.100000000000001" customHeight="1">
      <c r="A1141" s="594">
        <v>60210105</v>
      </c>
      <c r="B1141" s="594" t="s">
        <v>1887</v>
      </c>
      <c r="C1141" s="596">
        <v>0</v>
      </c>
      <c r="D1141" s="595">
        <v>29588904.84</v>
      </c>
      <c r="E1141" s="596">
        <v>0</v>
      </c>
      <c r="F1141" s="595">
        <v>5479752.0999999996</v>
      </c>
      <c r="G1141" s="596">
        <v>0</v>
      </c>
      <c r="H1141" s="595">
        <v>35068656.939999998</v>
      </c>
      <c r="I1141" s="594" t="s">
        <v>1888</v>
      </c>
    </row>
    <row r="1142" spans="1:9" ht="17.100000000000001" customHeight="1">
      <c r="A1142" s="594">
        <v>60210106</v>
      </c>
      <c r="B1142" s="594" t="s">
        <v>1889</v>
      </c>
      <c r="C1142" s="596">
        <v>0</v>
      </c>
      <c r="D1142" s="595">
        <v>71832677.379999995</v>
      </c>
      <c r="E1142" s="596">
        <v>0</v>
      </c>
      <c r="F1142" s="595">
        <v>14475219.380000001</v>
      </c>
      <c r="G1142" s="596">
        <v>0</v>
      </c>
      <c r="H1142" s="595">
        <v>86307896.760000005</v>
      </c>
      <c r="I1142" s="594" t="s">
        <v>1890</v>
      </c>
    </row>
    <row r="1143" spans="1:9" ht="17.100000000000001" customHeight="1">
      <c r="A1143" s="594">
        <v>60210107</v>
      </c>
      <c r="B1143" s="594" t="s">
        <v>1891</v>
      </c>
      <c r="C1143" s="596">
        <v>0</v>
      </c>
      <c r="D1143" s="595">
        <v>5505375.2400000002</v>
      </c>
      <c r="E1143" s="596">
        <v>0</v>
      </c>
      <c r="F1143" s="595">
        <v>1030557.84</v>
      </c>
      <c r="G1143" s="596">
        <v>0</v>
      </c>
      <c r="H1143" s="595">
        <v>6535933.0800000001</v>
      </c>
      <c r="I1143" s="594" t="s">
        <v>1892</v>
      </c>
    </row>
    <row r="1144" spans="1:9" ht="17.100000000000001" customHeight="1">
      <c r="A1144" s="594">
        <v>60210108</v>
      </c>
      <c r="B1144" s="594" t="s">
        <v>1893</v>
      </c>
      <c r="C1144" s="596">
        <v>0</v>
      </c>
      <c r="D1144" s="595">
        <v>87488905.879999995</v>
      </c>
      <c r="E1144" s="596">
        <v>88.26</v>
      </c>
      <c r="F1144" s="595">
        <v>19075124.5</v>
      </c>
      <c r="G1144" s="596">
        <v>0</v>
      </c>
      <c r="H1144" s="595">
        <v>106563942.12</v>
      </c>
      <c r="I1144" s="594" t="s">
        <v>1894</v>
      </c>
    </row>
    <row r="1145" spans="1:9" ht="17.100000000000001" customHeight="1">
      <c r="A1145" s="594">
        <v>60210110</v>
      </c>
      <c r="B1145" s="594" t="s">
        <v>1895</v>
      </c>
      <c r="C1145" s="596">
        <v>0</v>
      </c>
      <c r="D1145" s="596">
        <v>57.9</v>
      </c>
      <c r="E1145" s="596">
        <v>0</v>
      </c>
      <c r="F1145" s="596">
        <v>8.93</v>
      </c>
      <c r="G1145" s="596">
        <v>0</v>
      </c>
      <c r="H1145" s="596">
        <v>66.83</v>
      </c>
      <c r="I1145" s="594" t="s">
        <v>1896</v>
      </c>
    </row>
    <row r="1146" spans="1:9" ht="17.100000000000001" customHeight="1">
      <c r="A1146" s="594">
        <v>60210112</v>
      </c>
      <c r="B1146" s="594" t="s">
        <v>2847</v>
      </c>
      <c r="C1146" s="596">
        <v>0</v>
      </c>
      <c r="D1146" s="595">
        <v>275599.39</v>
      </c>
      <c r="E1146" s="596">
        <v>0</v>
      </c>
      <c r="F1146" s="595">
        <v>78506.789999999994</v>
      </c>
      <c r="G1146" s="596">
        <v>0</v>
      </c>
      <c r="H1146" s="595">
        <v>354106.18</v>
      </c>
      <c r="I1146" s="594" t="s">
        <v>2848</v>
      </c>
    </row>
    <row r="1147" spans="1:9" ht="17.100000000000001" customHeight="1">
      <c r="A1147" s="594">
        <v>60210113</v>
      </c>
      <c r="B1147" s="594" t="s">
        <v>2849</v>
      </c>
      <c r="C1147" s="596">
        <v>0</v>
      </c>
      <c r="D1147" s="595">
        <v>9944.0400000000009</v>
      </c>
      <c r="E1147" s="596">
        <v>0</v>
      </c>
      <c r="F1147" s="595">
        <v>1969.83</v>
      </c>
      <c r="G1147" s="596">
        <v>0</v>
      </c>
      <c r="H1147" s="595">
        <v>11913.87</v>
      </c>
      <c r="I1147" s="594" t="s">
        <v>2850</v>
      </c>
    </row>
    <row r="1148" spans="1:9" ht="17.100000000000001" customHeight="1">
      <c r="A1148" s="594">
        <v>60210114</v>
      </c>
      <c r="B1148" s="594" t="s">
        <v>2851</v>
      </c>
      <c r="C1148" s="596">
        <v>0</v>
      </c>
      <c r="D1148" s="596">
        <v>120.14</v>
      </c>
      <c r="E1148" s="596">
        <v>0</v>
      </c>
      <c r="F1148" s="596">
        <v>0</v>
      </c>
      <c r="G1148" s="596">
        <v>0</v>
      </c>
      <c r="H1148" s="596">
        <v>120.14</v>
      </c>
      <c r="I1148" s="594" t="s">
        <v>2852</v>
      </c>
    </row>
    <row r="1149" spans="1:9" ht="17.100000000000001" customHeight="1">
      <c r="A1149" s="594">
        <v>60210199</v>
      </c>
      <c r="B1149" s="594" t="s">
        <v>1897</v>
      </c>
      <c r="C1149" s="596">
        <v>0</v>
      </c>
      <c r="D1149" s="595">
        <v>2166745.8199999998</v>
      </c>
      <c r="E1149" s="596">
        <v>0</v>
      </c>
      <c r="F1149" s="595">
        <v>576177.6</v>
      </c>
      <c r="G1149" s="596">
        <v>0</v>
      </c>
      <c r="H1149" s="595">
        <v>2742923.42</v>
      </c>
      <c r="I1149" s="594" t="s">
        <v>1898</v>
      </c>
    </row>
    <row r="1150" spans="1:9" ht="17.100000000000001" customHeight="1">
      <c r="A1150" s="594">
        <v>602102</v>
      </c>
      <c r="B1150" s="594" t="s">
        <v>1899</v>
      </c>
      <c r="C1150" s="596">
        <v>0</v>
      </c>
      <c r="D1150" s="595">
        <v>12086504.800000001</v>
      </c>
      <c r="E1150" s="596">
        <v>0</v>
      </c>
      <c r="F1150" s="595">
        <v>2714575.36</v>
      </c>
      <c r="G1150" s="596">
        <v>0</v>
      </c>
      <c r="H1150" s="595">
        <v>14801080.16</v>
      </c>
      <c r="I1150" s="594" t="s">
        <v>1900</v>
      </c>
    </row>
    <row r="1151" spans="1:9" ht="17.100000000000001" customHeight="1">
      <c r="A1151" s="594">
        <v>60210201</v>
      </c>
      <c r="B1151" s="594" t="s">
        <v>1901</v>
      </c>
      <c r="C1151" s="596">
        <v>0</v>
      </c>
      <c r="D1151" s="595">
        <v>12086504.800000001</v>
      </c>
      <c r="E1151" s="596">
        <v>0</v>
      </c>
      <c r="F1151" s="595">
        <v>2714575.36</v>
      </c>
      <c r="G1151" s="596">
        <v>0</v>
      </c>
      <c r="H1151" s="595">
        <v>14801080.16</v>
      </c>
      <c r="I1151" s="594" t="s">
        <v>1902</v>
      </c>
    </row>
    <row r="1152" spans="1:9" ht="17.100000000000001" customHeight="1">
      <c r="A1152" s="594">
        <v>602103</v>
      </c>
      <c r="B1152" s="594" t="s">
        <v>1903</v>
      </c>
      <c r="C1152" s="596">
        <v>0</v>
      </c>
      <c r="D1152" s="595">
        <v>44397024.240000002</v>
      </c>
      <c r="E1152" s="596">
        <v>0</v>
      </c>
      <c r="F1152" s="595">
        <v>15656116.449999999</v>
      </c>
      <c r="G1152" s="596">
        <v>0</v>
      </c>
      <c r="H1152" s="595">
        <v>60053140.689999998</v>
      </c>
      <c r="I1152" s="594" t="s">
        <v>1904</v>
      </c>
    </row>
    <row r="1153" spans="1:9" ht="17.100000000000001" customHeight="1">
      <c r="A1153" s="320"/>
      <c r="B1153" s="320"/>
      <c r="C1153" s="320"/>
      <c r="D1153" s="557" t="s">
        <v>4198</v>
      </c>
      <c r="E1153" s="320" t="s">
        <v>3772</v>
      </c>
      <c r="F1153" s="320"/>
      <c r="G1153" s="320"/>
      <c r="H1153" s="320"/>
      <c r="I1153" s="320"/>
    </row>
    <row r="1154" spans="1:9" ht="17.100000000000001" customHeight="1">
      <c r="A1154" s="671"/>
      <c r="B1154" s="671"/>
      <c r="C1154" s="671"/>
      <c r="D1154" s="671"/>
      <c r="E1154" s="671"/>
      <c r="F1154" s="671"/>
      <c r="G1154" s="671"/>
      <c r="H1154" s="671"/>
      <c r="I1154" s="671"/>
    </row>
    <row r="1155" spans="1:9" ht="17.100000000000001" customHeight="1">
      <c r="A1155" s="320"/>
      <c r="B1155" s="320"/>
      <c r="C1155" s="589" t="s">
        <v>3707</v>
      </c>
      <c r="D1155" s="320"/>
      <c r="E1155" s="320"/>
      <c r="F1155" s="671"/>
      <c r="G1155" s="671"/>
      <c r="H1155" s="671"/>
      <c r="I1155" s="671"/>
    </row>
    <row r="1156" spans="1:9" ht="17.100000000000001" customHeight="1">
      <c r="A1156" s="590" t="s">
        <v>3708</v>
      </c>
      <c r="B1156" s="590"/>
      <c r="C1156" s="597">
        <v>42887</v>
      </c>
      <c r="D1156" s="590"/>
      <c r="E1156" s="557" t="s">
        <v>3709</v>
      </c>
      <c r="F1156" s="671"/>
      <c r="G1156" s="671"/>
      <c r="H1156" s="671"/>
      <c r="I1156" s="671"/>
    </row>
    <row r="1157" spans="1:9" ht="17.100000000000001" customHeight="1">
      <c r="A1157" s="593" t="s">
        <v>596</v>
      </c>
      <c r="B1157" s="593" t="s">
        <v>597</v>
      </c>
      <c r="C1157" s="593" t="s">
        <v>3710</v>
      </c>
      <c r="D1157" s="593" t="s">
        <v>3711</v>
      </c>
      <c r="E1157" s="593" t="s">
        <v>3712</v>
      </c>
      <c r="F1157" s="593" t="s">
        <v>3713</v>
      </c>
      <c r="G1157" s="593" t="s">
        <v>3714</v>
      </c>
      <c r="H1157" s="593" t="s">
        <v>3715</v>
      </c>
      <c r="I1157" s="593" t="s">
        <v>596</v>
      </c>
    </row>
    <row r="1158" spans="1:9" ht="17.100000000000001" customHeight="1">
      <c r="A1158" s="594">
        <v>60210301</v>
      </c>
      <c r="B1158" s="594" t="s">
        <v>1903</v>
      </c>
      <c r="C1158" s="596">
        <v>0</v>
      </c>
      <c r="D1158" s="595">
        <v>44397024.240000002</v>
      </c>
      <c r="E1158" s="596">
        <v>0</v>
      </c>
      <c r="F1158" s="595">
        <v>15656116.449999999</v>
      </c>
      <c r="G1158" s="596">
        <v>0</v>
      </c>
      <c r="H1158" s="595">
        <v>60053140.689999998</v>
      </c>
      <c r="I1158" s="594" t="s">
        <v>1905</v>
      </c>
    </row>
    <row r="1159" spans="1:9" ht="17.100000000000001" customHeight="1">
      <c r="A1159" s="594">
        <v>602104</v>
      </c>
      <c r="B1159" s="594" t="s">
        <v>1906</v>
      </c>
      <c r="C1159" s="596">
        <v>0</v>
      </c>
      <c r="D1159" s="595">
        <v>100561423.48999999</v>
      </c>
      <c r="E1159" s="596">
        <v>0</v>
      </c>
      <c r="F1159" s="595">
        <v>28881649.460000001</v>
      </c>
      <c r="G1159" s="596">
        <v>0</v>
      </c>
      <c r="H1159" s="595">
        <v>129443072.95</v>
      </c>
      <c r="I1159" s="594" t="s">
        <v>1907</v>
      </c>
    </row>
    <row r="1160" spans="1:9" ht="28.5" customHeight="1">
      <c r="A1160" s="594">
        <v>60210401</v>
      </c>
      <c r="B1160" s="594" t="s">
        <v>1908</v>
      </c>
      <c r="C1160" s="596">
        <v>0</v>
      </c>
      <c r="D1160" s="595">
        <v>79654617.219999999</v>
      </c>
      <c r="E1160" s="596">
        <v>0</v>
      </c>
      <c r="F1160" s="595">
        <v>12915280.720000001</v>
      </c>
      <c r="G1160" s="596">
        <v>0</v>
      </c>
      <c r="H1160" s="595">
        <v>92569897.939999998</v>
      </c>
      <c r="I1160" s="594" t="s">
        <v>1909</v>
      </c>
    </row>
    <row r="1161" spans="1:9">
      <c r="A1161" s="594">
        <v>60210402</v>
      </c>
      <c r="B1161" s="594" t="s">
        <v>1910</v>
      </c>
      <c r="C1161" s="596">
        <v>0</v>
      </c>
      <c r="D1161" s="595">
        <v>10816.04</v>
      </c>
      <c r="E1161" s="596">
        <v>0</v>
      </c>
      <c r="F1161" s="595">
        <v>2001.91</v>
      </c>
      <c r="G1161" s="596">
        <v>0</v>
      </c>
      <c r="H1161" s="595">
        <v>12817.95</v>
      </c>
      <c r="I1161" s="594" t="s">
        <v>1911</v>
      </c>
    </row>
    <row r="1162" spans="1:9">
      <c r="A1162" s="594">
        <v>60210403</v>
      </c>
      <c r="B1162" s="594" t="s">
        <v>1912</v>
      </c>
      <c r="C1162" s="596">
        <v>0</v>
      </c>
      <c r="D1162" s="595">
        <v>1155709.94</v>
      </c>
      <c r="E1162" s="596">
        <v>0</v>
      </c>
      <c r="F1162" s="595">
        <v>214069.79</v>
      </c>
      <c r="G1162" s="596">
        <v>0</v>
      </c>
      <c r="H1162" s="595">
        <v>1369779.73</v>
      </c>
      <c r="I1162" s="594" t="s">
        <v>1913</v>
      </c>
    </row>
    <row r="1163" spans="1:9">
      <c r="A1163" s="594">
        <v>60210404</v>
      </c>
      <c r="B1163" s="594" t="s">
        <v>1914</v>
      </c>
      <c r="C1163" s="596">
        <v>0</v>
      </c>
      <c r="D1163" s="595">
        <v>83224.479999999996</v>
      </c>
      <c r="E1163" s="596">
        <v>0</v>
      </c>
      <c r="F1163" s="595">
        <v>786144.87</v>
      </c>
      <c r="G1163" s="596">
        <v>0</v>
      </c>
      <c r="H1163" s="595">
        <v>869369.35</v>
      </c>
      <c r="I1163" s="594" t="s">
        <v>1915</v>
      </c>
    </row>
    <row r="1164" spans="1:9" ht="28.5" customHeight="1">
      <c r="A1164" s="594">
        <v>60210405</v>
      </c>
      <c r="B1164" s="594" t="s">
        <v>4094</v>
      </c>
      <c r="C1164" s="596">
        <v>0</v>
      </c>
      <c r="D1164" s="595">
        <v>1692693.83</v>
      </c>
      <c r="E1164" s="596">
        <v>0</v>
      </c>
      <c r="F1164" s="595">
        <v>1324897.8400000001</v>
      </c>
      <c r="G1164" s="596">
        <v>0</v>
      </c>
      <c r="H1164" s="595">
        <v>3017591.67</v>
      </c>
      <c r="I1164" s="594" t="s">
        <v>4095</v>
      </c>
    </row>
    <row r="1165" spans="1:9" ht="17.100000000000001" customHeight="1">
      <c r="A1165" s="594">
        <v>60210406</v>
      </c>
      <c r="B1165" s="594" t="s">
        <v>1916</v>
      </c>
      <c r="C1165" s="596">
        <v>0</v>
      </c>
      <c r="D1165" s="595">
        <v>1219098.93</v>
      </c>
      <c r="E1165" s="596">
        <v>0</v>
      </c>
      <c r="F1165" s="595">
        <v>187180.06</v>
      </c>
      <c r="G1165" s="596">
        <v>0</v>
      </c>
      <c r="H1165" s="595">
        <v>1406278.99</v>
      </c>
      <c r="I1165" s="594" t="s">
        <v>1917</v>
      </c>
    </row>
    <row r="1166" spans="1:9" ht="17.100000000000001" customHeight="1">
      <c r="A1166" s="594">
        <v>60210407</v>
      </c>
      <c r="B1166" s="594" t="s">
        <v>4096</v>
      </c>
      <c r="C1166" s="596">
        <v>0</v>
      </c>
      <c r="D1166" s="595">
        <v>3929183.97</v>
      </c>
      <c r="E1166" s="596">
        <v>0</v>
      </c>
      <c r="F1166" s="596">
        <v>0</v>
      </c>
      <c r="G1166" s="596">
        <v>0</v>
      </c>
      <c r="H1166" s="595">
        <v>3929183.97</v>
      </c>
      <c r="I1166" s="594" t="s">
        <v>4097</v>
      </c>
    </row>
    <row r="1167" spans="1:9" ht="17.100000000000001" customHeight="1">
      <c r="A1167" s="594">
        <v>60210408</v>
      </c>
      <c r="B1167" s="594" t="s">
        <v>1918</v>
      </c>
      <c r="C1167" s="596">
        <v>0</v>
      </c>
      <c r="D1167" s="595">
        <v>7413053.0700000003</v>
      </c>
      <c r="E1167" s="596">
        <v>0</v>
      </c>
      <c r="F1167" s="595">
        <v>10523367.1</v>
      </c>
      <c r="G1167" s="596">
        <v>0</v>
      </c>
      <c r="H1167" s="595">
        <v>17936420.170000002</v>
      </c>
      <c r="I1167" s="594" t="s">
        <v>1919</v>
      </c>
    </row>
    <row r="1168" spans="1:9" ht="17.100000000000001" customHeight="1">
      <c r="A1168" s="594">
        <v>60210409</v>
      </c>
      <c r="B1168" s="594" t="s">
        <v>4020</v>
      </c>
      <c r="C1168" s="596">
        <v>0</v>
      </c>
      <c r="D1168" s="595">
        <v>3881976.98</v>
      </c>
      <c r="E1168" s="596">
        <v>0</v>
      </c>
      <c r="F1168" s="595">
        <v>323678.31</v>
      </c>
      <c r="G1168" s="596">
        <v>0</v>
      </c>
      <c r="H1168" s="595">
        <v>4205655.29</v>
      </c>
      <c r="I1168" s="594" t="s">
        <v>4021</v>
      </c>
    </row>
    <row r="1169" spans="1:9" ht="17.100000000000001" customHeight="1">
      <c r="A1169" s="594">
        <v>60210499</v>
      </c>
      <c r="B1169" s="594" t="s">
        <v>1920</v>
      </c>
      <c r="C1169" s="596">
        <v>0</v>
      </c>
      <c r="D1169" s="595">
        <v>1521049.03</v>
      </c>
      <c r="E1169" s="596">
        <v>0</v>
      </c>
      <c r="F1169" s="595">
        <v>2605028.86</v>
      </c>
      <c r="G1169" s="596">
        <v>0</v>
      </c>
      <c r="H1169" s="595">
        <v>4126077.89</v>
      </c>
      <c r="I1169" s="594" t="s">
        <v>1921</v>
      </c>
    </row>
    <row r="1170" spans="1:9" ht="17.100000000000001" customHeight="1">
      <c r="A1170" s="594">
        <v>602105</v>
      </c>
      <c r="B1170" s="594" t="s">
        <v>1922</v>
      </c>
      <c r="C1170" s="596">
        <v>0</v>
      </c>
      <c r="D1170" s="595">
        <v>1363734.53</v>
      </c>
      <c r="E1170" s="596">
        <v>0</v>
      </c>
      <c r="F1170" s="595">
        <v>165980.01</v>
      </c>
      <c r="G1170" s="596">
        <v>0</v>
      </c>
      <c r="H1170" s="595">
        <v>1529714.54</v>
      </c>
      <c r="I1170" s="594" t="s">
        <v>1923</v>
      </c>
    </row>
    <row r="1171" spans="1:9" ht="17.100000000000001" customHeight="1">
      <c r="A1171" s="594">
        <v>60210501</v>
      </c>
      <c r="B1171" s="594" t="s">
        <v>1924</v>
      </c>
      <c r="C1171" s="596">
        <v>0</v>
      </c>
      <c r="D1171" s="595">
        <v>1363734.53</v>
      </c>
      <c r="E1171" s="596">
        <v>0</v>
      </c>
      <c r="F1171" s="595">
        <v>165980.01</v>
      </c>
      <c r="G1171" s="596">
        <v>0</v>
      </c>
      <c r="H1171" s="595">
        <v>1529714.54</v>
      </c>
      <c r="I1171" s="594" t="s">
        <v>1925</v>
      </c>
    </row>
    <row r="1172" spans="1:9" ht="17.100000000000001" customHeight="1">
      <c r="A1172" s="594">
        <v>602106</v>
      </c>
      <c r="B1172" s="594" t="s">
        <v>492</v>
      </c>
      <c r="C1172" s="596">
        <v>0</v>
      </c>
      <c r="D1172" s="595">
        <v>2936850.1</v>
      </c>
      <c r="E1172" s="596">
        <v>0</v>
      </c>
      <c r="F1172" s="595">
        <v>2012569.3</v>
      </c>
      <c r="G1172" s="596">
        <v>0</v>
      </c>
      <c r="H1172" s="595">
        <v>4949419.4000000004</v>
      </c>
      <c r="I1172" s="594" t="s">
        <v>1926</v>
      </c>
    </row>
    <row r="1173" spans="1:9" ht="17.100000000000001" customHeight="1">
      <c r="A1173" s="594">
        <v>60210601</v>
      </c>
      <c r="B1173" s="594" t="s">
        <v>1927</v>
      </c>
      <c r="C1173" s="596">
        <v>0</v>
      </c>
      <c r="D1173" s="595">
        <v>1980525.86</v>
      </c>
      <c r="E1173" s="596">
        <v>0</v>
      </c>
      <c r="F1173" s="595">
        <v>1781144.45</v>
      </c>
      <c r="G1173" s="596">
        <v>0</v>
      </c>
      <c r="H1173" s="595">
        <v>3761670.31</v>
      </c>
      <c r="I1173" s="594" t="s">
        <v>1928</v>
      </c>
    </row>
    <row r="1174" spans="1:9" ht="17.100000000000001" customHeight="1">
      <c r="A1174" s="594">
        <v>60210602</v>
      </c>
      <c r="B1174" s="594" t="s">
        <v>1929</v>
      </c>
      <c r="C1174" s="596">
        <v>0</v>
      </c>
      <c r="D1174" s="595">
        <v>298679</v>
      </c>
      <c r="E1174" s="596">
        <v>0</v>
      </c>
      <c r="F1174" s="595">
        <v>89693.61</v>
      </c>
      <c r="G1174" s="596">
        <v>0</v>
      </c>
      <c r="H1174" s="595">
        <v>388372.61</v>
      </c>
      <c r="I1174" s="594" t="s">
        <v>1930</v>
      </c>
    </row>
    <row r="1175" spans="1:9" ht="17.100000000000001" customHeight="1">
      <c r="A1175" s="594">
        <v>60210603</v>
      </c>
      <c r="B1175" s="594" t="s">
        <v>1931</v>
      </c>
      <c r="C1175" s="596">
        <v>0</v>
      </c>
      <c r="D1175" s="595">
        <v>648401.12</v>
      </c>
      <c r="E1175" s="596">
        <v>0</v>
      </c>
      <c r="F1175" s="595">
        <v>139837.07</v>
      </c>
      <c r="G1175" s="596">
        <v>0</v>
      </c>
      <c r="H1175" s="595">
        <v>788238.19</v>
      </c>
      <c r="I1175" s="594" t="s">
        <v>1932</v>
      </c>
    </row>
    <row r="1176" spans="1:9" ht="17.100000000000001" customHeight="1">
      <c r="A1176" s="594">
        <v>60210605</v>
      </c>
      <c r="B1176" s="594" t="s">
        <v>1933</v>
      </c>
      <c r="C1176" s="596">
        <v>0</v>
      </c>
      <c r="D1176" s="595">
        <v>9244.1200000000008</v>
      </c>
      <c r="E1176" s="596">
        <v>0</v>
      </c>
      <c r="F1176" s="595">
        <v>1894.17</v>
      </c>
      <c r="G1176" s="596">
        <v>0</v>
      </c>
      <c r="H1176" s="595">
        <v>11138.29</v>
      </c>
      <c r="I1176" s="594" t="s">
        <v>1934</v>
      </c>
    </row>
    <row r="1177" spans="1:9" ht="17.100000000000001" customHeight="1">
      <c r="A1177" s="594">
        <v>602107</v>
      </c>
      <c r="B1177" s="594" t="s">
        <v>3473</v>
      </c>
      <c r="C1177" s="596">
        <v>0</v>
      </c>
      <c r="D1177" s="595">
        <v>523448474.68000001</v>
      </c>
      <c r="E1177" s="596">
        <v>0</v>
      </c>
      <c r="F1177" s="595">
        <v>-193453153.71000001</v>
      </c>
      <c r="G1177" s="596">
        <v>0</v>
      </c>
      <c r="H1177" s="595">
        <v>329995320.97000003</v>
      </c>
      <c r="I1177" s="594" t="s">
        <v>3474</v>
      </c>
    </row>
    <row r="1178" spans="1:9" ht="17.100000000000001" customHeight="1">
      <c r="A1178" s="594">
        <v>60210702</v>
      </c>
      <c r="B1178" s="594" t="s">
        <v>3475</v>
      </c>
      <c r="C1178" s="596">
        <v>0</v>
      </c>
      <c r="D1178" s="595">
        <v>5790083.3600000003</v>
      </c>
      <c r="E1178" s="596">
        <v>0</v>
      </c>
      <c r="F1178" s="595">
        <v>-8101550.1900000004</v>
      </c>
      <c r="G1178" s="596">
        <v>0</v>
      </c>
      <c r="H1178" s="595">
        <v>-2311466.83</v>
      </c>
      <c r="I1178" s="594" t="s">
        <v>3476</v>
      </c>
    </row>
    <row r="1179" spans="1:9" ht="17.100000000000001" customHeight="1">
      <c r="A1179" s="594">
        <v>60210703</v>
      </c>
      <c r="B1179" s="594" t="s">
        <v>3477</v>
      </c>
      <c r="C1179" s="596">
        <v>0</v>
      </c>
      <c r="D1179" s="595">
        <v>11898500.25</v>
      </c>
      <c r="E1179" s="596">
        <v>0</v>
      </c>
      <c r="F1179" s="595">
        <v>-1837768.82</v>
      </c>
      <c r="G1179" s="596">
        <v>0</v>
      </c>
      <c r="H1179" s="595">
        <v>10060731.43</v>
      </c>
      <c r="I1179" s="594" t="s">
        <v>3478</v>
      </c>
    </row>
    <row r="1180" spans="1:9" ht="17.100000000000001" customHeight="1">
      <c r="A1180" s="594">
        <v>60210704</v>
      </c>
      <c r="B1180" s="594" t="s">
        <v>3479</v>
      </c>
      <c r="C1180" s="596">
        <v>0</v>
      </c>
      <c r="D1180" s="595">
        <v>280234378.85000002</v>
      </c>
      <c r="E1180" s="596">
        <v>0</v>
      </c>
      <c r="F1180" s="595">
        <v>46800590.020000003</v>
      </c>
      <c r="G1180" s="596">
        <v>0</v>
      </c>
      <c r="H1180" s="595">
        <v>327034968.87</v>
      </c>
      <c r="I1180" s="594" t="s">
        <v>3480</v>
      </c>
    </row>
    <row r="1181" spans="1:9" ht="17.100000000000001" customHeight="1">
      <c r="A1181" s="594">
        <v>60210705</v>
      </c>
      <c r="B1181" s="594" t="s">
        <v>3481</v>
      </c>
      <c r="C1181" s="596">
        <v>0</v>
      </c>
      <c r="D1181" s="595">
        <v>225525512.22</v>
      </c>
      <c r="E1181" s="596">
        <v>0</v>
      </c>
      <c r="F1181" s="595">
        <v>-230314424.72</v>
      </c>
      <c r="G1181" s="596">
        <v>0</v>
      </c>
      <c r="H1181" s="595">
        <v>-4788912.5</v>
      </c>
      <c r="I1181" s="594" t="s">
        <v>3482</v>
      </c>
    </row>
    <row r="1182" spans="1:9" ht="17.100000000000001" customHeight="1">
      <c r="A1182" s="594">
        <v>602108</v>
      </c>
      <c r="B1182" s="594" t="s">
        <v>1935</v>
      </c>
      <c r="C1182" s="596">
        <v>0</v>
      </c>
      <c r="D1182" s="595">
        <v>235025295.94999999</v>
      </c>
      <c r="E1182" s="596">
        <v>0</v>
      </c>
      <c r="F1182" s="595">
        <v>163324784.63</v>
      </c>
      <c r="G1182" s="596">
        <v>0</v>
      </c>
      <c r="H1182" s="595">
        <v>398350080.57999998</v>
      </c>
      <c r="I1182" s="594" t="s">
        <v>1936</v>
      </c>
    </row>
    <row r="1183" spans="1:9" ht="17.100000000000001" customHeight="1">
      <c r="A1183" s="594">
        <v>60210801</v>
      </c>
      <c r="B1183" s="594" t="s">
        <v>1937</v>
      </c>
      <c r="C1183" s="596">
        <v>0</v>
      </c>
      <c r="D1183" s="595">
        <v>18547169.579999998</v>
      </c>
      <c r="E1183" s="596">
        <v>0</v>
      </c>
      <c r="F1183" s="596">
        <v>0</v>
      </c>
      <c r="G1183" s="596">
        <v>0</v>
      </c>
      <c r="H1183" s="595">
        <v>18547169.579999998</v>
      </c>
      <c r="I1183" s="594" t="s">
        <v>1938</v>
      </c>
    </row>
    <row r="1184" spans="1:9" ht="17.100000000000001" customHeight="1">
      <c r="A1184" s="594">
        <v>60210802</v>
      </c>
      <c r="B1184" s="594" t="s">
        <v>4261</v>
      </c>
      <c r="C1184" s="596">
        <v>0</v>
      </c>
      <c r="D1184" s="595">
        <v>2830188.68</v>
      </c>
      <c r="E1184" s="596">
        <v>0</v>
      </c>
      <c r="F1184" s="595">
        <v>1056603.78</v>
      </c>
      <c r="G1184" s="596">
        <v>0</v>
      </c>
      <c r="H1184" s="595">
        <v>3886792.46</v>
      </c>
      <c r="I1184" s="594" t="s">
        <v>4262</v>
      </c>
    </row>
    <row r="1185" spans="1:9" ht="17.100000000000001" customHeight="1">
      <c r="A1185" s="594">
        <v>60210805</v>
      </c>
      <c r="B1185" s="594" t="s">
        <v>1939</v>
      </c>
      <c r="C1185" s="596">
        <v>0</v>
      </c>
      <c r="D1185" s="595">
        <v>213647937.69</v>
      </c>
      <c r="E1185" s="596">
        <v>0</v>
      </c>
      <c r="F1185" s="595">
        <v>162268180.84999999</v>
      </c>
      <c r="G1185" s="596">
        <v>0</v>
      </c>
      <c r="H1185" s="595">
        <v>375916118.54000002</v>
      </c>
      <c r="I1185" s="594" t="s">
        <v>1940</v>
      </c>
    </row>
    <row r="1186" spans="1:9" ht="17.100000000000001" customHeight="1">
      <c r="A1186" s="594">
        <v>602109</v>
      </c>
      <c r="B1186" s="594" t="s">
        <v>1941</v>
      </c>
      <c r="C1186" s="596">
        <v>0</v>
      </c>
      <c r="D1186" s="595">
        <v>36044055.68</v>
      </c>
      <c r="E1186" s="596">
        <v>0</v>
      </c>
      <c r="F1186" s="595">
        <v>10190116.199999999</v>
      </c>
      <c r="G1186" s="596">
        <v>0</v>
      </c>
      <c r="H1186" s="595">
        <v>46234171.880000003</v>
      </c>
      <c r="I1186" s="594" t="s">
        <v>1942</v>
      </c>
    </row>
    <row r="1187" spans="1:9" ht="17.100000000000001" customHeight="1">
      <c r="A1187" s="594">
        <v>60210901</v>
      </c>
      <c r="B1187" s="594" t="s">
        <v>1943</v>
      </c>
      <c r="C1187" s="596">
        <v>0</v>
      </c>
      <c r="D1187" s="595">
        <v>3882177.09</v>
      </c>
      <c r="E1187" s="596">
        <v>0</v>
      </c>
      <c r="F1187" s="595">
        <v>1010576.5</v>
      </c>
      <c r="G1187" s="596">
        <v>0</v>
      </c>
      <c r="H1187" s="595">
        <v>4892753.59</v>
      </c>
      <c r="I1187" s="594" t="s">
        <v>1944</v>
      </c>
    </row>
    <row r="1188" spans="1:9" ht="17.100000000000001" customHeight="1">
      <c r="A1188" s="594">
        <v>60210903</v>
      </c>
      <c r="B1188" s="594" t="s">
        <v>1945</v>
      </c>
      <c r="C1188" s="596">
        <v>0</v>
      </c>
      <c r="D1188" s="595">
        <v>32124342.109999999</v>
      </c>
      <c r="E1188" s="596">
        <v>0</v>
      </c>
      <c r="F1188" s="595">
        <v>6507719.1100000003</v>
      </c>
      <c r="G1188" s="596">
        <v>0</v>
      </c>
      <c r="H1188" s="595">
        <v>38632061.219999999</v>
      </c>
      <c r="I1188" s="594" t="s">
        <v>1946</v>
      </c>
    </row>
    <row r="1189" spans="1:9" ht="17.100000000000001" customHeight="1">
      <c r="A1189" s="594">
        <v>60210905</v>
      </c>
      <c r="B1189" s="594" t="s">
        <v>1947</v>
      </c>
      <c r="C1189" s="596">
        <v>0</v>
      </c>
      <c r="D1189" s="595">
        <v>37536.480000000003</v>
      </c>
      <c r="E1189" s="596">
        <v>0</v>
      </c>
      <c r="F1189" s="595">
        <v>2518892.69</v>
      </c>
      <c r="G1189" s="596">
        <v>0</v>
      </c>
      <c r="H1189" s="595">
        <v>2556429.17</v>
      </c>
      <c r="I1189" s="594" t="s">
        <v>1948</v>
      </c>
    </row>
    <row r="1190" spans="1:9" ht="17.100000000000001" customHeight="1">
      <c r="A1190" s="594">
        <v>60210906</v>
      </c>
      <c r="B1190" s="594" t="s">
        <v>4263</v>
      </c>
      <c r="C1190" s="596">
        <v>0</v>
      </c>
      <c r="D1190" s="596">
        <v>0</v>
      </c>
      <c r="E1190" s="596">
        <v>0</v>
      </c>
      <c r="F1190" s="595">
        <v>152927.9</v>
      </c>
      <c r="G1190" s="596">
        <v>0</v>
      </c>
      <c r="H1190" s="595">
        <v>152927.9</v>
      </c>
      <c r="I1190" s="594" t="s">
        <v>4264</v>
      </c>
    </row>
    <row r="1191" spans="1:9" ht="17.100000000000001" customHeight="1">
      <c r="A1191" s="594">
        <v>602199</v>
      </c>
      <c r="B1191" s="594" t="s">
        <v>1949</v>
      </c>
      <c r="C1191" s="596">
        <v>0</v>
      </c>
      <c r="D1191" s="595">
        <v>65859154.450000003</v>
      </c>
      <c r="E1191" s="596">
        <v>0</v>
      </c>
      <c r="F1191" s="595">
        <v>41815411.049999997</v>
      </c>
      <c r="G1191" s="596">
        <v>0</v>
      </c>
      <c r="H1191" s="595">
        <v>107674565.5</v>
      </c>
      <c r="I1191" s="594" t="s">
        <v>1950</v>
      </c>
    </row>
    <row r="1192" spans="1:9" ht="17.100000000000001" customHeight="1">
      <c r="A1192" s="320"/>
      <c r="B1192" s="320"/>
      <c r="C1192" s="320"/>
      <c r="D1192" s="557" t="s">
        <v>4198</v>
      </c>
      <c r="E1192" s="320" t="s">
        <v>3773</v>
      </c>
      <c r="F1192" s="320"/>
      <c r="G1192" s="320"/>
      <c r="H1192" s="320"/>
      <c r="I1192" s="320"/>
    </row>
    <row r="1193" spans="1:9" ht="17.100000000000001" customHeight="1">
      <c r="A1193" s="671"/>
      <c r="B1193" s="671"/>
      <c r="C1193" s="671"/>
      <c r="D1193" s="671"/>
      <c r="E1193" s="671"/>
      <c r="F1193" s="671"/>
      <c r="G1193" s="671"/>
      <c r="H1193" s="671"/>
      <c r="I1193" s="671"/>
    </row>
    <row r="1194" spans="1:9" ht="17.100000000000001" customHeight="1">
      <c r="A1194" s="320"/>
      <c r="B1194" s="320"/>
      <c r="C1194" s="589" t="s">
        <v>3707</v>
      </c>
      <c r="D1194" s="320"/>
      <c r="E1194" s="320"/>
      <c r="F1194" s="671"/>
      <c r="G1194" s="671"/>
      <c r="H1194" s="671"/>
      <c r="I1194" s="671"/>
    </row>
    <row r="1195" spans="1:9" ht="17.100000000000001" customHeight="1">
      <c r="A1195" s="590" t="s">
        <v>3708</v>
      </c>
      <c r="B1195" s="590"/>
      <c r="C1195" s="597">
        <v>42887</v>
      </c>
      <c r="D1195" s="590"/>
      <c r="E1195" s="557" t="s">
        <v>3709</v>
      </c>
      <c r="F1195" s="671"/>
      <c r="G1195" s="671"/>
      <c r="H1195" s="671"/>
      <c r="I1195" s="671"/>
    </row>
    <row r="1196" spans="1:9" ht="17.100000000000001" customHeight="1">
      <c r="A1196" s="593" t="s">
        <v>596</v>
      </c>
      <c r="B1196" s="593" t="s">
        <v>597</v>
      </c>
      <c r="C1196" s="593" t="s">
        <v>3710</v>
      </c>
      <c r="D1196" s="593" t="s">
        <v>3711</v>
      </c>
      <c r="E1196" s="593" t="s">
        <v>3712</v>
      </c>
      <c r="F1196" s="593" t="s">
        <v>3713</v>
      </c>
      <c r="G1196" s="593" t="s">
        <v>3714</v>
      </c>
      <c r="H1196" s="593" t="s">
        <v>3715</v>
      </c>
      <c r="I1196" s="593" t="s">
        <v>596</v>
      </c>
    </row>
    <row r="1197" spans="1:9" ht="17.100000000000001" customHeight="1">
      <c r="A1197" s="594">
        <v>60219901</v>
      </c>
      <c r="B1197" s="594" t="s">
        <v>1951</v>
      </c>
      <c r="C1197" s="596">
        <v>0</v>
      </c>
      <c r="D1197" s="595">
        <v>1803090.62</v>
      </c>
      <c r="E1197" s="596">
        <v>0</v>
      </c>
      <c r="F1197" s="595">
        <v>561291.66</v>
      </c>
      <c r="G1197" s="596">
        <v>0</v>
      </c>
      <c r="H1197" s="595">
        <v>2364382.2799999998</v>
      </c>
      <c r="I1197" s="594" t="s">
        <v>1952</v>
      </c>
    </row>
    <row r="1198" spans="1:9" ht="17.100000000000001" customHeight="1">
      <c r="A1198" s="594">
        <v>60219903</v>
      </c>
      <c r="B1198" s="594" t="s">
        <v>2542</v>
      </c>
      <c r="C1198" s="596">
        <v>0</v>
      </c>
      <c r="D1198" s="595">
        <v>33910163.530000001</v>
      </c>
      <c r="E1198" s="596">
        <v>0</v>
      </c>
      <c r="F1198" s="595">
        <v>31690408.510000002</v>
      </c>
      <c r="G1198" s="596">
        <v>0</v>
      </c>
      <c r="H1198" s="595">
        <v>65600572.039999999</v>
      </c>
      <c r="I1198" s="594" t="s">
        <v>2547</v>
      </c>
    </row>
    <row r="1199" spans="1:9" ht="17.100000000000001" customHeight="1">
      <c r="A1199" s="594">
        <v>60219904</v>
      </c>
      <c r="B1199" s="594" t="s">
        <v>1953</v>
      </c>
      <c r="C1199" s="596">
        <v>0</v>
      </c>
      <c r="D1199" s="595">
        <v>1089709.6299999999</v>
      </c>
      <c r="E1199" s="596">
        <v>0</v>
      </c>
      <c r="F1199" s="595">
        <v>188190.17</v>
      </c>
      <c r="G1199" s="596">
        <v>0</v>
      </c>
      <c r="H1199" s="595">
        <v>1277899.8</v>
      </c>
      <c r="I1199" s="594" t="s">
        <v>1954</v>
      </c>
    </row>
    <row r="1200" spans="1:9" ht="17.100000000000001" customHeight="1">
      <c r="A1200" s="594">
        <v>60219905</v>
      </c>
      <c r="B1200" s="594" t="s">
        <v>1955</v>
      </c>
      <c r="C1200" s="596">
        <v>0</v>
      </c>
      <c r="D1200" s="595">
        <v>264148.86</v>
      </c>
      <c r="E1200" s="596">
        <v>0</v>
      </c>
      <c r="F1200" s="595">
        <v>60197.34</v>
      </c>
      <c r="G1200" s="596">
        <v>0</v>
      </c>
      <c r="H1200" s="595">
        <v>324346.2</v>
      </c>
      <c r="I1200" s="594" t="s">
        <v>1956</v>
      </c>
    </row>
    <row r="1201" spans="1:9">
      <c r="A1201" s="594">
        <v>60219906</v>
      </c>
      <c r="B1201" s="594" t="s">
        <v>4142</v>
      </c>
      <c r="C1201" s="596">
        <v>0</v>
      </c>
      <c r="D1201" s="595">
        <v>943396.23</v>
      </c>
      <c r="E1201" s="596">
        <v>0</v>
      </c>
      <c r="F1201" s="595">
        <v>2358490.5699999998</v>
      </c>
      <c r="G1201" s="596">
        <v>0</v>
      </c>
      <c r="H1201" s="595">
        <v>3301886.8</v>
      </c>
      <c r="I1201" s="594" t="s">
        <v>4143</v>
      </c>
    </row>
    <row r="1202" spans="1:9">
      <c r="A1202" s="594">
        <v>60219907</v>
      </c>
      <c r="B1202" s="594" t="s">
        <v>4022</v>
      </c>
      <c r="C1202" s="596">
        <v>0</v>
      </c>
      <c r="D1202" s="595">
        <v>23716.23</v>
      </c>
      <c r="E1202" s="596">
        <v>0</v>
      </c>
      <c r="F1202" s="596">
        <v>0</v>
      </c>
      <c r="G1202" s="596">
        <v>0</v>
      </c>
      <c r="H1202" s="595">
        <v>23716.23</v>
      </c>
      <c r="I1202" s="594" t="s">
        <v>4023</v>
      </c>
    </row>
    <row r="1203" spans="1:9" ht="28.5" customHeight="1">
      <c r="A1203" s="594">
        <v>60219908</v>
      </c>
      <c r="B1203" s="594" t="s">
        <v>4265</v>
      </c>
      <c r="C1203" s="596">
        <v>0</v>
      </c>
      <c r="D1203" s="595">
        <v>57657.95</v>
      </c>
      <c r="E1203" s="596">
        <v>0</v>
      </c>
      <c r="F1203" s="595">
        <v>58845.96</v>
      </c>
      <c r="G1203" s="596">
        <v>0</v>
      </c>
      <c r="H1203" s="595">
        <v>116503.91</v>
      </c>
      <c r="I1203" s="594" t="s">
        <v>4266</v>
      </c>
    </row>
    <row r="1204" spans="1:9" ht="17.100000000000001" customHeight="1">
      <c r="A1204" s="594">
        <v>60219912</v>
      </c>
      <c r="B1204" s="594" t="s">
        <v>2609</v>
      </c>
      <c r="C1204" s="596">
        <v>0</v>
      </c>
      <c r="D1204" s="595">
        <v>11589660.34</v>
      </c>
      <c r="E1204" s="596">
        <v>0</v>
      </c>
      <c r="F1204" s="595">
        <v>521698.11</v>
      </c>
      <c r="G1204" s="596">
        <v>0</v>
      </c>
      <c r="H1204" s="595">
        <v>12111358.449999999</v>
      </c>
      <c r="I1204" s="594" t="s">
        <v>2610</v>
      </c>
    </row>
    <row r="1205" spans="1:9" ht="17.100000000000001" customHeight="1">
      <c r="A1205" s="594">
        <v>60219914</v>
      </c>
      <c r="B1205" s="594" t="s">
        <v>1957</v>
      </c>
      <c r="C1205" s="596">
        <v>0</v>
      </c>
      <c r="D1205" s="595">
        <v>4164702.53</v>
      </c>
      <c r="E1205" s="596">
        <v>0</v>
      </c>
      <c r="F1205" s="595">
        <v>328666.32</v>
      </c>
      <c r="G1205" s="596">
        <v>0</v>
      </c>
      <c r="H1205" s="595">
        <v>4493368.8499999996</v>
      </c>
      <c r="I1205" s="594" t="s">
        <v>1958</v>
      </c>
    </row>
    <row r="1206" spans="1:9" ht="17.100000000000001" customHeight="1">
      <c r="A1206" s="594">
        <v>60219915</v>
      </c>
      <c r="B1206" s="594" t="s">
        <v>1959</v>
      </c>
      <c r="C1206" s="596">
        <v>0</v>
      </c>
      <c r="D1206" s="595">
        <v>62314.41</v>
      </c>
      <c r="E1206" s="596">
        <v>0</v>
      </c>
      <c r="F1206" s="595">
        <v>3620.96</v>
      </c>
      <c r="G1206" s="596">
        <v>0</v>
      </c>
      <c r="H1206" s="595">
        <v>65935.37</v>
      </c>
      <c r="I1206" s="594" t="s">
        <v>1960</v>
      </c>
    </row>
    <row r="1207" spans="1:9" ht="17.100000000000001" customHeight="1">
      <c r="A1207" s="594">
        <v>60219917</v>
      </c>
      <c r="B1207" s="594" t="s">
        <v>3374</v>
      </c>
      <c r="C1207" s="596">
        <v>0</v>
      </c>
      <c r="D1207" s="595">
        <v>4382321.8499999996</v>
      </c>
      <c r="E1207" s="596">
        <v>0</v>
      </c>
      <c r="F1207" s="595">
        <v>626518.62</v>
      </c>
      <c r="G1207" s="596">
        <v>0</v>
      </c>
      <c r="H1207" s="595">
        <v>5008840.47</v>
      </c>
      <c r="I1207" s="594" t="s">
        <v>3375</v>
      </c>
    </row>
    <row r="1208" spans="1:9" ht="17.100000000000001" customHeight="1">
      <c r="A1208" s="594">
        <v>60219999</v>
      </c>
      <c r="B1208" s="594" t="s">
        <v>1949</v>
      </c>
      <c r="C1208" s="596">
        <v>0</v>
      </c>
      <c r="D1208" s="595">
        <v>7568272.2699999996</v>
      </c>
      <c r="E1208" s="596">
        <v>0</v>
      </c>
      <c r="F1208" s="595">
        <v>5417482.8300000001</v>
      </c>
      <c r="G1208" s="596">
        <v>0</v>
      </c>
      <c r="H1208" s="595">
        <v>12985755.1</v>
      </c>
      <c r="I1208" s="594" t="s">
        <v>1961</v>
      </c>
    </row>
    <row r="1209" spans="1:9" ht="17.100000000000001" customHeight="1">
      <c r="A1209" s="594">
        <v>6051</v>
      </c>
      <c r="B1209" s="594" t="s">
        <v>228</v>
      </c>
      <c r="C1209" s="596">
        <v>0</v>
      </c>
      <c r="D1209" s="595">
        <v>15585406.99</v>
      </c>
      <c r="E1209" s="596">
        <v>0</v>
      </c>
      <c r="F1209" s="595">
        <v>4786257.79</v>
      </c>
      <c r="G1209" s="596">
        <v>0</v>
      </c>
      <c r="H1209" s="595">
        <v>20371664.780000001</v>
      </c>
      <c r="I1209" s="594" t="s">
        <v>1962</v>
      </c>
    </row>
    <row r="1210" spans="1:9" ht="17.100000000000001" customHeight="1">
      <c r="A1210" s="594">
        <v>605101</v>
      </c>
      <c r="B1210" s="594" t="s">
        <v>1963</v>
      </c>
      <c r="C1210" s="596">
        <v>0</v>
      </c>
      <c r="D1210" s="595">
        <v>5121976.8899999997</v>
      </c>
      <c r="E1210" s="596">
        <v>0</v>
      </c>
      <c r="F1210" s="595">
        <v>1186040.18</v>
      </c>
      <c r="G1210" s="596">
        <v>0</v>
      </c>
      <c r="H1210" s="595">
        <v>6308017.0700000003</v>
      </c>
      <c r="I1210" s="594" t="s">
        <v>1964</v>
      </c>
    </row>
    <row r="1211" spans="1:9" ht="17.100000000000001" customHeight="1">
      <c r="A1211" s="594">
        <v>60510101</v>
      </c>
      <c r="B1211" s="594" t="s">
        <v>3483</v>
      </c>
      <c r="C1211" s="596">
        <v>0</v>
      </c>
      <c r="D1211" s="595">
        <v>5121976.8899999997</v>
      </c>
      <c r="E1211" s="596">
        <v>0</v>
      </c>
      <c r="F1211" s="595">
        <v>1186040.18</v>
      </c>
      <c r="G1211" s="596">
        <v>0</v>
      </c>
      <c r="H1211" s="595">
        <v>6308017.0700000003</v>
      </c>
      <c r="I1211" s="594" t="s">
        <v>1965</v>
      </c>
    </row>
    <row r="1212" spans="1:9" ht="17.100000000000001" customHeight="1">
      <c r="A1212" s="594">
        <v>605102</v>
      </c>
      <c r="B1212" s="594" t="s">
        <v>1966</v>
      </c>
      <c r="C1212" s="596">
        <v>0</v>
      </c>
      <c r="D1212" s="595">
        <v>4598147.8600000003</v>
      </c>
      <c r="E1212" s="596">
        <v>0</v>
      </c>
      <c r="F1212" s="595">
        <v>1158072.75</v>
      </c>
      <c r="G1212" s="596">
        <v>0</v>
      </c>
      <c r="H1212" s="595">
        <v>5756220.6100000003</v>
      </c>
      <c r="I1212" s="594" t="s">
        <v>1967</v>
      </c>
    </row>
    <row r="1213" spans="1:9" ht="17.100000000000001" customHeight="1">
      <c r="A1213" s="594">
        <v>60510201</v>
      </c>
      <c r="B1213" s="594" t="s">
        <v>3484</v>
      </c>
      <c r="C1213" s="596">
        <v>0</v>
      </c>
      <c r="D1213" s="595">
        <v>4598147.8600000003</v>
      </c>
      <c r="E1213" s="596">
        <v>0</v>
      </c>
      <c r="F1213" s="595">
        <v>1158072.75</v>
      </c>
      <c r="G1213" s="596">
        <v>0</v>
      </c>
      <c r="H1213" s="595">
        <v>5756220.6100000003</v>
      </c>
      <c r="I1213" s="594" t="s">
        <v>1968</v>
      </c>
    </row>
    <row r="1214" spans="1:9" ht="17.100000000000001" customHeight="1">
      <c r="A1214" s="594">
        <v>605199</v>
      </c>
      <c r="B1214" s="594" t="s">
        <v>1969</v>
      </c>
      <c r="C1214" s="596">
        <v>0</v>
      </c>
      <c r="D1214" s="595">
        <v>5865282.2400000002</v>
      </c>
      <c r="E1214" s="596">
        <v>0</v>
      </c>
      <c r="F1214" s="595">
        <v>2442144.86</v>
      </c>
      <c r="G1214" s="596">
        <v>0</v>
      </c>
      <c r="H1214" s="595">
        <v>8307427.0999999996</v>
      </c>
      <c r="I1214" s="594" t="s">
        <v>1970</v>
      </c>
    </row>
    <row r="1215" spans="1:9" ht="17.100000000000001" customHeight="1">
      <c r="A1215" s="594">
        <v>60519999</v>
      </c>
      <c r="B1215" s="594" t="s">
        <v>1969</v>
      </c>
      <c r="C1215" s="596">
        <v>0</v>
      </c>
      <c r="D1215" s="595">
        <v>5865282.2400000002</v>
      </c>
      <c r="E1215" s="596">
        <v>0</v>
      </c>
      <c r="F1215" s="595">
        <v>2442144.86</v>
      </c>
      <c r="G1215" s="596">
        <v>0</v>
      </c>
      <c r="H1215" s="595">
        <v>8307427.0999999996</v>
      </c>
      <c r="I1215" s="594" t="s">
        <v>1971</v>
      </c>
    </row>
    <row r="1216" spans="1:9" ht="17.100000000000001" customHeight="1">
      <c r="A1216" s="594">
        <v>6061</v>
      </c>
      <c r="B1216" s="594" t="s">
        <v>1972</v>
      </c>
      <c r="C1216" s="595">
        <v>4493750.1100000003</v>
      </c>
      <c r="D1216" s="596">
        <v>0</v>
      </c>
      <c r="E1216" s="595">
        <v>63359832.759999998</v>
      </c>
      <c r="F1216" s="595">
        <v>14717836.27</v>
      </c>
      <c r="G1216" s="595">
        <v>53135746.600000001</v>
      </c>
      <c r="H1216" s="596">
        <v>0</v>
      </c>
      <c r="I1216" s="594" t="s">
        <v>1973</v>
      </c>
    </row>
    <row r="1217" spans="1:9" ht="17.100000000000001" customHeight="1">
      <c r="A1217" s="594">
        <v>606101</v>
      </c>
      <c r="B1217" s="594" t="s">
        <v>1974</v>
      </c>
      <c r="C1217" s="596">
        <v>0</v>
      </c>
      <c r="D1217" s="595">
        <v>3260972.06</v>
      </c>
      <c r="E1217" s="595">
        <v>6399221.4000000004</v>
      </c>
      <c r="F1217" s="595">
        <v>10230709.92</v>
      </c>
      <c r="G1217" s="596">
        <v>0</v>
      </c>
      <c r="H1217" s="595">
        <v>7092460.5800000001</v>
      </c>
      <c r="I1217" s="594" t="s">
        <v>1975</v>
      </c>
    </row>
    <row r="1218" spans="1:9" ht="17.100000000000001" customHeight="1">
      <c r="A1218" s="594">
        <v>60610101</v>
      </c>
      <c r="B1218" s="594" t="s">
        <v>3605</v>
      </c>
      <c r="C1218" s="596">
        <v>0</v>
      </c>
      <c r="D1218" s="595">
        <v>3260972.06</v>
      </c>
      <c r="E1218" s="595">
        <v>6399221.4000000004</v>
      </c>
      <c r="F1218" s="595">
        <v>10230709.92</v>
      </c>
      <c r="G1218" s="596">
        <v>0</v>
      </c>
      <c r="H1218" s="595">
        <v>7092460.5800000001</v>
      </c>
      <c r="I1218" s="594" t="s">
        <v>1976</v>
      </c>
    </row>
    <row r="1219" spans="1:9" ht="17.100000000000001" customHeight="1">
      <c r="A1219" s="594">
        <v>606102</v>
      </c>
      <c r="B1219" s="594" t="s">
        <v>2699</v>
      </c>
      <c r="C1219" s="596">
        <v>0</v>
      </c>
      <c r="D1219" s="595">
        <v>417193.46</v>
      </c>
      <c r="E1219" s="595">
        <v>41794246.509999998</v>
      </c>
      <c r="F1219" s="595">
        <v>3293535.99</v>
      </c>
      <c r="G1219" s="595">
        <v>38083517.060000002</v>
      </c>
      <c r="H1219" s="596">
        <v>0</v>
      </c>
      <c r="I1219" s="594" t="s">
        <v>2700</v>
      </c>
    </row>
    <row r="1220" spans="1:9" ht="17.100000000000001" customHeight="1">
      <c r="A1220" s="594">
        <v>60610201</v>
      </c>
      <c r="B1220" s="594" t="s">
        <v>3606</v>
      </c>
      <c r="C1220" s="596">
        <v>0</v>
      </c>
      <c r="D1220" s="595">
        <v>417193.46</v>
      </c>
      <c r="E1220" s="595">
        <v>41794246.509999998</v>
      </c>
      <c r="F1220" s="595">
        <v>3293535.99</v>
      </c>
      <c r="G1220" s="595">
        <v>38083517.060000002</v>
      </c>
      <c r="H1220" s="596">
        <v>0</v>
      </c>
      <c r="I1220" s="594" t="s">
        <v>2701</v>
      </c>
    </row>
    <row r="1221" spans="1:9" ht="17.100000000000001" customHeight="1">
      <c r="A1221" s="594">
        <v>606199</v>
      </c>
      <c r="B1221" s="594" t="s">
        <v>1977</v>
      </c>
      <c r="C1221" s="595">
        <v>8171915.6299999999</v>
      </c>
      <c r="D1221" s="596">
        <v>0</v>
      </c>
      <c r="E1221" s="595">
        <v>15166364.85</v>
      </c>
      <c r="F1221" s="595">
        <v>1193590.3600000001</v>
      </c>
      <c r="G1221" s="595">
        <v>22144690.120000001</v>
      </c>
      <c r="H1221" s="596">
        <v>0</v>
      </c>
      <c r="I1221" s="594" t="s">
        <v>1978</v>
      </c>
    </row>
    <row r="1222" spans="1:9" ht="17.100000000000001" customHeight="1">
      <c r="A1222" s="594">
        <v>60619901</v>
      </c>
      <c r="B1222" s="594" t="s">
        <v>1979</v>
      </c>
      <c r="C1222" s="595">
        <v>8171518.6799999997</v>
      </c>
      <c r="D1222" s="596">
        <v>0</v>
      </c>
      <c r="E1222" s="595">
        <v>15166364.85</v>
      </c>
      <c r="F1222" s="595">
        <v>1193590.3600000001</v>
      </c>
      <c r="G1222" s="595">
        <v>22144293.170000002</v>
      </c>
      <c r="H1222" s="596">
        <v>0</v>
      </c>
      <c r="I1222" s="594" t="s">
        <v>1980</v>
      </c>
    </row>
    <row r="1223" spans="1:9" ht="17.100000000000001" customHeight="1">
      <c r="A1223" s="594">
        <v>60619999</v>
      </c>
      <c r="B1223" s="594" t="s">
        <v>4026</v>
      </c>
      <c r="C1223" s="596">
        <v>396.95</v>
      </c>
      <c r="D1223" s="596">
        <v>0</v>
      </c>
      <c r="E1223" s="596">
        <v>0</v>
      </c>
      <c r="F1223" s="596">
        <v>0</v>
      </c>
      <c r="G1223" s="596">
        <v>396.95</v>
      </c>
      <c r="H1223" s="596">
        <v>0</v>
      </c>
      <c r="I1223" s="594" t="s">
        <v>4027</v>
      </c>
    </row>
    <row r="1224" spans="1:9" ht="17.100000000000001" customHeight="1">
      <c r="A1224" s="594">
        <v>6101</v>
      </c>
      <c r="B1224" s="594" t="s">
        <v>1981</v>
      </c>
      <c r="C1224" s="595">
        <v>15714398.75</v>
      </c>
      <c r="D1224" s="596">
        <v>0</v>
      </c>
      <c r="E1224" s="595">
        <v>41951441.109999999</v>
      </c>
      <c r="F1224" s="595">
        <v>100055890.56</v>
      </c>
      <c r="G1224" s="596">
        <v>0</v>
      </c>
      <c r="H1224" s="595">
        <v>42390050.700000003</v>
      </c>
      <c r="I1224" s="594" t="s">
        <v>1982</v>
      </c>
    </row>
    <row r="1225" spans="1:9" ht="17.100000000000001" customHeight="1">
      <c r="A1225" s="594">
        <v>610101</v>
      </c>
      <c r="B1225" s="594" t="s">
        <v>1983</v>
      </c>
      <c r="C1225" s="595">
        <v>15714398.75</v>
      </c>
      <c r="D1225" s="596">
        <v>0</v>
      </c>
      <c r="E1225" s="595">
        <v>41951441.109999999</v>
      </c>
      <c r="F1225" s="595">
        <v>100055890.56</v>
      </c>
      <c r="G1225" s="596">
        <v>0</v>
      </c>
      <c r="H1225" s="595">
        <v>42390050.700000003</v>
      </c>
      <c r="I1225" s="594" t="s">
        <v>1984</v>
      </c>
    </row>
    <row r="1226" spans="1:9" ht="17.100000000000001" customHeight="1">
      <c r="A1226" s="594">
        <v>61010101</v>
      </c>
      <c r="B1226" s="594" t="s">
        <v>1985</v>
      </c>
      <c r="C1226" s="595">
        <v>15714398.75</v>
      </c>
      <c r="D1226" s="596">
        <v>0</v>
      </c>
      <c r="E1226" s="595">
        <v>41951441.109999999</v>
      </c>
      <c r="F1226" s="595">
        <v>100055890.56</v>
      </c>
      <c r="G1226" s="596">
        <v>0</v>
      </c>
      <c r="H1226" s="595">
        <v>42390050.700000003</v>
      </c>
      <c r="I1226" s="594" t="s">
        <v>1986</v>
      </c>
    </row>
    <row r="1227" spans="1:9" ht="17.100000000000001" customHeight="1">
      <c r="A1227" s="594">
        <v>6111</v>
      </c>
      <c r="B1227" s="594" t="s">
        <v>227</v>
      </c>
      <c r="C1227" s="596">
        <v>0</v>
      </c>
      <c r="D1227" s="595">
        <v>3590622993.29</v>
      </c>
      <c r="E1227" s="595">
        <v>13963707.34</v>
      </c>
      <c r="F1227" s="595">
        <v>768094157.08000004</v>
      </c>
      <c r="G1227" s="596">
        <v>0</v>
      </c>
      <c r="H1227" s="595">
        <v>4344753443.0299997</v>
      </c>
      <c r="I1227" s="594" t="s">
        <v>1987</v>
      </c>
    </row>
    <row r="1228" spans="1:9" ht="17.100000000000001" customHeight="1">
      <c r="A1228" s="594">
        <v>611101</v>
      </c>
      <c r="B1228" s="594" t="s">
        <v>1988</v>
      </c>
      <c r="C1228" s="595">
        <v>131070453.69</v>
      </c>
      <c r="D1228" s="596">
        <v>0</v>
      </c>
      <c r="E1228" s="595">
        <v>13963707.34</v>
      </c>
      <c r="F1228" s="595">
        <v>3755941.16</v>
      </c>
      <c r="G1228" s="595">
        <v>141278219.87</v>
      </c>
      <c r="H1228" s="596">
        <v>0</v>
      </c>
      <c r="I1228" s="594" t="s">
        <v>1989</v>
      </c>
    </row>
    <row r="1229" spans="1:9" ht="17.100000000000001" customHeight="1">
      <c r="A1229" s="594">
        <v>61110101</v>
      </c>
      <c r="B1229" s="594" t="s">
        <v>1990</v>
      </c>
      <c r="C1229" s="596">
        <v>0</v>
      </c>
      <c r="D1229" s="595">
        <v>-137000872.12</v>
      </c>
      <c r="E1229" s="595">
        <v>12999763.560000001</v>
      </c>
      <c r="F1229" s="595">
        <v>2590630</v>
      </c>
      <c r="G1229" s="596">
        <v>0</v>
      </c>
      <c r="H1229" s="595">
        <v>-147410005.68000001</v>
      </c>
      <c r="I1229" s="594" t="s">
        <v>1991</v>
      </c>
    </row>
    <row r="1230" spans="1:9" ht="17.100000000000001" customHeight="1">
      <c r="A1230" s="594">
        <v>61110103</v>
      </c>
      <c r="B1230" s="594" t="s">
        <v>4144</v>
      </c>
      <c r="C1230" s="596">
        <v>0</v>
      </c>
      <c r="D1230" s="595">
        <v>1108752.99</v>
      </c>
      <c r="E1230" s="595">
        <v>963943.78</v>
      </c>
      <c r="F1230" s="595">
        <v>1011261.25</v>
      </c>
      <c r="G1230" s="596">
        <v>0</v>
      </c>
      <c r="H1230" s="595">
        <v>1156070.46</v>
      </c>
      <c r="I1230" s="594" t="s">
        <v>4145</v>
      </c>
    </row>
    <row r="1231" spans="1:9" ht="17.100000000000001" customHeight="1">
      <c r="A1231" s="320"/>
      <c r="B1231" s="320"/>
      <c r="C1231" s="320"/>
      <c r="D1231" s="557" t="s">
        <v>4198</v>
      </c>
      <c r="E1231" s="320" t="s">
        <v>3774</v>
      </c>
      <c r="F1231" s="320"/>
      <c r="G1231" s="320"/>
      <c r="H1231" s="320"/>
      <c r="I1231" s="320"/>
    </row>
    <row r="1232" spans="1:9" ht="17.100000000000001" customHeight="1">
      <c r="A1232" s="671"/>
      <c r="B1232" s="671"/>
      <c r="C1232" s="671"/>
      <c r="D1232" s="671"/>
      <c r="E1232" s="671"/>
      <c r="F1232" s="671"/>
      <c r="G1232" s="671"/>
      <c r="H1232" s="671"/>
      <c r="I1232" s="671"/>
    </row>
    <row r="1233" spans="1:9" ht="17.100000000000001" customHeight="1">
      <c r="A1233" s="320"/>
      <c r="B1233" s="320"/>
      <c r="C1233" s="589" t="s">
        <v>3707</v>
      </c>
      <c r="D1233" s="320"/>
      <c r="E1233" s="320"/>
      <c r="F1233" s="671"/>
      <c r="G1233" s="671"/>
      <c r="H1233" s="671"/>
      <c r="I1233" s="671"/>
    </row>
    <row r="1234" spans="1:9" ht="17.100000000000001" customHeight="1">
      <c r="A1234" s="590" t="s">
        <v>3708</v>
      </c>
      <c r="B1234" s="590"/>
      <c r="C1234" s="597">
        <v>42887</v>
      </c>
      <c r="D1234" s="590"/>
      <c r="E1234" s="557" t="s">
        <v>3709</v>
      </c>
      <c r="F1234" s="671"/>
      <c r="G1234" s="671"/>
      <c r="H1234" s="671"/>
      <c r="I1234" s="671"/>
    </row>
    <row r="1235" spans="1:9" ht="17.100000000000001" customHeight="1">
      <c r="A1235" s="593" t="s">
        <v>596</v>
      </c>
      <c r="B1235" s="593" t="s">
        <v>597</v>
      </c>
      <c r="C1235" s="593" t="s">
        <v>3710</v>
      </c>
      <c r="D1235" s="593" t="s">
        <v>3711</v>
      </c>
      <c r="E1235" s="593" t="s">
        <v>3712</v>
      </c>
      <c r="F1235" s="593" t="s">
        <v>3713</v>
      </c>
      <c r="G1235" s="593" t="s">
        <v>3714</v>
      </c>
      <c r="H1235" s="593" t="s">
        <v>3715</v>
      </c>
      <c r="I1235" s="593" t="s">
        <v>596</v>
      </c>
    </row>
    <row r="1236" spans="1:9" ht="17.100000000000001" customHeight="1">
      <c r="A1236" s="594">
        <v>61110104</v>
      </c>
      <c r="B1236" s="594" t="s">
        <v>1992</v>
      </c>
      <c r="C1236" s="596">
        <v>0</v>
      </c>
      <c r="D1236" s="595">
        <v>4821665.4400000004</v>
      </c>
      <c r="E1236" s="596">
        <v>0</v>
      </c>
      <c r="F1236" s="595">
        <v>154049.91</v>
      </c>
      <c r="G1236" s="596">
        <v>0</v>
      </c>
      <c r="H1236" s="595">
        <v>4975715.3499999996</v>
      </c>
      <c r="I1236" s="594" t="s">
        <v>1993</v>
      </c>
    </row>
    <row r="1237" spans="1:9" ht="17.100000000000001" customHeight="1">
      <c r="A1237" s="594">
        <v>611102</v>
      </c>
      <c r="B1237" s="594" t="s">
        <v>4267</v>
      </c>
      <c r="C1237" s="596">
        <v>0</v>
      </c>
      <c r="D1237" s="596">
        <v>0</v>
      </c>
      <c r="E1237" s="596">
        <v>0</v>
      </c>
      <c r="F1237" s="595">
        <v>1530000</v>
      </c>
      <c r="G1237" s="596">
        <v>0</v>
      </c>
      <c r="H1237" s="595">
        <v>1530000</v>
      </c>
      <c r="I1237" s="594" t="s">
        <v>4268</v>
      </c>
    </row>
    <row r="1238" spans="1:9" ht="28.5" customHeight="1">
      <c r="A1238" s="594">
        <v>61110299</v>
      </c>
      <c r="B1238" s="594" t="s">
        <v>489</v>
      </c>
      <c r="C1238" s="596">
        <v>0</v>
      </c>
      <c r="D1238" s="596">
        <v>0</v>
      </c>
      <c r="E1238" s="596">
        <v>0</v>
      </c>
      <c r="F1238" s="595">
        <v>1530000</v>
      </c>
      <c r="G1238" s="596">
        <v>0</v>
      </c>
      <c r="H1238" s="595">
        <v>1530000</v>
      </c>
      <c r="I1238" s="594" t="s">
        <v>4269</v>
      </c>
    </row>
    <row r="1239" spans="1:9">
      <c r="A1239" s="594">
        <v>611103</v>
      </c>
      <c r="B1239" s="594" t="s">
        <v>4270</v>
      </c>
      <c r="C1239" s="596">
        <v>0</v>
      </c>
      <c r="D1239" s="596">
        <v>0</v>
      </c>
      <c r="E1239" s="596">
        <v>0</v>
      </c>
      <c r="F1239" s="595">
        <v>4080000</v>
      </c>
      <c r="G1239" s="596">
        <v>0</v>
      </c>
      <c r="H1239" s="595">
        <v>4080000</v>
      </c>
      <c r="I1239" s="594" t="s">
        <v>4271</v>
      </c>
    </row>
    <row r="1240" spans="1:9">
      <c r="A1240" s="594">
        <v>61110301</v>
      </c>
      <c r="B1240" s="594" t="s">
        <v>4270</v>
      </c>
      <c r="C1240" s="596">
        <v>0</v>
      </c>
      <c r="D1240" s="596">
        <v>0</v>
      </c>
      <c r="E1240" s="596">
        <v>0</v>
      </c>
      <c r="F1240" s="595">
        <v>4080000</v>
      </c>
      <c r="G1240" s="596">
        <v>0</v>
      </c>
      <c r="H1240" s="595">
        <v>4080000</v>
      </c>
      <c r="I1240" s="594" t="s">
        <v>4272</v>
      </c>
    </row>
    <row r="1241" spans="1:9">
      <c r="A1241" s="594">
        <v>611104</v>
      </c>
      <c r="B1241" s="594" t="s">
        <v>2702</v>
      </c>
      <c r="C1241" s="596">
        <v>0</v>
      </c>
      <c r="D1241" s="595">
        <v>3721693446.98</v>
      </c>
      <c r="E1241" s="596">
        <v>0</v>
      </c>
      <c r="F1241" s="595">
        <v>758728215.91999996</v>
      </c>
      <c r="G1241" s="596">
        <v>0</v>
      </c>
      <c r="H1241" s="595">
        <v>4480421662.8999996</v>
      </c>
      <c r="I1241" s="594" t="s">
        <v>1994</v>
      </c>
    </row>
    <row r="1242" spans="1:9" ht="28.5" customHeight="1">
      <c r="A1242" s="594">
        <v>61110401</v>
      </c>
      <c r="B1242" s="594" t="s">
        <v>1995</v>
      </c>
      <c r="C1242" s="596">
        <v>0</v>
      </c>
      <c r="D1242" s="595">
        <v>271370445.32999998</v>
      </c>
      <c r="E1242" s="596">
        <v>0</v>
      </c>
      <c r="F1242" s="595">
        <v>78124702.700000003</v>
      </c>
      <c r="G1242" s="596">
        <v>0</v>
      </c>
      <c r="H1242" s="595">
        <v>349495148.02999997</v>
      </c>
      <c r="I1242" s="594" t="s">
        <v>1996</v>
      </c>
    </row>
    <row r="1243" spans="1:9" ht="17.100000000000001" customHeight="1">
      <c r="A1243" s="594">
        <v>61110402</v>
      </c>
      <c r="B1243" s="594" t="s">
        <v>1997</v>
      </c>
      <c r="C1243" s="596">
        <v>0</v>
      </c>
      <c r="D1243" s="595">
        <v>446739870.94</v>
      </c>
      <c r="E1243" s="596">
        <v>0</v>
      </c>
      <c r="F1243" s="595">
        <v>84439367.219999999</v>
      </c>
      <c r="G1243" s="596">
        <v>0</v>
      </c>
      <c r="H1243" s="595">
        <v>531179238.16000003</v>
      </c>
      <c r="I1243" s="594" t="s">
        <v>1998</v>
      </c>
    </row>
    <row r="1244" spans="1:9" ht="17.100000000000001" customHeight="1">
      <c r="A1244" s="594">
        <v>61110403</v>
      </c>
      <c r="B1244" s="594" t="s">
        <v>1999</v>
      </c>
      <c r="C1244" s="596">
        <v>0</v>
      </c>
      <c r="D1244" s="595">
        <v>793970912.63</v>
      </c>
      <c r="E1244" s="596">
        <v>0</v>
      </c>
      <c r="F1244" s="595">
        <v>155716902.62</v>
      </c>
      <c r="G1244" s="596">
        <v>0</v>
      </c>
      <c r="H1244" s="595">
        <v>949687815.25</v>
      </c>
      <c r="I1244" s="594" t="s">
        <v>2000</v>
      </c>
    </row>
    <row r="1245" spans="1:9" ht="17.100000000000001" customHeight="1">
      <c r="A1245" s="594">
        <v>61110404</v>
      </c>
      <c r="B1245" s="594" t="s">
        <v>2001</v>
      </c>
      <c r="C1245" s="596">
        <v>0</v>
      </c>
      <c r="D1245" s="595">
        <v>2209612218.0799999</v>
      </c>
      <c r="E1245" s="596">
        <v>0</v>
      </c>
      <c r="F1245" s="595">
        <v>440447243.38</v>
      </c>
      <c r="G1245" s="596">
        <v>0</v>
      </c>
      <c r="H1245" s="595">
        <v>2650059461.46</v>
      </c>
      <c r="I1245" s="594" t="s">
        <v>2002</v>
      </c>
    </row>
    <row r="1246" spans="1:9" ht="17.100000000000001" customHeight="1">
      <c r="A1246" s="594">
        <v>6301</v>
      </c>
      <c r="B1246" s="594" t="s">
        <v>2003</v>
      </c>
      <c r="C1246" s="596">
        <v>0</v>
      </c>
      <c r="D1246" s="595">
        <v>-29860798.309999999</v>
      </c>
      <c r="E1246" s="595">
        <v>328775.51</v>
      </c>
      <c r="F1246" s="595">
        <v>10184197.060000001</v>
      </c>
      <c r="G1246" s="596">
        <v>0</v>
      </c>
      <c r="H1246" s="595">
        <v>-20005376.760000002</v>
      </c>
      <c r="I1246" s="594" t="s">
        <v>2004</v>
      </c>
    </row>
    <row r="1247" spans="1:9" ht="17.100000000000001" customHeight="1">
      <c r="A1247" s="594">
        <v>630101</v>
      </c>
      <c r="B1247" s="594" t="s">
        <v>4035</v>
      </c>
      <c r="C1247" s="596">
        <v>0</v>
      </c>
      <c r="D1247" s="595">
        <v>71073.58</v>
      </c>
      <c r="E1247" s="596">
        <v>0</v>
      </c>
      <c r="F1247" s="596">
        <v>0</v>
      </c>
      <c r="G1247" s="596">
        <v>0</v>
      </c>
      <c r="H1247" s="595">
        <v>71073.58</v>
      </c>
      <c r="I1247" s="594" t="s">
        <v>4036</v>
      </c>
    </row>
    <row r="1248" spans="1:9" ht="17.100000000000001" customHeight="1">
      <c r="A1248" s="594">
        <v>63010101</v>
      </c>
      <c r="B1248" s="594" t="s">
        <v>4035</v>
      </c>
      <c r="C1248" s="596">
        <v>0</v>
      </c>
      <c r="D1248" s="595">
        <v>71073.58</v>
      </c>
      <c r="E1248" s="596">
        <v>0</v>
      </c>
      <c r="F1248" s="596">
        <v>0</v>
      </c>
      <c r="G1248" s="596">
        <v>0</v>
      </c>
      <c r="H1248" s="595">
        <v>71073.58</v>
      </c>
      <c r="I1248" s="594" t="s">
        <v>4037</v>
      </c>
    </row>
    <row r="1249" spans="1:9" ht="17.100000000000001" customHeight="1">
      <c r="A1249" s="594">
        <v>630102</v>
      </c>
      <c r="B1249" s="594" t="s">
        <v>4273</v>
      </c>
      <c r="C1249" s="596">
        <v>0</v>
      </c>
      <c r="D1249" s="595">
        <v>5639649.5899999999</v>
      </c>
      <c r="E1249" s="596">
        <v>0</v>
      </c>
      <c r="F1249" s="595">
        <v>630000</v>
      </c>
      <c r="G1249" s="596">
        <v>0</v>
      </c>
      <c r="H1249" s="595">
        <v>6269649.5899999999</v>
      </c>
      <c r="I1249" s="594" t="s">
        <v>4274</v>
      </c>
    </row>
    <row r="1250" spans="1:9" ht="17.100000000000001" customHeight="1">
      <c r="A1250" s="594">
        <v>63010201</v>
      </c>
      <c r="B1250" s="594" t="s">
        <v>4273</v>
      </c>
      <c r="C1250" s="596">
        <v>0</v>
      </c>
      <c r="D1250" s="595">
        <v>5639649.5899999999</v>
      </c>
      <c r="E1250" s="596">
        <v>0</v>
      </c>
      <c r="F1250" s="595">
        <v>630000</v>
      </c>
      <c r="G1250" s="596">
        <v>0</v>
      </c>
      <c r="H1250" s="595">
        <v>6269649.5899999999</v>
      </c>
      <c r="I1250" s="594" t="s">
        <v>4275</v>
      </c>
    </row>
    <row r="1251" spans="1:9" ht="17.100000000000001" customHeight="1">
      <c r="A1251" s="594">
        <v>630103</v>
      </c>
      <c r="B1251" s="594" t="s">
        <v>4038</v>
      </c>
      <c r="C1251" s="596">
        <v>0</v>
      </c>
      <c r="D1251" s="595">
        <v>2440</v>
      </c>
      <c r="E1251" s="596">
        <v>0</v>
      </c>
      <c r="F1251" s="595">
        <v>1649</v>
      </c>
      <c r="G1251" s="596">
        <v>0</v>
      </c>
      <c r="H1251" s="595">
        <v>4089</v>
      </c>
      <c r="I1251" s="594" t="s">
        <v>4039</v>
      </c>
    </row>
    <row r="1252" spans="1:9" ht="17.100000000000001" customHeight="1">
      <c r="A1252" s="594">
        <v>63010301</v>
      </c>
      <c r="B1252" s="594" t="s">
        <v>1595</v>
      </c>
      <c r="C1252" s="596">
        <v>0</v>
      </c>
      <c r="D1252" s="595">
        <v>2440</v>
      </c>
      <c r="E1252" s="596">
        <v>0</v>
      </c>
      <c r="F1252" s="595">
        <v>1649</v>
      </c>
      <c r="G1252" s="596">
        <v>0</v>
      </c>
      <c r="H1252" s="595">
        <v>4089</v>
      </c>
      <c r="I1252" s="594" t="s">
        <v>4040</v>
      </c>
    </row>
    <row r="1253" spans="1:9" ht="17.100000000000001" customHeight="1">
      <c r="A1253" s="594">
        <v>630104</v>
      </c>
      <c r="B1253" s="594" t="s">
        <v>2005</v>
      </c>
      <c r="C1253" s="596">
        <v>0</v>
      </c>
      <c r="D1253" s="595">
        <v>1703667.53</v>
      </c>
      <c r="E1253" s="596">
        <v>0</v>
      </c>
      <c r="F1253" s="595">
        <v>211884.01</v>
      </c>
      <c r="G1253" s="596">
        <v>0</v>
      </c>
      <c r="H1253" s="595">
        <v>1915551.54</v>
      </c>
      <c r="I1253" s="594" t="s">
        <v>2006</v>
      </c>
    </row>
    <row r="1254" spans="1:9" ht="17.100000000000001" customHeight="1">
      <c r="A1254" s="594">
        <v>63010401</v>
      </c>
      <c r="B1254" s="594" t="s">
        <v>2005</v>
      </c>
      <c r="C1254" s="596">
        <v>0</v>
      </c>
      <c r="D1254" s="595">
        <v>1703667.53</v>
      </c>
      <c r="E1254" s="596">
        <v>0</v>
      </c>
      <c r="F1254" s="595">
        <v>211884.01</v>
      </c>
      <c r="G1254" s="596">
        <v>0</v>
      </c>
      <c r="H1254" s="595">
        <v>1915551.54</v>
      </c>
      <c r="I1254" s="594" t="s">
        <v>2007</v>
      </c>
    </row>
    <row r="1255" spans="1:9" ht="17.100000000000001" customHeight="1">
      <c r="A1255" s="594">
        <v>630108</v>
      </c>
      <c r="B1255" s="594" t="s">
        <v>4276</v>
      </c>
      <c r="C1255" s="596">
        <v>0</v>
      </c>
      <c r="D1255" s="596">
        <v>0</v>
      </c>
      <c r="E1255" s="596">
        <v>0</v>
      </c>
      <c r="F1255" s="595">
        <v>19423.68</v>
      </c>
      <c r="G1255" s="596">
        <v>0</v>
      </c>
      <c r="H1255" s="595">
        <v>19423.68</v>
      </c>
      <c r="I1255" s="594" t="s">
        <v>4277</v>
      </c>
    </row>
    <row r="1256" spans="1:9" ht="17.100000000000001" customHeight="1">
      <c r="A1256" s="594">
        <v>63010801</v>
      </c>
      <c r="B1256" s="594" t="s">
        <v>4276</v>
      </c>
      <c r="C1256" s="596">
        <v>0</v>
      </c>
      <c r="D1256" s="596">
        <v>0</v>
      </c>
      <c r="E1256" s="596">
        <v>0</v>
      </c>
      <c r="F1256" s="595">
        <v>19423.68</v>
      </c>
      <c r="G1256" s="596">
        <v>0</v>
      </c>
      <c r="H1256" s="595">
        <v>19423.68</v>
      </c>
      <c r="I1256" s="594" t="s">
        <v>4278</v>
      </c>
    </row>
    <row r="1257" spans="1:9" ht="17.100000000000001" customHeight="1">
      <c r="A1257" s="594">
        <v>630199</v>
      </c>
      <c r="B1257" s="594" t="s">
        <v>2008</v>
      </c>
      <c r="C1257" s="596">
        <v>0</v>
      </c>
      <c r="D1257" s="595">
        <v>-37277629.009999998</v>
      </c>
      <c r="E1257" s="595">
        <v>328775.51</v>
      </c>
      <c r="F1257" s="595">
        <v>9321240.3699999992</v>
      </c>
      <c r="G1257" s="596">
        <v>0</v>
      </c>
      <c r="H1257" s="595">
        <v>-28285164.149999999</v>
      </c>
      <c r="I1257" s="594" t="s">
        <v>2009</v>
      </c>
    </row>
    <row r="1258" spans="1:9" ht="17.100000000000001" customHeight="1">
      <c r="A1258" s="594">
        <v>63019999</v>
      </c>
      <c r="B1258" s="594" t="s">
        <v>2008</v>
      </c>
      <c r="C1258" s="596">
        <v>0</v>
      </c>
      <c r="D1258" s="595">
        <v>-37277629.009999998</v>
      </c>
      <c r="E1258" s="595">
        <v>328775.51</v>
      </c>
      <c r="F1258" s="595">
        <v>9321240.3699999992</v>
      </c>
      <c r="G1258" s="596">
        <v>0</v>
      </c>
      <c r="H1258" s="595">
        <v>-28285164.149999999</v>
      </c>
      <c r="I1258" s="594" t="s">
        <v>2010</v>
      </c>
    </row>
    <row r="1259" spans="1:9" ht="17.100000000000001" customHeight="1">
      <c r="A1259" s="594">
        <v>6403</v>
      </c>
      <c r="B1259" s="594" t="s">
        <v>3940</v>
      </c>
      <c r="C1259" s="595">
        <v>27651566.760000002</v>
      </c>
      <c r="D1259" s="596">
        <v>0</v>
      </c>
      <c r="E1259" s="595">
        <v>762799.91</v>
      </c>
      <c r="F1259" s="596">
        <v>0</v>
      </c>
      <c r="G1259" s="595">
        <v>28414366.670000002</v>
      </c>
      <c r="H1259" s="596">
        <v>0</v>
      </c>
      <c r="I1259" s="594" t="s">
        <v>2011</v>
      </c>
    </row>
    <row r="1260" spans="1:9" ht="17.100000000000001" customHeight="1">
      <c r="A1260" s="594">
        <v>640302</v>
      </c>
      <c r="B1260" s="594" t="s">
        <v>2012</v>
      </c>
      <c r="C1260" s="595">
        <v>27651566.760000002</v>
      </c>
      <c r="D1260" s="596">
        <v>0</v>
      </c>
      <c r="E1260" s="595">
        <v>762799.91</v>
      </c>
      <c r="F1260" s="596">
        <v>0</v>
      </c>
      <c r="G1260" s="595">
        <v>28414366.670000002</v>
      </c>
      <c r="H1260" s="596">
        <v>0</v>
      </c>
      <c r="I1260" s="594" t="s">
        <v>2013</v>
      </c>
    </row>
    <row r="1261" spans="1:9" ht="17.100000000000001" customHeight="1">
      <c r="A1261" s="594">
        <v>64030201</v>
      </c>
      <c r="B1261" s="594" t="s">
        <v>2014</v>
      </c>
      <c r="C1261" s="595">
        <v>14116296.880000001</v>
      </c>
      <c r="D1261" s="596">
        <v>0</v>
      </c>
      <c r="E1261" s="596">
        <v>0</v>
      </c>
      <c r="F1261" s="596">
        <v>0</v>
      </c>
      <c r="G1261" s="595">
        <v>14116296.880000001</v>
      </c>
      <c r="H1261" s="596">
        <v>0</v>
      </c>
      <c r="I1261" s="594" t="s">
        <v>2015</v>
      </c>
    </row>
    <row r="1262" spans="1:9" ht="17.100000000000001" customHeight="1">
      <c r="A1262" s="594">
        <v>64030202</v>
      </c>
      <c r="B1262" s="594" t="s">
        <v>2016</v>
      </c>
      <c r="C1262" s="595">
        <v>10121409.529999999</v>
      </c>
      <c r="D1262" s="596">
        <v>0</v>
      </c>
      <c r="E1262" s="596">
        <v>0</v>
      </c>
      <c r="F1262" s="596">
        <v>0</v>
      </c>
      <c r="G1262" s="595">
        <v>10121409.529999999</v>
      </c>
      <c r="H1262" s="596">
        <v>0</v>
      </c>
      <c r="I1262" s="594" t="s">
        <v>2017</v>
      </c>
    </row>
    <row r="1263" spans="1:9" ht="17.100000000000001" customHeight="1">
      <c r="A1263" s="594">
        <v>64030203</v>
      </c>
      <c r="B1263" s="594" t="s">
        <v>4066</v>
      </c>
      <c r="C1263" s="595">
        <v>1243892.3899999999</v>
      </c>
      <c r="D1263" s="596">
        <v>0</v>
      </c>
      <c r="E1263" s="595">
        <v>321925.40999999997</v>
      </c>
      <c r="F1263" s="596">
        <v>0</v>
      </c>
      <c r="G1263" s="595">
        <v>1565817.8</v>
      </c>
      <c r="H1263" s="596">
        <v>0</v>
      </c>
      <c r="I1263" s="594" t="s">
        <v>4098</v>
      </c>
    </row>
    <row r="1264" spans="1:9" ht="17.100000000000001" customHeight="1">
      <c r="A1264" s="594">
        <v>64030205</v>
      </c>
      <c r="B1264" s="594" t="s">
        <v>4279</v>
      </c>
      <c r="C1264" s="596">
        <v>124.8</v>
      </c>
      <c r="D1264" s="596">
        <v>0</v>
      </c>
      <c r="E1264" s="595">
        <v>1800</v>
      </c>
      <c r="F1264" s="596">
        <v>0</v>
      </c>
      <c r="G1264" s="595">
        <v>1924.8</v>
      </c>
      <c r="H1264" s="596">
        <v>0</v>
      </c>
      <c r="I1264" s="594" t="s">
        <v>4280</v>
      </c>
    </row>
    <row r="1265" spans="1:9" ht="17.100000000000001" customHeight="1">
      <c r="A1265" s="594">
        <v>64030206</v>
      </c>
      <c r="B1265" s="594" t="s">
        <v>2223</v>
      </c>
      <c r="C1265" s="595">
        <v>2169843.16</v>
      </c>
      <c r="D1265" s="596">
        <v>0</v>
      </c>
      <c r="E1265" s="595">
        <v>439074.5</v>
      </c>
      <c r="F1265" s="596">
        <v>0</v>
      </c>
      <c r="G1265" s="595">
        <v>2608917.66</v>
      </c>
      <c r="H1265" s="596">
        <v>0</v>
      </c>
      <c r="I1265" s="594" t="s">
        <v>4099</v>
      </c>
    </row>
    <row r="1266" spans="1:9" ht="17.100000000000001" customHeight="1">
      <c r="A1266" s="594">
        <v>6411</v>
      </c>
      <c r="B1266" s="594" t="s">
        <v>2018</v>
      </c>
      <c r="C1266" s="595">
        <v>3250955818.3699999</v>
      </c>
      <c r="D1266" s="596">
        <v>0</v>
      </c>
      <c r="E1266" s="595">
        <v>665211866.59000003</v>
      </c>
      <c r="F1266" s="596">
        <v>0</v>
      </c>
      <c r="G1266" s="595">
        <v>3916167684.96</v>
      </c>
      <c r="H1266" s="596">
        <v>0</v>
      </c>
      <c r="I1266" s="594" t="s">
        <v>2019</v>
      </c>
    </row>
    <row r="1267" spans="1:9" ht="17.100000000000001" customHeight="1">
      <c r="A1267" s="594">
        <v>641101</v>
      </c>
      <c r="B1267" s="594" t="s">
        <v>2020</v>
      </c>
      <c r="C1267" s="595">
        <v>151536241.43000001</v>
      </c>
      <c r="D1267" s="596">
        <v>0</v>
      </c>
      <c r="E1267" s="595">
        <v>30018943.530000001</v>
      </c>
      <c r="F1267" s="596">
        <v>0</v>
      </c>
      <c r="G1267" s="595">
        <v>181555184.96000001</v>
      </c>
      <c r="H1267" s="596">
        <v>0</v>
      </c>
      <c r="I1267" s="594" t="s">
        <v>2021</v>
      </c>
    </row>
    <row r="1268" spans="1:9" ht="17.100000000000001" customHeight="1">
      <c r="A1268" s="594">
        <v>64110101</v>
      </c>
      <c r="B1268" s="594" t="s">
        <v>2020</v>
      </c>
      <c r="C1268" s="595">
        <v>151536241.43000001</v>
      </c>
      <c r="D1268" s="596">
        <v>0</v>
      </c>
      <c r="E1268" s="595">
        <v>30018943.530000001</v>
      </c>
      <c r="F1268" s="596">
        <v>0</v>
      </c>
      <c r="G1268" s="595">
        <v>181555184.96000001</v>
      </c>
      <c r="H1268" s="596">
        <v>0</v>
      </c>
      <c r="I1268" s="594" t="s">
        <v>2022</v>
      </c>
    </row>
    <row r="1269" spans="1:9" ht="17.100000000000001" customHeight="1">
      <c r="A1269" s="594">
        <v>641102</v>
      </c>
      <c r="B1269" s="594" t="s">
        <v>2023</v>
      </c>
      <c r="C1269" s="595">
        <v>1096296871.9100001</v>
      </c>
      <c r="D1269" s="596">
        <v>0</v>
      </c>
      <c r="E1269" s="595">
        <v>214860522.56</v>
      </c>
      <c r="F1269" s="596">
        <v>0</v>
      </c>
      <c r="G1269" s="595">
        <v>1311157394.47</v>
      </c>
      <c r="H1269" s="596">
        <v>0</v>
      </c>
      <c r="I1269" s="594" t="s">
        <v>2024</v>
      </c>
    </row>
    <row r="1270" spans="1:9" ht="17.100000000000001" customHeight="1">
      <c r="A1270" s="320"/>
      <c r="B1270" s="320"/>
      <c r="C1270" s="320"/>
      <c r="D1270" s="557" t="s">
        <v>4198</v>
      </c>
      <c r="E1270" s="320" t="s">
        <v>3775</v>
      </c>
      <c r="F1270" s="320"/>
      <c r="G1270" s="320"/>
      <c r="H1270" s="320"/>
      <c r="I1270" s="320"/>
    </row>
    <row r="1271" spans="1:9" ht="17.100000000000001" customHeight="1">
      <c r="A1271" s="671"/>
      <c r="B1271" s="671"/>
      <c r="C1271" s="671"/>
      <c r="D1271" s="671"/>
      <c r="E1271" s="671"/>
      <c r="F1271" s="671"/>
      <c r="G1271" s="671"/>
      <c r="H1271" s="671"/>
      <c r="I1271" s="671"/>
    </row>
    <row r="1272" spans="1:9" ht="17.100000000000001" customHeight="1">
      <c r="A1272" s="320"/>
      <c r="B1272" s="320"/>
      <c r="C1272" s="589" t="s">
        <v>3707</v>
      </c>
      <c r="D1272" s="320"/>
      <c r="E1272" s="320"/>
      <c r="F1272" s="671"/>
      <c r="G1272" s="671"/>
      <c r="H1272" s="671"/>
      <c r="I1272" s="671"/>
    </row>
    <row r="1273" spans="1:9" ht="17.100000000000001" customHeight="1">
      <c r="A1273" s="590" t="s">
        <v>3708</v>
      </c>
      <c r="B1273" s="590"/>
      <c r="C1273" s="597">
        <v>42887</v>
      </c>
      <c r="D1273" s="590"/>
      <c r="E1273" s="557" t="s">
        <v>3709</v>
      </c>
      <c r="F1273" s="671"/>
      <c r="G1273" s="671"/>
      <c r="H1273" s="671"/>
      <c r="I1273" s="671"/>
    </row>
    <row r="1274" spans="1:9" ht="17.100000000000001" customHeight="1">
      <c r="A1274" s="593" t="s">
        <v>596</v>
      </c>
      <c r="B1274" s="593" t="s">
        <v>597</v>
      </c>
      <c r="C1274" s="593" t="s">
        <v>3710</v>
      </c>
      <c r="D1274" s="593" t="s">
        <v>3711</v>
      </c>
      <c r="E1274" s="593" t="s">
        <v>3712</v>
      </c>
      <c r="F1274" s="593" t="s">
        <v>3713</v>
      </c>
      <c r="G1274" s="593" t="s">
        <v>3714</v>
      </c>
      <c r="H1274" s="593" t="s">
        <v>3715</v>
      </c>
      <c r="I1274" s="593" t="s">
        <v>596</v>
      </c>
    </row>
    <row r="1275" spans="1:9" ht="17.100000000000001" customHeight="1">
      <c r="A1275" s="594">
        <v>64110202</v>
      </c>
      <c r="B1275" s="594" t="s">
        <v>2025</v>
      </c>
      <c r="C1275" s="595">
        <v>10101573.9</v>
      </c>
      <c r="D1275" s="596">
        <v>0</v>
      </c>
      <c r="E1275" s="595">
        <v>2188034.2599999998</v>
      </c>
      <c r="F1275" s="596">
        <v>0</v>
      </c>
      <c r="G1275" s="595">
        <v>12289608.16</v>
      </c>
      <c r="H1275" s="596">
        <v>0</v>
      </c>
      <c r="I1275" s="594" t="s">
        <v>2026</v>
      </c>
    </row>
    <row r="1276" spans="1:9" ht="17.100000000000001" customHeight="1">
      <c r="A1276" s="594">
        <v>64110203</v>
      </c>
      <c r="B1276" s="594" t="s">
        <v>2027</v>
      </c>
      <c r="C1276" s="595">
        <v>15281431.449999999</v>
      </c>
      <c r="D1276" s="596">
        <v>0</v>
      </c>
      <c r="E1276" s="595">
        <v>3841734.38</v>
      </c>
      <c r="F1276" s="596">
        <v>0</v>
      </c>
      <c r="G1276" s="595">
        <v>19123165.829999998</v>
      </c>
      <c r="H1276" s="596">
        <v>0</v>
      </c>
      <c r="I1276" s="594" t="s">
        <v>2028</v>
      </c>
    </row>
    <row r="1277" spans="1:9" ht="28.5" customHeight="1">
      <c r="A1277" s="594">
        <v>64110205</v>
      </c>
      <c r="B1277" s="594" t="s">
        <v>2029</v>
      </c>
      <c r="C1277" s="595">
        <v>172093702.90000001</v>
      </c>
      <c r="D1277" s="596">
        <v>0</v>
      </c>
      <c r="E1277" s="595">
        <v>36454516.039999999</v>
      </c>
      <c r="F1277" s="596">
        <v>0</v>
      </c>
      <c r="G1277" s="595">
        <v>208548218.94</v>
      </c>
      <c r="H1277" s="596">
        <v>0</v>
      </c>
      <c r="I1277" s="594" t="s">
        <v>2030</v>
      </c>
    </row>
    <row r="1278" spans="1:9">
      <c r="A1278" s="594">
        <v>64110206</v>
      </c>
      <c r="B1278" s="594" t="s">
        <v>2031</v>
      </c>
      <c r="C1278" s="595">
        <v>43286014.359999999</v>
      </c>
      <c r="D1278" s="596">
        <v>0</v>
      </c>
      <c r="E1278" s="595">
        <v>7675957.54</v>
      </c>
      <c r="F1278" s="596">
        <v>0</v>
      </c>
      <c r="G1278" s="595">
        <v>50961971.899999999</v>
      </c>
      <c r="H1278" s="596">
        <v>0</v>
      </c>
      <c r="I1278" s="594" t="s">
        <v>2032</v>
      </c>
    </row>
    <row r="1279" spans="1:9">
      <c r="A1279" s="594">
        <v>64110207</v>
      </c>
      <c r="B1279" s="594" t="s">
        <v>2033</v>
      </c>
      <c r="C1279" s="595">
        <v>233234666.21000001</v>
      </c>
      <c r="D1279" s="596">
        <v>0</v>
      </c>
      <c r="E1279" s="595">
        <v>46238589.469999999</v>
      </c>
      <c r="F1279" s="596">
        <v>0</v>
      </c>
      <c r="G1279" s="595">
        <v>279473255.68000001</v>
      </c>
      <c r="H1279" s="596">
        <v>0</v>
      </c>
      <c r="I1279" s="594" t="s">
        <v>2034</v>
      </c>
    </row>
    <row r="1280" spans="1:9">
      <c r="A1280" s="594">
        <v>64110208</v>
      </c>
      <c r="B1280" s="594" t="s">
        <v>2035</v>
      </c>
      <c r="C1280" s="595">
        <v>340522757.80000001</v>
      </c>
      <c r="D1280" s="596">
        <v>0</v>
      </c>
      <c r="E1280" s="595">
        <v>66681521.469999999</v>
      </c>
      <c r="F1280" s="596">
        <v>0</v>
      </c>
      <c r="G1280" s="595">
        <v>407204279.26999998</v>
      </c>
      <c r="H1280" s="596">
        <v>0</v>
      </c>
      <c r="I1280" s="594" t="s">
        <v>2036</v>
      </c>
    </row>
    <row r="1281" spans="1:9" ht="28.5" customHeight="1">
      <c r="A1281" s="594">
        <v>64110209</v>
      </c>
      <c r="B1281" s="594" t="s">
        <v>2037</v>
      </c>
      <c r="C1281" s="595">
        <v>241947504.81999999</v>
      </c>
      <c r="D1281" s="596">
        <v>0</v>
      </c>
      <c r="E1281" s="595">
        <v>43753328.75</v>
      </c>
      <c r="F1281" s="596">
        <v>0</v>
      </c>
      <c r="G1281" s="595">
        <v>285700833.56999999</v>
      </c>
      <c r="H1281" s="596">
        <v>0</v>
      </c>
      <c r="I1281" s="594" t="s">
        <v>2038</v>
      </c>
    </row>
    <row r="1282" spans="1:9" ht="17.100000000000001" customHeight="1">
      <c r="A1282" s="594">
        <v>64110210</v>
      </c>
      <c r="B1282" s="594" t="s">
        <v>2039</v>
      </c>
      <c r="C1282" s="595">
        <v>18363466.66</v>
      </c>
      <c r="D1282" s="596">
        <v>0</v>
      </c>
      <c r="E1282" s="595">
        <v>2559353.1</v>
      </c>
      <c r="F1282" s="596">
        <v>0</v>
      </c>
      <c r="G1282" s="595">
        <v>20922819.760000002</v>
      </c>
      <c r="H1282" s="596">
        <v>0</v>
      </c>
      <c r="I1282" s="594" t="s">
        <v>2040</v>
      </c>
    </row>
    <row r="1283" spans="1:9" ht="17.100000000000001" customHeight="1">
      <c r="A1283" s="594">
        <v>64110211</v>
      </c>
      <c r="B1283" s="594" t="s">
        <v>2703</v>
      </c>
      <c r="C1283" s="595">
        <v>21465753.809999999</v>
      </c>
      <c r="D1283" s="596">
        <v>0</v>
      </c>
      <c r="E1283" s="595">
        <v>5467487.5499999998</v>
      </c>
      <c r="F1283" s="596">
        <v>0</v>
      </c>
      <c r="G1283" s="595">
        <v>26933241.359999999</v>
      </c>
      <c r="H1283" s="596">
        <v>0</v>
      </c>
      <c r="I1283" s="594" t="s">
        <v>2704</v>
      </c>
    </row>
    <row r="1284" spans="1:9" ht="17.100000000000001" customHeight="1">
      <c r="A1284" s="594">
        <v>641103</v>
      </c>
      <c r="B1284" s="594" t="s">
        <v>2041</v>
      </c>
      <c r="C1284" s="595">
        <v>103390474.29000001</v>
      </c>
      <c r="D1284" s="596">
        <v>0</v>
      </c>
      <c r="E1284" s="595">
        <v>20799909.690000001</v>
      </c>
      <c r="F1284" s="596">
        <v>0</v>
      </c>
      <c r="G1284" s="595">
        <v>124190383.98</v>
      </c>
      <c r="H1284" s="596">
        <v>0</v>
      </c>
      <c r="I1284" s="594" t="s">
        <v>2042</v>
      </c>
    </row>
    <row r="1285" spans="1:9" ht="17.100000000000001" customHeight="1">
      <c r="A1285" s="594">
        <v>64110301</v>
      </c>
      <c r="B1285" s="594" t="s">
        <v>2043</v>
      </c>
      <c r="C1285" s="595">
        <v>981117.16</v>
      </c>
      <c r="D1285" s="596">
        <v>0</v>
      </c>
      <c r="E1285" s="595">
        <v>195834.75</v>
      </c>
      <c r="F1285" s="596">
        <v>0</v>
      </c>
      <c r="G1285" s="595">
        <v>1176951.9099999999</v>
      </c>
      <c r="H1285" s="596">
        <v>0</v>
      </c>
      <c r="I1285" s="594" t="s">
        <v>2044</v>
      </c>
    </row>
    <row r="1286" spans="1:9" ht="17.100000000000001" customHeight="1">
      <c r="A1286" s="594">
        <v>64110302</v>
      </c>
      <c r="B1286" s="594" t="s">
        <v>2045</v>
      </c>
      <c r="C1286" s="595">
        <v>102409357.13</v>
      </c>
      <c r="D1286" s="596">
        <v>0</v>
      </c>
      <c r="E1286" s="595">
        <v>20604074.940000001</v>
      </c>
      <c r="F1286" s="596">
        <v>0</v>
      </c>
      <c r="G1286" s="595">
        <v>123013432.06999999</v>
      </c>
      <c r="H1286" s="596">
        <v>0</v>
      </c>
      <c r="I1286" s="594" t="s">
        <v>2046</v>
      </c>
    </row>
    <row r="1287" spans="1:9" ht="17.100000000000001" customHeight="1">
      <c r="A1287" s="594">
        <v>641104</v>
      </c>
      <c r="B1287" s="594" t="s">
        <v>2047</v>
      </c>
      <c r="C1287" s="595">
        <v>1049317564.52</v>
      </c>
      <c r="D1287" s="596">
        <v>0</v>
      </c>
      <c r="E1287" s="595">
        <v>203867736.75</v>
      </c>
      <c r="F1287" s="596">
        <v>0</v>
      </c>
      <c r="G1287" s="595">
        <v>1253185301.27</v>
      </c>
      <c r="H1287" s="596">
        <v>0</v>
      </c>
      <c r="I1287" s="594" t="s">
        <v>2048</v>
      </c>
    </row>
    <row r="1288" spans="1:9" ht="17.100000000000001" customHeight="1">
      <c r="A1288" s="594">
        <v>64110401</v>
      </c>
      <c r="B1288" s="594" t="s">
        <v>2049</v>
      </c>
      <c r="C1288" s="596">
        <v>98.56</v>
      </c>
      <c r="D1288" s="596">
        <v>0</v>
      </c>
      <c r="E1288" s="596">
        <v>15.21</v>
      </c>
      <c r="F1288" s="596">
        <v>0</v>
      </c>
      <c r="G1288" s="596">
        <v>113.77</v>
      </c>
      <c r="H1288" s="596">
        <v>0</v>
      </c>
      <c r="I1288" s="594" t="s">
        <v>2050</v>
      </c>
    </row>
    <row r="1289" spans="1:9" ht="17.100000000000001" customHeight="1">
      <c r="A1289" s="594">
        <v>64110402</v>
      </c>
      <c r="B1289" s="594" t="s">
        <v>2051</v>
      </c>
      <c r="C1289" s="595">
        <v>22004016</v>
      </c>
      <c r="D1289" s="596">
        <v>0</v>
      </c>
      <c r="E1289" s="595">
        <v>4361312.8</v>
      </c>
      <c r="F1289" s="596">
        <v>0</v>
      </c>
      <c r="G1289" s="595">
        <v>26365328.800000001</v>
      </c>
      <c r="H1289" s="596">
        <v>0</v>
      </c>
      <c r="I1289" s="594" t="s">
        <v>2052</v>
      </c>
    </row>
    <row r="1290" spans="1:9" ht="17.100000000000001" customHeight="1">
      <c r="A1290" s="594">
        <v>64110403</v>
      </c>
      <c r="B1290" s="594" t="s">
        <v>2053</v>
      </c>
      <c r="C1290" s="595">
        <v>34538054.600000001</v>
      </c>
      <c r="D1290" s="596">
        <v>0</v>
      </c>
      <c r="E1290" s="595">
        <v>7156596.3099999996</v>
      </c>
      <c r="F1290" s="596">
        <v>0</v>
      </c>
      <c r="G1290" s="595">
        <v>41694650.909999996</v>
      </c>
      <c r="H1290" s="596">
        <v>0</v>
      </c>
      <c r="I1290" s="594" t="s">
        <v>2054</v>
      </c>
    </row>
    <row r="1291" spans="1:9" ht="17.100000000000001" customHeight="1">
      <c r="A1291" s="594">
        <v>64110404</v>
      </c>
      <c r="B1291" s="594" t="s">
        <v>2055</v>
      </c>
      <c r="C1291" s="596">
        <v>6.5</v>
      </c>
      <c r="D1291" s="596">
        <v>0</v>
      </c>
      <c r="E1291" s="596">
        <v>1.3</v>
      </c>
      <c r="F1291" s="596">
        <v>0</v>
      </c>
      <c r="G1291" s="596">
        <v>7.8</v>
      </c>
      <c r="H1291" s="596">
        <v>0</v>
      </c>
      <c r="I1291" s="594" t="s">
        <v>2056</v>
      </c>
    </row>
    <row r="1292" spans="1:9" ht="17.100000000000001" customHeight="1">
      <c r="A1292" s="594">
        <v>64110405</v>
      </c>
      <c r="B1292" s="594" t="s">
        <v>2057</v>
      </c>
      <c r="C1292" s="595">
        <v>418182336.49000001</v>
      </c>
      <c r="D1292" s="596">
        <v>0</v>
      </c>
      <c r="E1292" s="595">
        <v>83029718.75</v>
      </c>
      <c r="F1292" s="596">
        <v>0</v>
      </c>
      <c r="G1292" s="595">
        <v>501212055.24000001</v>
      </c>
      <c r="H1292" s="596">
        <v>0</v>
      </c>
      <c r="I1292" s="594" t="s">
        <v>2058</v>
      </c>
    </row>
    <row r="1293" spans="1:9" ht="17.100000000000001" customHeight="1">
      <c r="A1293" s="594">
        <v>64110406</v>
      </c>
      <c r="B1293" s="594" t="s">
        <v>2059</v>
      </c>
      <c r="C1293" s="595">
        <v>168361222.47999999</v>
      </c>
      <c r="D1293" s="596">
        <v>0</v>
      </c>
      <c r="E1293" s="595">
        <v>30577330.489999998</v>
      </c>
      <c r="F1293" s="596">
        <v>0</v>
      </c>
      <c r="G1293" s="595">
        <v>198938552.97</v>
      </c>
      <c r="H1293" s="596">
        <v>0</v>
      </c>
      <c r="I1293" s="594" t="s">
        <v>2060</v>
      </c>
    </row>
    <row r="1294" spans="1:9" ht="17.100000000000001" customHeight="1">
      <c r="A1294" s="594">
        <v>64110407</v>
      </c>
      <c r="B1294" s="594" t="s">
        <v>2061</v>
      </c>
      <c r="C1294" s="595">
        <v>254478028.40000001</v>
      </c>
      <c r="D1294" s="596">
        <v>0</v>
      </c>
      <c r="E1294" s="595">
        <v>48844360.859999999</v>
      </c>
      <c r="F1294" s="596">
        <v>0</v>
      </c>
      <c r="G1294" s="595">
        <v>303322389.25999999</v>
      </c>
      <c r="H1294" s="596">
        <v>0</v>
      </c>
      <c r="I1294" s="594" t="s">
        <v>2062</v>
      </c>
    </row>
    <row r="1295" spans="1:9" ht="17.100000000000001" customHeight="1">
      <c r="A1295" s="594">
        <v>64110408</v>
      </c>
      <c r="B1295" s="594" t="s">
        <v>2063</v>
      </c>
      <c r="C1295" s="595">
        <v>123086352.22</v>
      </c>
      <c r="D1295" s="596">
        <v>0</v>
      </c>
      <c r="E1295" s="595">
        <v>23540444.789999999</v>
      </c>
      <c r="F1295" s="596">
        <v>0</v>
      </c>
      <c r="G1295" s="595">
        <v>146626797.00999999</v>
      </c>
      <c r="H1295" s="596">
        <v>0</v>
      </c>
      <c r="I1295" s="594" t="s">
        <v>2064</v>
      </c>
    </row>
    <row r="1296" spans="1:9" ht="17.100000000000001" customHeight="1">
      <c r="A1296" s="594">
        <v>64110409</v>
      </c>
      <c r="B1296" s="594" t="s">
        <v>2065</v>
      </c>
      <c r="C1296" s="596">
        <v>166.02</v>
      </c>
      <c r="D1296" s="596">
        <v>0</v>
      </c>
      <c r="E1296" s="596">
        <v>32.92</v>
      </c>
      <c r="F1296" s="596">
        <v>0</v>
      </c>
      <c r="G1296" s="596">
        <v>198.94</v>
      </c>
      <c r="H1296" s="596">
        <v>0</v>
      </c>
      <c r="I1296" s="594" t="s">
        <v>2066</v>
      </c>
    </row>
    <row r="1297" spans="1:9" ht="17.100000000000001" customHeight="1">
      <c r="A1297" s="594">
        <v>64110410</v>
      </c>
      <c r="B1297" s="594" t="s">
        <v>2067</v>
      </c>
      <c r="C1297" s="595">
        <v>4591.3500000000004</v>
      </c>
      <c r="D1297" s="596">
        <v>0</v>
      </c>
      <c r="E1297" s="595">
        <v>1061.06</v>
      </c>
      <c r="F1297" s="596">
        <v>0</v>
      </c>
      <c r="G1297" s="595">
        <v>5652.41</v>
      </c>
      <c r="H1297" s="596">
        <v>0</v>
      </c>
      <c r="I1297" s="594" t="s">
        <v>2068</v>
      </c>
    </row>
    <row r="1298" spans="1:9" ht="17.100000000000001" customHeight="1">
      <c r="A1298" s="594">
        <v>64110411</v>
      </c>
      <c r="B1298" s="594" t="s">
        <v>2069</v>
      </c>
      <c r="C1298" s="595">
        <v>2906.31</v>
      </c>
      <c r="D1298" s="596">
        <v>0</v>
      </c>
      <c r="E1298" s="596">
        <v>434.25</v>
      </c>
      <c r="F1298" s="596">
        <v>0</v>
      </c>
      <c r="G1298" s="595">
        <v>3340.56</v>
      </c>
      <c r="H1298" s="596">
        <v>0</v>
      </c>
      <c r="I1298" s="594" t="s">
        <v>2070</v>
      </c>
    </row>
    <row r="1299" spans="1:9" ht="17.100000000000001" customHeight="1">
      <c r="A1299" s="594">
        <v>64110412</v>
      </c>
      <c r="B1299" s="594" t="s">
        <v>2071</v>
      </c>
      <c r="C1299" s="595">
        <v>1197.1500000000001</v>
      </c>
      <c r="D1299" s="596">
        <v>0</v>
      </c>
      <c r="E1299" s="596">
        <v>422</v>
      </c>
      <c r="F1299" s="596">
        <v>0</v>
      </c>
      <c r="G1299" s="595">
        <v>1619.15</v>
      </c>
      <c r="H1299" s="596">
        <v>0</v>
      </c>
      <c r="I1299" s="594" t="s">
        <v>2072</v>
      </c>
    </row>
    <row r="1300" spans="1:9" ht="17.100000000000001" customHeight="1">
      <c r="A1300" s="594">
        <v>64110414</v>
      </c>
      <c r="B1300" s="594" t="s">
        <v>2073</v>
      </c>
      <c r="C1300" s="595">
        <v>1614.6</v>
      </c>
      <c r="D1300" s="596">
        <v>0</v>
      </c>
      <c r="E1300" s="596">
        <v>320.49</v>
      </c>
      <c r="F1300" s="596">
        <v>0</v>
      </c>
      <c r="G1300" s="595">
        <v>1935.09</v>
      </c>
      <c r="H1300" s="596">
        <v>0</v>
      </c>
      <c r="I1300" s="594" t="s">
        <v>2074</v>
      </c>
    </row>
    <row r="1301" spans="1:9" ht="17.100000000000001" customHeight="1">
      <c r="A1301" s="594">
        <v>64110422</v>
      </c>
      <c r="B1301" s="594" t="s">
        <v>2039</v>
      </c>
      <c r="C1301" s="595">
        <v>8452164.8599999994</v>
      </c>
      <c r="D1301" s="596">
        <v>0</v>
      </c>
      <c r="E1301" s="595">
        <v>1613057.14</v>
      </c>
      <c r="F1301" s="596">
        <v>0</v>
      </c>
      <c r="G1301" s="595">
        <v>10065222</v>
      </c>
      <c r="H1301" s="596">
        <v>0</v>
      </c>
      <c r="I1301" s="594" t="s">
        <v>2075</v>
      </c>
    </row>
    <row r="1302" spans="1:9" ht="17.100000000000001" customHeight="1">
      <c r="A1302" s="594">
        <v>64110423</v>
      </c>
      <c r="B1302" s="594" t="s">
        <v>2076</v>
      </c>
      <c r="C1302" s="596">
        <v>303.52999999999997</v>
      </c>
      <c r="D1302" s="596">
        <v>0</v>
      </c>
      <c r="E1302" s="596">
        <v>42.46</v>
      </c>
      <c r="F1302" s="596">
        <v>0</v>
      </c>
      <c r="G1302" s="596">
        <v>345.99</v>
      </c>
      <c r="H1302" s="596">
        <v>0</v>
      </c>
      <c r="I1302" s="594" t="s">
        <v>2077</v>
      </c>
    </row>
    <row r="1303" spans="1:9" ht="17.100000000000001" customHeight="1">
      <c r="A1303" s="594">
        <v>64110424</v>
      </c>
      <c r="B1303" s="594" t="s">
        <v>2705</v>
      </c>
      <c r="C1303" s="595">
        <v>20204184.18</v>
      </c>
      <c r="D1303" s="596">
        <v>0</v>
      </c>
      <c r="E1303" s="595">
        <v>4730454.72</v>
      </c>
      <c r="F1303" s="596">
        <v>0</v>
      </c>
      <c r="G1303" s="595">
        <v>24934638.899999999</v>
      </c>
      <c r="H1303" s="596">
        <v>0</v>
      </c>
      <c r="I1303" s="594" t="s">
        <v>2706</v>
      </c>
    </row>
    <row r="1304" spans="1:9" ht="17.100000000000001" customHeight="1">
      <c r="A1304" s="594">
        <v>64110499</v>
      </c>
      <c r="B1304" s="594" t="s">
        <v>4281</v>
      </c>
      <c r="C1304" s="596">
        <v>321.27</v>
      </c>
      <c r="D1304" s="596">
        <v>0</v>
      </c>
      <c r="E1304" s="595">
        <v>12131.2</v>
      </c>
      <c r="F1304" s="596">
        <v>0</v>
      </c>
      <c r="G1304" s="595">
        <v>12452.47</v>
      </c>
      <c r="H1304" s="596">
        <v>0</v>
      </c>
      <c r="I1304" s="594" t="s">
        <v>4282</v>
      </c>
    </row>
    <row r="1305" spans="1:9" ht="17.100000000000001" customHeight="1">
      <c r="A1305" s="594">
        <v>641106</v>
      </c>
      <c r="B1305" s="594" t="s">
        <v>2078</v>
      </c>
      <c r="C1305" s="595">
        <v>997804.45</v>
      </c>
      <c r="D1305" s="596">
        <v>0</v>
      </c>
      <c r="E1305" s="595">
        <v>293323.39</v>
      </c>
      <c r="F1305" s="596">
        <v>0</v>
      </c>
      <c r="G1305" s="595">
        <v>1291127.8400000001</v>
      </c>
      <c r="H1305" s="596">
        <v>0</v>
      </c>
      <c r="I1305" s="594" t="s">
        <v>2079</v>
      </c>
    </row>
    <row r="1306" spans="1:9" ht="17.100000000000001" customHeight="1">
      <c r="A1306" s="594">
        <v>64110601</v>
      </c>
      <c r="B1306" s="594" t="s">
        <v>2078</v>
      </c>
      <c r="C1306" s="595">
        <v>997804.45</v>
      </c>
      <c r="D1306" s="596">
        <v>0</v>
      </c>
      <c r="E1306" s="595">
        <v>293323.39</v>
      </c>
      <c r="F1306" s="596">
        <v>0</v>
      </c>
      <c r="G1306" s="595">
        <v>1291127.8400000001</v>
      </c>
      <c r="H1306" s="596">
        <v>0</v>
      </c>
      <c r="I1306" s="594" t="s">
        <v>2080</v>
      </c>
    </row>
    <row r="1307" spans="1:9" ht="17.100000000000001" customHeight="1">
      <c r="A1307" s="594">
        <v>641107</v>
      </c>
      <c r="B1307" s="594" t="s">
        <v>531</v>
      </c>
      <c r="C1307" s="595">
        <v>55035035.340000004</v>
      </c>
      <c r="D1307" s="596">
        <v>0</v>
      </c>
      <c r="E1307" s="595">
        <v>11511203.65</v>
      </c>
      <c r="F1307" s="596">
        <v>0</v>
      </c>
      <c r="G1307" s="595">
        <v>66546238.990000002</v>
      </c>
      <c r="H1307" s="596">
        <v>0</v>
      </c>
      <c r="I1307" s="594" t="s">
        <v>2081</v>
      </c>
    </row>
    <row r="1308" spans="1:9" ht="17.100000000000001" customHeight="1">
      <c r="A1308" s="594">
        <v>64110701</v>
      </c>
      <c r="B1308" s="594" t="s">
        <v>532</v>
      </c>
      <c r="C1308" s="595">
        <v>563709.1</v>
      </c>
      <c r="D1308" s="596">
        <v>0</v>
      </c>
      <c r="E1308" s="595">
        <v>162577.62</v>
      </c>
      <c r="F1308" s="596">
        <v>0</v>
      </c>
      <c r="G1308" s="595">
        <v>726286.72</v>
      </c>
      <c r="H1308" s="596">
        <v>0</v>
      </c>
      <c r="I1308" s="594" t="s">
        <v>2082</v>
      </c>
    </row>
    <row r="1309" spans="1:9" ht="17.100000000000001" customHeight="1">
      <c r="A1309" s="320"/>
      <c r="B1309" s="320"/>
      <c r="C1309" s="320"/>
      <c r="D1309" s="557" t="s">
        <v>4198</v>
      </c>
      <c r="E1309" s="320" t="s">
        <v>3778</v>
      </c>
      <c r="F1309" s="320"/>
      <c r="G1309" s="320"/>
      <c r="H1309" s="320"/>
      <c r="I1309" s="320"/>
    </row>
    <row r="1310" spans="1:9" ht="17.100000000000001" customHeight="1">
      <c r="A1310" s="671"/>
      <c r="B1310" s="671"/>
      <c r="C1310" s="671"/>
      <c r="D1310" s="671"/>
      <c r="E1310" s="671"/>
      <c r="F1310" s="671"/>
      <c r="G1310" s="671"/>
      <c r="H1310" s="671"/>
      <c r="I1310" s="671"/>
    </row>
    <row r="1311" spans="1:9" ht="17.100000000000001" customHeight="1">
      <c r="A1311" s="320"/>
      <c r="B1311" s="320"/>
      <c r="C1311" s="589" t="s">
        <v>3707</v>
      </c>
      <c r="D1311" s="320"/>
      <c r="E1311" s="320"/>
      <c r="F1311" s="671"/>
      <c r="G1311" s="671"/>
      <c r="H1311" s="671"/>
      <c r="I1311" s="671"/>
    </row>
    <row r="1312" spans="1:9" ht="17.100000000000001" customHeight="1">
      <c r="A1312" s="590" t="s">
        <v>3708</v>
      </c>
      <c r="B1312" s="590"/>
      <c r="C1312" s="597">
        <v>42887</v>
      </c>
      <c r="D1312" s="590"/>
      <c r="E1312" s="557" t="s">
        <v>3709</v>
      </c>
      <c r="F1312" s="671"/>
      <c r="G1312" s="671"/>
      <c r="H1312" s="671"/>
      <c r="I1312" s="671"/>
    </row>
    <row r="1313" spans="1:9" ht="17.100000000000001" customHeight="1">
      <c r="A1313" s="593" t="s">
        <v>596</v>
      </c>
      <c r="B1313" s="593" t="s">
        <v>597</v>
      </c>
      <c r="C1313" s="593" t="s">
        <v>3710</v>
      </c>
      <c r="D1313" s="593" t="s">
        <v>3711</v>
      </c>
      <c r="E1313" s="593" t="s">
        <v>3712</v>
      </c>
      <c r="F1313" s="593" t="s">
        <v>3713</v>
      </c>
      <c r="G1313" s="593" t="s">
        <v>3714</v>
      </c>
      <c r="H1313" s="593" t="s">
        <v>3715</v>
      </c>
      <c r="I1313" s="593" t="s">
        <v>596</v>
      </c>
    </row>
    <row r="1314" spans="1:9" ht="17.100000000000001" customHeight="1">
      <c r="A1314" s="594">
        <v>64110702</v>
      </c>
      <c r="B1314" s="594" t="s">
        <v>533</v>
      </c>
      <c r="C1314" s="595">
        <v>912101.05</v>
      </c>
      <c r="D1314" s="596">
        <v>0</v>
      </c>
      <c r="E1314" s="595">
        <v>191961.85</v>
      </c>
      <c r="F1314" s="596">
        <v>0</v>
      </c>
      <c r="G1314" s="595">
        <v>1104062.8999999999</v>
      </c>
      <c r="H1314" s="596">
        <v>0</v>
      </c>
      <c r="I1314" s="594" t="s">
        <v>2083</v>
      </c>
    </row>
    <row r="1315" spans="1:9" ht="17.100000000000001" customHeight="1">
      <c r="A1315" s="594">
        <v>64110703</v>
      </c>
      <c r="B1315" s="594" t="s">
        <v>534</v>
      </c>
      <c r="C1315" s="595">
        <v>5364364.2300000004</v>
      </c>
      <c r="D1315" s="596">
        <v>0</v>
      </c>
      <c r="E1315" s="595">
        <v>897336.86</v>
      </c>
      <c r="F1315" s="596">
        <v>0</v>
      </c>
      <c r="G1315" s="595">
        <v>6261701.0899999999</v>
      </c>
      <c r="H1315" s="596">
        <v>0</v>
      </c>
      <c r="I1315" s="594" t="s">
        <v>2084</v>
      </c>
    </row>
    <row r="1316" spans="1:9" ht="28.5" customHeight="1">
      <c r="A1316" s="594">
        <v>64110704</v>
      </c>
      <c r="B1316" s="594" t="s">
        <v>535</v>
      </c>
      <c r="C1316" s="595">
        <v>5535007.04</v>
      </c>
      <c r="D1316" s="596">
        <v>0</v>
      </c>
      <c r="E1316" s="595">
        <v>974799.26</v>
      </c>
      <c r="F1316" s="596">
        <v>0</v>
      </c>
      <c r="G1316" s="595">
        <v>6509806.2999999998</v>
      </c>
      <c r="H1316" s="596">
        <v>0</v>
      </c>
      <c r="I1316" s="594" t="s">
        <v>2085</v>
      </c>
    </row>
    <row r="1317" spans="1:9">
      <c r="A1317" s="594">
        <v>64110709</v>
      </c>
      <c r="B1317" s="594" t="s">
        <v>540</v>
      </c>
      <c r="C1317" s="595">
        <v>719459.39</v>
      </c>
      <c r="D1317" s="596">
        <v>0</v>
      </c>
      <c r="E1317" s="595">
        <v>169972.62</v>
      </c>
      <c r="F1317" s="596">
        <v>0</v>
      </c>
      <c r="G1317" s="595">
        <v>889432.01</v>
      </c>
      <c r="H1317" s="596">
        <v>0</v>
      </c>
      <c r="I1317" s="594" t="s">
        <v>2086</v>
      </c>
    </row>
    <row r="1318" spans="1:9">
      <c r="A1318" s="594">
        <v>64110710</v>
      </c>
      <c r="B1318" s="594" t="s">
        <v>541</v>
      </c>
      <c r="C1318" s="595">
        <v>570896.02</v>
      </c>
      <c r="D1318" s="596">
        <v>0</v>
      </c>
      <c r="E1318" s="595">
        <v>42132.58</v>
      </c>
      <c r="F1318" s="596">
        <v>0</v>
      </c>
      <c r="G1318" s="595">
        <v>613028.6</v>
      </c>
      <c r="H1318" s="596">
        <v>0</v>
      </c>
      <c r="I1318" s="594" t="s">
        <v>2087</v>
      </c>
    </row>
    <row r="1319" spans="1:9">
      <c r="A1319" s="594">
        <v>64110711</v>
      </c>
      <c r="B1319" s="594" t="s">
        <v>542</v>
      </c>
      <c r="C1319" s="595">
        <v>2270400.08</v>
      </c>
      <c r="D1319" s="596">
        <v>0</v>
      </c>
      <c r="E1319" s="595">
        <v>1417334.83</v>
      </c>
      <c r="F1319" s="596">
        <v>0</v>
      </c>
      <c r="G1319" s="595">
        <v>3687734.91</v>
      </c>
      <c r="H1319" s="596">
        <v>0</v>
      </c>
      <c r="I1319" s="594" t="s">
        <v>2088</v>
      </c>
    </row>
    <row r="1320" spans="1:9" ht="28.5" customHeight="1">
      <c r="A1320" s="594">
        <v>64110712</v>
      </c>
      <c r="B1320" s="594" t="s">
        <v>543</v>
      </c>
      <c r="C1320" s="595">
        <v>18697058.949999999</v>
      </c>
      <c r="D1320" s="596">
        <v>0</v>
      </c>
      <c r="E1320" s="595">
        <v>3516371.6</v>
      </c>
      <c r="F1320" s="596">
        <v>0</v>
      </c>
      <c r="G1320" s="595">
        <v>22213430.550000001</v>
      </c>
      <c r="H1320" s="596">
        <v>0</v>
      </c>
      <c r="I1320" s="594" t="s">
        <v>2089</v>
      </c>
    </row>
    <row r="1321" spans="1:9" ht="17.100000000000001" customHeight="1">
      <c r="A1321" s="594">
        <v>64110713</v>
      </c>
      <c r="B1321" s="594" t="s">
        <v>544</v>
      </c>
      <c r="C1321" s="595">
        <v>40113.279999999999</v>
      </c>
      <c r="D1321" s="596">
        <v>0</v>
      </c>
      <c r="E1321" s="595">
        <v>3273.33</v>
      </c>
      <c r="F1321" s="596">
        <v>0</v>
      </c>
      <c r="G1321" s="595">
        <v>43386.61</v>
      </c>
      <c r="H1321" s="596">
        <v>0</v>
      </c>
      <c r="I1321" s="594" t="s">
        <v>2090</v>
      </c>
    </row>
    <row r="1322" spans="1:9" ht="17.100000000000001" customHeight="1">
      <c r="A1322" s="594">
        <v>64110714</v>
      </c>
      <c r="B1322" s="594" t="s">
        <v>545</v>
      </c>
      <c r="C1322" s="595">
        <v>141638.75</v>
      </c>
      <c r="D1322" s="596">
        <v>0</v>
      </c>
      <c r="E1322" s="595">
        <v>7987.17</v>
      </c>
      <c r="F1322" s="596">
        <v>0</v>
      </c>
      <c r="G1322" s="595">
        <v>149625.92000000001</v>
      </c>
      <c r="H1322" s="596">
        <v>0</v>
      </c>
      <c r="I1322" s="594" t="s">
        <v>2091</v>
      </c>
    </row>
    <row r="1323" spans="1:9" ht="17.100000000000001" customHeight="1">
      <c r="A1323" s="594">
        <v>64110715</v>
      </c>
      <c r="B1323" s="594" t="s">
        <v>546</v>
      </c>
      <c r="C1323" s="595">
        <v>319588.61</v>
      </c>
      <c r="D1323" s="596">
        <v>0</v>
      </c>
      <c r="E1323" s="595">
        <v>90440.31</v>
      </c>
      <c r="F1323" s="596">
        <v>0</v>
      </c>
      <c r="G1323" s="595">
        <v>410028.92</v>
      </c>
      <c r="H1323" s="596">
        <v>0</v>
      </c>
      <c r="I1323" s="594" t="s">
        <v>2092</v>
      </c>
    </row>
    <row r="1324" spans="1:9" ht="17.100000000000001" customHeight="1">
      <c r="A1324" s="594">
        <v>64110716</v>
      </c>
      <c r="B1324" s="594" t="s">
        <v>547</v>
      </c>
      <c r="C1324" s="595">
        <v>700093.79</v>
      </c>
      <c r="D1324" s="596">
        <v>0</v>
      </c>
      <c r="E1324" s="595">
        <v>92307.62</v>
      </c>
      <c r="F1324" s="596">
        <v>0</v>
      </c>
      <c r="G1324" s="595">
        <v>792401.41</v>
      </c>
      <c r="H1324" s="596">
        <v>0</v>
      </c>
      <c r="I1324" s="594" t="s">
        <v>2093</v>
      </c>
    </row>
    <row r="1325" spans="1:9" ht="17.100000000000001" customHeight="1">
      <c r="A1325" s="594">
        <v>64110717</v>
      </c>
      <c r="B1325" s="594" t="s">
        <v>548</v>
      </c>
      <c r="C1325" s="595">
        <v>20923.060000000001</v>
      </c>
      <c r="D1325" s="596">
        <v>0</v>
      </c>
      <c r="E1325" s="595">
        <v>6577.95</v>
      </c>
      <c r="F1325" s="596">
        <v>0</v>
      </c>
      <c r="G1325" s="595">
        <v>27501.01</v>
      </c>
      <c r="H1325" s="596">
        <v>0</v>
      </c>
      <c r="I1325" s="594" t="s">
        <v>2094</v>
      </c>
    </row>
    <row r="1326" spans="1:9" ht="17.100000000000001" customHeight="1">
      <c r="A1326" s="594">
        <v>64110718</v>
      </c>
      <c r="B1326" s="594" t="s">
        <v>549</v>
      </c>
      <c r="C1326" s="595">
        <v>68323.64</v>
      </c>
      <c r="D1326" s="596">
        <v>0</v>
      </c>
      <c r="E1326" s="596">
        <v>32.56</v>
      </c>
      <c r="F1326" s="596">
        <v>0</v>
      </c>
      <c r="G1326" s="595">
        <v>68356.2</v>
      </c>
      <c r="H1326" s="596">
        <v>0</v>
      </c>
      <c r="I1326" s="594" t="s">
        <v>2095</v>
      </c>
    </row>
    <row r="1327" spans="1:9" ht="17.100000000000001" customHeight="1">
      <c r="A1327" s="594">
        <v>64110719</v>
      </c>
      <c r="B1327" s="594" t="s">
        <v>550</v>
      </c>
      <c r="C1327" s="595">
        <v>254248.03</v>
      </c>
      <c r="D1327" s="596">
        <v>0</v>
      </c>
      <c r="E1327" s="595">
        <v>7226.13</v>
      </c>
      <c r="F1327" s="596">
        <v>0</v>
      </c>
      <c r="G1327" s="595">
        <v>261474.16</v>
      </c>
      <c r="H1327" s="596">
        <v>0</v>
      </c>
      <c r="I1327" s="594" t="s">
        <v>2096</v>
      </c>
    </row>
    <row r="1328" spans="1:9" ht="17.100000000000001" customHeight="1">
      <c r="A1328" s="594">
        <v>64110720</v>
      </c>
      <c r="B1328" s="594" t="s">
        <v>551</v>
      </c>
      <c r="C1328" s="595">
        <v>7033761.4400000004</v>
      </c>
      <c r="D1328" s="596">
        <v>0</v>
      </c>
      <c r="E1328" s="595">
        <v>1514375.23</v>
      </c>
      <c r="F1328" s="596">
        <v>0</v>
      </c>
      <c r="G1328" s="595">
        <v>8548136.6699999999</v>
      </c>
      <c r="H1328" s="596">
        <v>0</v>
      </c>
      <c r="I1328" s="594" t="s">
        <v>2097</v>
      </c>
    </row>
    <row r="1329" spans="1:9" ht="17.100000000000001" customHeight="1">
      <c r="A1329" s="594">
        <v>64110725</v>
      </c>
      <c r="B1329" s="594" t="s">
        <v>556</v>
      </c>
      <c r="C1329" s="595">
        <v>41947.74</v>
      </c>
      <c r="D1329" s="596">
        <v>0</v>
      </c>
      <c r="E1329" s="595">
        <v>10754.74</v>
      </c>
      <c r="F1329" s="596">
        <v>0</v>
      </c>
      <c r="G1329" s="595">
        <v>52702.48</v>
      </c>
      <c r="H1329" s="596">
        <v>0</v>
      </c>
      <c r="I1329" s="594" t="s">
        <v>2098</v>
      </c>
    </row>
    <row r="1330" spans="1:9" ht="17.100000000000001" customHeight="1">
      <c r="A1330" s="594">
        <v>64110726</v>
      </c>
      <c r="B1330" s="594" t="s">
        <v>557</v>
      </c>
      <c r="C1330" s="596">
        <v>174.72</v>
      </c>
      <c r="D1330" s="596">
        <v>0</v>
      </c>
      <c r="E1330" s="596">
        <v>155.93</v>
      </c>
      <c r="F1330" s="596">
        <v>0</v>
      </c>
      <c r="G1330" s="596">
        <v>330.65</v>
      </c>
      <c r="H1330" s="596">
        <v>0</v>
      </c>
      <c r="I1330" s="594" t="s">
        <v>2099</v>
      </c>
    </row>
    <row r="1331" spans="1:9" ht="17.100000000000001" customHeight="1">
      <c r="A1331" s="594">
        <v>64110727</v>
      </c>
      <c r="B1331" s="594" t="s">
        <v>558</v>
      </c>
      <c r="C1331" s="595">
        <v>58398.32</v>
      </c>
      <c r="D1331" s="596">
        <v>0</v>
      </c>
      <c r="E1331" s="595">
        <v>11223.45</v>
      </c>
      <c r="F1331" s="596">
        <v>0</v>
      </c>
      <c r="G1331" s="595">
        <v>69621.77</v>
      </c>
      <c r="H1331" s="596">
        <v>0</v>
      </c>
      <c r="I1331" s="594" t="s">
        <v>2100</v>
      </c>
    </row>
    <row r="1332" spans="1:9" ht="17.100000000000001" customHeight="1">
      <c r="A1332" s="594">
        <v>64110728</v>
      </c>
      <c r="B1332" s="594" t="s">
        <v>559</v>
      </c>
      <c r="C1332" s="595">
        <v>14131.67</v>
      </c>
      <c r="D1332" s="596">
        <v>0</v>
      </c>
      <c r="E1332" s="595">
        <v>6263.19</v>
      </c>
      <c r="F1332" s="596">
        <v>0</v>
      </c>
      <c r="G1332" s="595">
        <v>20394.86</v>
      </c>
      <c r="H1332" s="596">
        <v>0</v>
      </c>
      <c r="I1332" s="594" t="s">
        <v>2101</v>
      </c>
    </row>
    <row r="1333" spans="1:9" ht="17.100000000000001" customHeight="1">
      <c r="A1333" s="594">
        <v>64110733</v>
      </c>
      <c r="B1333" s="594" t="s">
        <v>564</v>
      </c>
      <c r="C1333" s="595">
        <v>34704.449999999997</v>
      </c>
      <c r="D1333" s="596">
        <v>0</v>
      </c>
      <c r="E1333" s="595">
        <v>7826.39</v>
      </c>
      <c r="F1333" s="596">
        <v>0</v>
      </c>
      <c r="G1333" s="595">
        <v>42530.84</v>
      </c>
      <c r="H1333" s="596">
        <v>0</v>
      </c>
      <c r="I1333" s="594" t="s">
        <v>2102</v>
      </c>
    </row>
    <row r="1334" spans="1:9" ht="17.100000000000001" customHeight="1">
      <c r="A1334" s="594">
        <v>64110737</v>
      </c>
      <c r="B1334" s="594" t="s">
        <v>568</v>
      </c>
      <c r="C1334" s="596">
        <v>2.56</v>
      </c>
      <c r="D1334" s="596">
        <v>0</v>
      </c>
      <c r="E1334" s="596">
        <v>0.51</v>
      </c>
      <c r="F1334" s="596">
        <v>0</v>
      </c>
      <c r="G1334" s="596">
        <v>3.07</v>
      </c>
      <c r="H1334" s="596">
        <v>0</v>
      </c>
      <c r="I1334" s="594" t="s">
        <v>2611</v>
      </c>
    </row>
    <row r="1335" spans="1:9" ht="17.100000000000001" customHeight="1">
      <c r="A1335" s="594">
        <v>64110739</v>
      </c>
      <c r="B1335" s="594" t="s">
        <v>570</v>
      </c>
      <c r="C1335" s="595">
        <v>1936.73</v>
      </c>
      <c r="D1335" s="596">
        <v>0</v>
      </c>
      <c r="E1335" s="596">
        <v>0</v>
      </c>
      <c r="F1335" s="596">
        <v>0</v>
      </c>
      <c r="G1335" s="595">
        <v>1936.73</v>
      </c>
      <c r="H1335" s="596">
        <v>0</v>
      </c>
      <c r="I1335" s="594" t="s">
        <v>2853</v>
      </c>
    </row>
    <row r="1336" spans="1:9" ht="17.100000000000001" customHeight="1">
      <c r="A1336" s="594">
        <v>64110741</v>
      </c>
      <c r="B1336" s="594" t="s">
        <v>572</v>
      </c>
      <c r="C1336" s="596">
        <v>6.2</v>
      </c>
      <c r="D1336" s="596">
        <v>0</v>
      </c>
      <c r="E1336" s="596">
        <v>1.24</v>
      </c>
      <c r="F1336" s="596">
        <v>0</v>
      </c>
      <c r="G1336" s="596">
        <v>7.44</v>
      </c>
      <c r="H1336" s="596">
        <v>0</v>
      </c>
      <c r="I1336" s="594" t="s">
        <v>2103</v>
      </c>
    </row>
    <row r="1337" spans="1:9" ht="17.100000000000001" customHeight="1">
      <c r="A1337" s="594">
        <v>64110749</v>
      </c>
      <c r="B1337" s="594" t="s">
        <v>580</v>
      </c>
      <c r="C1337" s="596">
        <v>1.53</v>
      </c>
      <c r="D1337" s="596">
        <v>0</v>
      </c>
      <c r="E1337" s="596">
        <v>0.3</v>
      </c>
      <c r="F1337" s="596">
        <v>0</v>
      </c>
      <c r="G1337" s="596">
        <v>1.83</v>
      </c>
      <c r="H1337" s="596">
        <v>0</v>
      </c>
      <c r="I1337" s="594" t="s">
        <v>2104</v>
      </c>
    </row>
    <row r="1338" spans="1:9" ht="17.100000000000001" customHeight="1">
      <c r="A1338" s="594">
        <v>64110757</v>
      </c>
      <c r="B1338" s="594" t="s">
        <v>588</v>
      </c>
      <c r="C1338" s="595">
        <v>175619.88</v>
      </c>
      <c r="D1338" s="596">
        <v>0</v>
      </c>
      <c r="E1338" s="595">
        <v>21747.77</v>
      </c>
      <c r="F1338" s="596">
        <v>0</v>
      </c>
      <c r="G1338" s="595">
        <v>197367.65</v>
      </c>
      <c r="H1338" s="596">
        <v>0</v>
      </c>
      <c r="I1338" s="594" t="s">
        <v>2105</v>
      </c>
    </row>
    <row r="1339" spans="1:9" ht="17.100000000000001" customHeight="1">
      <c r="A1339" s="594">
        <v>64110758</v>
      </c>
      <c r="B1339" s="594" t="s">
        <v>589</v>
      </c>
      <c r="C1339" s="595">
        <v>1593.25</v>
      </c>
      <c r="D1339" s="596">
        <v>0</v>
      </c>
      <c r="E1339" s="596">
        <v>5.67</v>
      </c>
      <c r="F1339" s="596">
        <v>0</v>
      </c>
      <c r="G1339" s="595">
        <v>1598.92</v>
      </c>
      <c r="H1339" s="596">
        <v>0</v>
      </c>
      <c r="I1339" s="594" t="s">
        <v>2106</v>
      </c>
    </row>
    <row r="1340" spans="1:9" ht="17.100000000000001" customHeight="1">
      <c r="A1340" s="594">
        <v>64110759</v>
      </c>
      <c r="B1340" s="594" t="s">
        <v>590</v>
      </c>
      <c r="C1340" s="595">
        <v>58846.35</v>
      </c>
      <c r="D1340" s="596">
        <v>0</v>
      </c>
      <c r="E1340" s="595">
        <v>21456.97</v>
      </c>
      <c r="F1340" s="596">
        <v>0</v>
      </c>
      <c r="G1340" s="595">
        <v>80303.320000000007</v>
      </c>
      <c r="H1340" s="596">
        <v>0</v>
      </c>
      <c r="I1340" s="594" t="s">
        <v>2107</v>
      </c>
    </row>
    <row r="1341" spans="1:9" ht="17.100000000000001" customHeight="1">
      <c r="A1341" s="594">
        <v>64110760</v>
      </c>
      <c r="B1341" s="594" t="s">
        <v>591</v>
      </c>
      <c r="C1341" s="595">
        <v>1690700.06</v>
      </c>
      <c r="D1341" s="596">
        <v>0</v>
      </c>
      <c r="E1341" s="595">
        <v>346566.74</v>
      </c>
      <c r="F1341" s="596">
        <v>0</v>
      </c>
      <c r="G1341" s="595">
        <v>2037266.8</v>
      </c>
      <c r="H1341" s="596">
        <v>0</v>
      </c>
      <c r="I1341" s="594" t="s">
        <v>2108</v>
      </c>
    </row>
    <row r="1342" spans="1:9" ht="17.100000000000001" customHeight="1">
      <c r="A1342" s="594">
        <v>64110761</v>
      </c>
      <c r="B1342" s="594" t="s">
        <v>592</v>
      </c>
      <c r="C1342" s="595">
        <v>9298.7099999999991</v>
      </c>
      <c r="D1342" s="596">
        <v>0</v>
      </c>
      <c r="E1342" s="595">
        <v>1250.03</v>
      </c>
      <c r="F1342" s="596">
        <v>0</v>
      </c>
      <c r="G1342" s="595">
        <v>10548.74</v>
      </c>
      <c r="H1342" s="596">
        <v>0</v>
      </c>
      <c r="I1342" s="594" t="s">
        <v>2109</v>
      </c>
    </row>
    <row r="1343" spans="1:9" ht="17.100000000000001" customHeight="1">
      <c r="A1343" s="594">
        <v>64110762</v>
      </c>
      <c r="B1343" s="594" t="s">
        <v>593</v>
      </c>
      <c r="C1343" s="595">
        <v>5782.13</v>
      </c>
      <c r="D1343" s="596">
        <v>0</v>
      </c>
      <c r="E1343" s="596">
        <v>14.79</v>
      </c>
      <c r="F1343" s="596">
        <v>0</v>
      </c>
      <c r="G1343" s="595">
        <v>5796.92</v>
      </c>
      <c r="H1343" s="596">
        <v>0</v>
      </c>
      <c r="I1343" s="594" t="s">
        <v>2110</v>
      </c>
    </row>
    <row r="1344" spans="1:9" ht="17.100000000000001" customHeight="1">
      <c r="A1344" s="594">
        <v>64110763</v>
      </c>
      <c r="B1344" s="594" t="s">
        <v>594</v>
      </c>
      <c r="C1344" s="595">
        <v>123491.87</v>
      </c>
      <c r="D1344" s="596">
        <v>0</v>
      </c>
      <c r="E1344" s="595">
        <v>21284.11</v>
      </c>
      <c r="F1344" s="596">
        <v>0</v>
      </c>
      <c r="G1344" s="595">
        <v>144775.98000000001</v>
      </c>
      <c r="H1344" s="596">
        <v>0</v>
      </c>
      <c r="I1344" s="594" t="s">
        <v>2111</v>
      </c>
    </row>
    <row r="1345" spans="1:9" ht="17.100000000000001" customHeight="1">
      <c r="A1345" s="594">
        <v>64110764</v>
      </c>
      <c r="B1345" s="594" t="s">
        <v>595</v>
      </c>
      <c r="C1345" s="595">
        <v>129736.16</v>
      </c>
      <c r="D1345" s="596">
        <v>0</v>
      </c>
      <c r="E1345" s="595">
        <v>18749.02</v>
      </c>
      <c r="F1345" s="596">
        <v>0</v>
      </c>
      <c r="G1345" s="595">
        <v>148485.18</v>
      </c>
      <c r="H1345" s="596">
        <v>0</v>
      </c>
      <c r="I1345" s="594" t="s">
        <v>2112</v>
      </c>
    </row>
    <row r="1346" spans="1:9" ht="17.100000000000001" customHeight="1">
      <c r="A1346" s="594">
        <v>64110765</v>
      </c>
      <c r="B1346" s="594" t="s">
        <v>3485</v>
      </c>
      <c r="C1346" s="595">
        <v>-330580.64</v>
      </c>
      <c r="D1346" s="596">
        <v>0</v>
      </c>
      <c r="E1346" s="596">
        <v>0.02</v>
      </c>
      <c r="F1346" s="596">
        <v>0</v>
      </c>
      <c r="G1346" s="595">
        <v>-330580.62</v>
      </c>
      <c r="H1346" s="596">
        <v>0</v>
      </c>
      <c r="I1346" s="594" t="s">
        <v>3486</v>
      </c>
    </row>
    <row r="1347" spans="1:9" ht="17.100000000000001" customHeight="1">
      <c r="A1347" s="594">
        <v>64110766</v>
      </c>
      <c r="B1347" s="594" t="s">
        <v>2707</v>
      </c>
      <c r="C1347" s="595">
        <v>3956018.99</v>
      </c>
      <c r="D1347" s="596">
        <v>0</v>
      </c>
      <c r="E1347" s="595">
        <v>801919.81</v>
      </c>
      <c r="F1347" s="596">
        <v>0</v>
      </c>
      <c r="G1347" s="595">
        <v>4757938.8</v>
      </c>
      <c r="H1347" s="596">
        <v>0</v>
      </c>
      <c r="I1347" s="594" t="s">
        <v>2708</v>
      </c>
    </row>
    <row r="1348" spans="1:9" ht="17.100000000000001" customHeight="1">
      <c r="A1348" s="320"/>
      <c r="B1348" s="320"/>
      <c r="C1348" s="320"/>
      <c r="D1348" s="557" t="s">
        <v>4198</v>
      </c>
      <c r="E1348" s="320" t="s">
        <v>3781</v>
      </c>
      <c r="F1348" s="320"/>
      <c r="G1348" s="320"/>
      <c r="H1348" s="320"/>
      <c r="I1348" s="320"/>
    </row>
    <row r="1349" spans="1:9" ht="17.100000000000001" customHeight="1">
      <c r="A1349" s="671"/>
      <c r="B1349" s="671"/>
      <c r="C1349" s="671"/>
      <c r="D1349" s="671"/>
      <c r="E1349" s="671"/>
      <c r="F1349" s="671"/>
      <c r="G1349" s="671"/>
      <c r="H1349" s="671"/>
      <c r="I1349" s="671"/>
    </row>
    <row r="1350" spans="1:9" ht="17.100000000000001" customHeight="1">
      <c r="A1350" s="320"/>
      <c r="B1350" s="320"/>
      <c r="C1350" s="589" t="s">
        <v>3707</v>
      </c>
      <c r="D1350" s="320"/>
      <c r="E1350" s="320"/>
      <c r="F1350" s="671"/>
      <c r="G1350" s="671"/>
      <c r="H1350" s="671"/>
      <c r="I1350" s="671"/>
    </row>
    <row r="1351" spans="1:9" ht="17.100000000000001" customHeight="1">
      <c r="A1351" s="590" t="s">
        <v>3708</v>
      </c>
      <c r="B1351" s="590"/>
      <c r="C1351" s="597">
        <v>42887</v>
      </c>
      <c r="D1351" s="590"/>
      <c r="E1351" s="557" t="s">
        <v>3709</v>
      </c>
      <c r="F1351" s="671"/>
      <c r="G1351" s="671"/>
      <c r="H1351" s="671"/>
      <c r="I1351" s="671"/>
    </row>
    <row r="1352" spans="1:9" ht="17.100000000000001" customHeight="1">
      <c r="A1352" s="593" t="s">
        <v>596</v>
      </c>
      <c r="B1352" s="593" t="s">
        <v>597</v>
      </c>
      <c r="C1352" s="593" t="s">
        <v>3710</v>
      </c>
      <c r="D1352" s="593" t="s">
        <v>3711</v>
      </c>
      <c r="E1352" s="593" t="s">
        <v>3712</v>
      </c>
      <c r="F1352" s="593" t="s">
        <v>3713</v>
      </c>
      <c r="G1352" s="593" t="s">
        <v>3714</v>
      </c>
      <c r="H1352" s="593" t="s">
        <v>3715</v>
      </c>
      <c r="I1352" s="593" t="s">
        <v>596</v>
      </c>
    </row>
    <row r="1353" spans="1:9" ht="17.100000000000001" customHeight="1">
      <c r="A1353" s="594">
        <v>64110767</v>
      </c>
      <c r="B1353" s="594" t="s">
        <v>2854</v>
      </c>
      <c r="C1353" s="595">
        <v>5468702.5099999998</v>
      </c>
      <c r="D1353" s="596">
        <v>0</v>
      </c>
      <c r="E1353" s="595">
        <v>1070082.8500000001</v>
      </c>
      <c r="F1353" s="596">
        <v>0</v>
      </c>
      <c r="G1353" s="595">
        <v>6538785.3600000003</v>
      </c>
      <c r="H1353" s="596">
        <v>0</v>
      </c>
      <c r="I1353" s="594" t="s">
        <v>2855</v>
      </c>
    </row>
    <row r="1354" spans="1:9" ht="17.100000000000001" customHeight="1">
      <c r="A1354" s="594">
        <v>64110772</v>
      </c>
      <c r="B1354" s="594" t="s">
        <v>2856</v>
      </c>
      <c r="C1354" s="595">
        <v>378041.67</v>
      </c>
      <c r="D1354" s="596">
        <v>0</v>
      </c>
      <c r="E1354" s="595">
        <v>74771.679999999993</v>
      </c>
      <c r="F1354" s="596">
        <v>0</v>
      </c>
      <c r="G1354" s="595">
        <v>452813.35</v>
      </c>
      <c r="H1354" s="596">
        <v>0</v>
      </c>
      <c r="I1354" s="594" t="s">
        <v>2857</v>
      </c>
    </row>
    <row r="1355" spans="1:9" ht="28.5" customHeight="1">
      <c r="A1355" s="594">
        <v>64110774</v>
      </c>
      <c r="B1355" s="594" t="s">
        <v>3941</v>
      </c>
      <c r="C1355" s="595">
        <v>4794.0200000000004</v>
      </c>
      <c r="D1355" s="596">
        <v>0</v>
      </c>
      <c r="E1355" s="595">
        <v>2420.92</v>
      </c>
      <c r="F1355" s="596">
        <v>0</v>
      </c>
      <c r="G1355" s="595">
        <v>7214.94</v>
      </c>
      <c r="H1355" s="596">
        <v>0</v>
      </c>
      <c r="I1355" s="594" t="s">
        <v>3942</v>
      </c>
    </row>
    <row r="1356" spans="1:9">
      <c r="A1356" s="594">
        <v>641108</v>
      </c>
      <c r="B1356" s="594" t="s">
        <v>2113</v>
      </c>
      <c r="C1356" s="595">
        <v>561692554.17999995</v>
      </c>
      <c r="D1356" s="596">
        <v>0</v>
      </c>
      <c r="E1356" s="595">
        <v>130667756.41</v>
      </c>
      <c r="F1356" s="596">
        <v>0</v>
      </c>
      <c r="G1356" s="595">
        <v>692360310.59000003</v>
      </c>
      <c r="H1356" s="596">
        <v>0</v>
      </c>
      <c r="I1356" s="594" t="s">
        <v>2114</v>
      </c>
    </row>
    <row r="1357" spans="1:9">
      <c r="A1357" s="594">
        <v>64110801</v>
      </c>
      <c r="B1357" s="594" t="s">
        <v>3487</v>
      </c>
      <c r="C1357" s="595">
        <v>28139489.050000001</v>
      </c>
      <c r="D1357" s="596">
        <v>0</v>
      </c>
      <c r="E1357" s="595">
        <v>13803043</v>
      </c>
      <c r="F1357" s="596">
        <v>0</v>
      </c>
      <c r="G1357" s="595">
        <v>41942532.049999997</v>
      </c>
      <c r="H1357" s="596">
        <v>0</v>
      </c>
      <c r="I1357" s="594" t="s">
        <v>3488</v>
      </c>
    </row>
    <row r="1358" spans="1:9">
      <c r="A1358" s="594">
        <v>64110802</v>
      </c>
      <c r="B1358" s="594" t="s">
        <v>2115</v>
      </c>
      <c r="C1358" s="595">
        <v>277351551.76999998</v>
      </c>
      <c r="D1358" s="596">
        <v>0</v>
      </c>
      <c r="E1358" s="595">
        <v>53196936.939999998</v>
      </c>
      <c r="F1358" s="596">
        <v>0</v>
      </c>
      <c r="G1358" s="595">
        <v>330548488.70999998</v>
      </c>
      <c r="H1358" s="596">
        <v>0</v>
      </c>
      <c r="I1358" s="594" t="s">
        <v>2116</v>
      </c>
    </row>
    <row r="1359" spans="1:9" ht="28.5" customHeight="1">
      <c r="A1359" s="594">
        <v>64110803</v>
      </c>
      <c r="B1359" s="594" t="s">
        <v>3489</v>
      </c>
      <c r="C1359" s="595">
        <v>31148596.649999999</v>
      </c>
      <c r="D1359" s="596">
        <v>0</v>
      </c>
      <c r="E1359" s="595">
        <v>9546549.9199999999</v>
      </c>
      <c r="F1359" s="596">
        <v>0</v>
      </c>
      <c r="G1359" s="595">
        <v>40695146.57</v>
      </c>
      <c r="H1359" s="596">
        <v>0</v>
      </c>
      <c r="I1359" s="594" t="s">
        <v>3490</v>
      </c>
    </row>
    <row r="1360" spans="1:9" ht="17.100000000000001" customHeight="1">
      <c r="A1360" s="594">
        <v>64110804</v>
      </c>
      <c r="B1360" s="594" t="s">
        <v>2117</v>
      </c>
      <c r="C1360" s="595">
        <v>215654195.38999999</v>
      </c>
      <c r="D1360" s="596">
        <v>0</v>
      </c>
      <c r="E1360" s="595">
        <v>47277795.68</v>
      </c>
      <c r="F1360" s="596">
        <v>0</v>
      </c>
      <c r="G1360" s="595">
        <v>262931991.06999999</v>
      </c>
      <c r="H1360" s="596">
        <v>0</v>
      </c>
      <c r="I1360" s="594" t="s">
        <v>2118</v>
      </c>
    </row>
    <row r="1361" spans="1:9" ht="17.100000000000001" customHeight="1">
      <c r="A1361" s="594">
        <v>64110805</v>
      </c>
      <c r="B1361" s="594" t="s">
        <v>2858</v>
      </c>
      <c r="C1361" s="595">
        <v>9398721.3200000003</v>
      </c>
      <c r="D1361" s="596">
        <v>0</v>
      </c>
      <c r="E1361" s="595">
        <v>6843430.8700000001</v>
      </c>
      <c r="F1361" s="596">
        <v>0</v>
      </c>
      <c r="G1361" s="595">
        <v>16242152.189999999</v>
      </c>
      <c r="H1361" s="596">
        <v>0</v>
      </c>
      <c r="I1361" s="594" t="s">
        <v>2859</v>
      </c>
    </row>
    <row r="1362" spans="1:9" ht="17.100000000000001" customHeight="1">
      <c r="A1362" s="594">
        <v>641199</v>
      </c>
      <c r="B1362" s="594" t="s">
        <v>2119</v>
      </c>
      <c r="C1362" s="595">
        <v>232689272.25</v>
      </c>
      <c r="D1362" s="596">
        <v>0</v>
      </c>
      <c r="E1362" s="595">
        <v>53192470.609999999</v>
      </c>
      <c r="F1362" s="596">
        <v>0</v>
      </c>
      <c r="G1362" s="595">
        <v>285881742.86000001</v>
      </c>
      <c r="H1362" s="596">
        <v>0</v>
      </c>
      <c r="I1362" s="594" t="s">
        <v>2120</v>
      </c>
    </row>
    <row r="1363" spans="1:9" ht="17.100000000000001" customHeight="1">
      <c r="A1363" s="594">
        <v>64119904</v>
      </c>
      <c r="B1363" s="594" t="s">
        <v>4283</v>
      </c>
      <c r="C1363" s="596">
        <v>0</v>
      </c>
      <c r="D1363" s="596">
        <v>0</v>
      </c>
      <c r="E1363" s="595">
        <v>19174.21</v>
      </c>
      <c r="F1363" s="596">
        <v>0</v>
      </c>
      <c r="G1363" s="595">
        <v>19174.21</v>
      </c>
      <c r="H1363" s="596">
        <v>0</v>
      </c>
      <c r="I1363" s="594" t="s">
        <v>4284</v>
      </c>
    </row>
    <row r="1364" spans="1:9" ht="17.100000000000001" customHeight="1">
      <c r="A1364" s="594">
        <v>64119905</v>
      </c>
      <c r="B1364" s="594" t="s">
        <v>2121</v>
      </c>
      <c r="C1364" s="595">
        <v>39438888.780000001</v>
      </c>
      <c r="D1364" s="596">
        <v>0</v>
      </c>
      <c r="E1364" s="595">
        <v>16229164.970000001</v>
      </c>
      <c r="F1364" s="596">
        <v>0</v>
      </c>
      <c r="G1364" s="595">
        <v>55668053.75</v>
      </c>
      <c r="H1364" s="596">
        <v>0</v>
      </c>
      <c r="I1364" s="594" t="s">
        <v>2122</v>
      </c>
    </row>
    <row r="1365" spans="1:9" ht="17.100000000000001" customHeight="1">
      <c r="A1365" s="594">
        <v>64119999</v>
      </c>
      <c r="B1365" s="594" t="s">
        <v>2119</v>
      </c>
      <c r="C1365" s="595">
        <v>193250383.47</v>
      </c>
      <c r="D1365" s="596">
        <v>0</v>
      </c>
      <c r="E1365" s="595">
        <v>36944131.43</v>
      </c>
      <c r="F1365" s="596">
        <v>0</v>
      </c>
      <c r="G1365" s="595">
        <v>230194514.90000001</v>
      </c>
      <c r="H1365" s="596">
        <v>0</v>
      </c>
      <c r="I1365" s="594" t="s">
        <v>4044</v>
      </c>
    </row>
    <row r="1366" spans="1:9" ht="17.100000000000001" customHeight="1">
      <c r="A1366" s="594">
        <v>6412</v>
      </c>
      <c r="B1366" s="594" t="s">
        <v>2123</v>
      </c>
      <c r="C1366" s="595">
        <v>3314094371.8600001</v>
      </c>
      <c r="D1366" s="596">
        <v>0</v>
      </c>
      <c r="E1366" s="595">
        <v>1878906276.25</v>
      </c>
      <c r="F1366" s="596">
        <v>0</v>
      </c>
      <c r="G1366" s="595">
        <v>5193000648.1099997</v>
      </c>
      <c r="H1366" s="596">
        <v>0</v>
      </c>
      <c r="I1366" s="594" t="s">
        <v>2124</v>
      </c>
    </row>
    <row r="1367" spans="1:9" ht="17.100000000000001" customHeight="1">
      <c r="A1367" s="594">
        <v>641202</v>
      </c>
      <c r="B1367" s="594" t="s">
        <v>4045</v>
      </c>
      <c r="C1367" s="595">
        <v>1034565715.17</v>
      </c>
      <c r="D1367" s="596">
        <v>0</v>
      </c>
      <c r="E1367" s="595">
        <v>1237540829.4100001</v>
      </c>
      <c r="F1367" s="596">
        <v>0</v>
      </c>
      <c r="G1367" s="595">
        <v>2272106544.5799999</v>
      </c>
      <c r="H1367" s="596">
        <v>0</v>
      </c>
      <c r="I1367" s="594" t="s">
        <v>4046</v>
      </c>
    </row>
    <row r="1368" spans="1:9" ht="17.100000000000001" customHeight="1">
      <c r="A1368" s="594">
        <v>64120202</v>
      </c>
      <c r="B1368" s="594" t="s">
        <v>4047</v>
      </c>
      <c r="C1368" s="595">
        <v>1034565715.17</v>
      </c>
      <c r="D1368" s="596">
        <v>0</v>
      </c>
      <c r="E1368" s="595">
        <v>1237540829.4100001</v>
      </c>
      <c r="F1368" s="596">
        <v>0</v>
      </c>
      <c r="G1368" s="595">
        <v>2272106544.5799999</v>
      </c>
      <c r="H1368" s="596">
        <v>0</v>
      </c>
      <c r="I1368" s="594" t="s">
        <v>4048</v>
      </c>
    </row>
    <row r="1369" spans="1:9" ht="17.100000000000001" customHeight="1">
      <c r="A1369" s="594">
        <v>641204</v>
      </c>
      <c r="B1369" s="594" t="s">
        <v>2125</v>
      </c>
      <c r="C1369" s="595">
        <v>186688017.19999999</v>
      </c>
      <c r="D1369" s="596">
        <v>0</v>
      </c>
      <c r="E1369" s="595">
        <v>73721084.879999995</v>
      </c>
      <c r="F1369" s="596">
        <v>0</v>
      </c>
      <c r="G1369" s="595">
        <v>260409102.08000001</v>
      </c>
      <c r="H1369" s="596">
        <v>0</v>
      </c>
      <c r="I1369" s="594" t="s">
        <v>2126</v>
      </c>
    </row>
    <row r="1370" spans="1:9" ht="17.100000000000001" customHeight="1">
      <c r="A1370" s="594">
        <v>64120402</v>
      </c>
      <c r="B1370" s="594" t="s">
        <v>4285</v>
      </c>
      <c r="C1370" s="595">
        <v>15021944.449999999</v>
      </c>
      <c r="D1370" s="596">
        <v>0</v>
      </c>
      <c r="E1370" s="595">
        <v>34570833.329999998</v>
      </c>
      <c r="F1370" s="596">
        <v>0</v>
      </c>
      <c r="G1370" s="595">
        <v>49592777.780000001</v>
      </c>
      <c r="H1370" s="596">
        <v>0</v>
      </c>
      <c r="I1370" s="594" t="s">
        <v>4286</v>
      </c>
    </row>
    <row r="1371" spans="1:9" ht="17.100000000000001" customHeight="1">
      <c r="A1371" s="594">
        <v>64120403</v>
      </c>
      <c r="B1371" s="594" t="s">
        <v>2127</v>
      </c>
      <c r="C1371" s="595">
        <v>3135812.77</v>
      </c>
      <c r="D1371" s="596">
        <v>0</v>
      </c>
      <c r="E1371" s="595">
        <v>907705.37</v>
      </c>
      <c r="F1371" s="596">
        <v>0</v>
      </c>
      <c r="G1371" s="595">
        <v>4043518.14</v>
      </c>
      <c r="H1371" s="596">
        <v>0</v>
      </c>
      <c r="I1371" s="594" t="s">
        <v>2128</v>
      </c>
    </row>
    <row r="1372" spans="1:9" ht="17.100000000000001" customHeight="1">
      <c r="A1372" s="594">
        <v>64120404</v>
      </c>
      <c r="B1372" s="594" t="s">
        <v>2129</v>
      </c>
      <c r="C1372" s="595">
        <v>37597342.090000004</v>
      </c>
      <c r="D1372" s="596">
        <v>0</v>
      </c>
      <c r="E1372" s="595">
        <v>5739444.4400000004</v>
      </c>
      <c r="F1372" s="596">
        <v>0</v>
      </c>
      <c r="G1372" s="595">
        <v>43336786.530000001</v>
      </c>
      <c r="H1372" s="596">
        <v>0</v>
      </c>
      <c r="I1372" s="594" t="s">
        <v>2130</v>
      </c>
    </row>
    <row r="1373" spans="1:9" ht="17.100000000000001" customHeight="1">
      <c r="A1373" s="594">
        <v>64120406</v>
      </c>
      <c r="B1373" s="594" t="s">
        <v>4287</v>
      </c>
      <c r="C1373" s="596">
        <v>0</v>
      </c>
      <c r="D1373" s="596">
        <v>0</v>
      </c>
      <c r="E1373" s="595">
        <v>445500</v>
      </c>
      <c r="F1373" s="596">
        <v>0</v>
      </c>
      <c r="G1373" s="595">
        <v>445500</v>
      </c>
      <c r="H1373" s="596">
        <v>0</v>
      </c>
      <c r="I1373" s="594" t="s">
        <v>4288</v>
      </c>
    </row>
    <row r="1374" spans="1:9" ht="17.100000000000001" customHeight="1">
      <c r="A1374" s="594">
        <v>64120409</v>
      </c>
      <c r="B1374" s="594" t="s">
        <v>2131</v>
      </c>
      <c r="C1374" s="595">
        <v>2181040.75</v>
      </c>
      <c r="D1374" s="596">
        <v>0</v>
      </c>
      <c r="E1374" s="595">
        <v>498678.55</v>
      </c>
      <c r="F1374" s="596">
        <v>0</v>
      </c>
      <c r="G1374" s="595">
        <v>2679719.2999999998</v>
      </c>
      <c r="H1374" s="596">
        <v>0</v>
      </c>
      <c r="I1374" s="594" t="s">
        <v>2132</v>
      </c>
    </row>
    <row r="1375" spans="1:9" ht="17.100000000000001" customHeight="1">
      <c r="A1375" s="594">
        <v>64120410</v>
      </c>
      <c r="B1375" s="594" t="s">
        <v>2133</v>
      </c>
      <c r="C1375" s="595">
        <v>15400565.08</v>
      </c>
      <c r="D1375" s="596">
        <v>0</v>
      </c>
      <c r="E1375" s="595">
        <v>6200525.2999999998</v>
      </c>
      <c r="F1375" s="596">
        <v>0</v>
      </c>
      <c r="G1375" s="595">
        <v>21601090.379999999</v>
      </c>
      <c r="H1375" s="596">
        <v>0</v>
      </c>
      <c r="I1375" s="594" t="s">
        <v>2134</v>
      </c>
    </row>
    <row r="1376" spans="1:9" ht="17.100000000000001" customHeight="1">
      <c r="A1376" s="594">
        <v>64120413</v>
      </c>
      <c r="B1376" s="594" t="s">
        <v>2860</v>
      </c>
      <c r="C1376" s="595">
        <v>14134445.35</v>
      </c>
      <c r="D1376" s="596">
        <v>0</v>
      </c>
      <c r="E1376" s="595">
        <v>2766591.46</v>
      </c>
      <c r="F1376" s="596">
        <v>0</v>
      </c>
      <c r="G1376" s="595">
        <v>16901036.809999999</v>
      </c>
      <c r="H1376" s="596">
        <v>0</v>
      </c>
      <c r="I1376" s="594" t="s">
        <v>2135</v>
      </c>
    </row>
    <row r="1377" spans="1:9" ht="17.100000000000001" customHeight="1">
      <c r="A1377" s="594">
        <v>64120469</v>
      </c>
      <c r="B1377" s="594" t="s">
        <v>2612</v>
      </c>
      <c r="C1377" s="596">
        <v>23.01</v>
      </c>
      <c r="D1377" s="596">
        <v>0</v>
      </c>
      <c r="E1377" s="596">
        <v>0</v>
      </c>
      <c r="F1377" s="596">
        <v>0</v>
      </c>
      <c r="G1377" s="596">
        <v>23.01</v>
      </c>
      <c r="H1377" s="596">
        <v>0</v>
      </c>
      <c r="I1377" s="594" t="s">
        <v>2613</v>
      </c>
    </row>
    <row r="1378" spans="1:9" ht="17.100000000000001" customHeight="1">
      <c r="A1378" s="594">
        <v>64120473</v>
      </c>
      <c r="B1378" s="594" t="s">
        <v>3607</v>
      </c>
      <c r="C1378" s="595">
        <v>271525.53000000003</v>
      </c>
      <c r="D1378" s="596">
        <v>0</v>
      </c>
      <c r="E1378" s="595">
        <v>16197.22</v>
      </c>
      <c r="F1378" s="596">
        <v>0</v>
      </c>
      <c r="G1378" s="595">
        <v>287722.75</v>
      </c>
      <c r="H1378" s="596">
        <v>0</v>
      </c>
      <c r="I1378" s="594" t="s">
        <v>3608</v>
      </c>
    </row>
    <row r="1379" spans="1:9" ht="17.100000000000001" customHeight="1">
      <c r="A1379" s="594">
        <v>64120478</v>
      </c>
      <c r="B1379" s="594" t="s">
        <v>2861</v>
      </c>
      <c r="C1379" s="595">
        <v>7333315.0800000001</v>
      </c>
      <c r="D1379" s="596">
        <v>0</v>
      </c>
      <c r="E1379" s="595">
        <v>1692657.53</v>
      </c>
      <c r="F1379" s="596">
        <v>0</v>
      </c>
      <c r="G1379" s="595">
        <v>9025972.6099999994</v>
      </c>
      <c r="H1379" s="596">
        <v>0</v>
      </c>
      <c r="I1379" s="594" t="s">
        <v>2862</v>
      </c>
    </row>
    <row r="1380" spans="1:9" ht="17.100000000000001" customHeight="1">
      <c r="A1380" s="594">
        <v>64120479</v>
      </c>
      <c r="B1380" s="594" t="s">
        <v>3376</v>
      </c>
      <c r="C1380" s="595">
        <v>100615.01</v>
      </c>
      <c r="D1380" s="596">
        <v>0</v>
      </c>
      <c r="E1380" s="595">
        <v>16890.04</v>
      </c>
      <c r="F1380" s="596">
        <v>0</v>
      </c>
      <c r="G1380" s="595">
        <v>117505.05</v>
      </c>
      <c r="H1380" s="596">
        <v>0</v>
      </c>
      <c r="I1380" s="594" t="s">
        <v>3377</v>
      </c>
    </row>
    <row r="1381" spans="1:9" ht="17.100000000000001" customHeight="1">
      <c r="A1381" s="594">
        <v>64120480</v>
      </c>
      <c r="B1381" s="594" t="s">
        <v>3378</v>
      </c>
      <c r="C1381" s="595">
        <v>1805961.12</v>
      </c>
      <c r="D1381" s="596">
        <v>0</v>
      </c>
      <c r="E1381" s="596">
        <v>0</v>
      </c>
      <c r="F1381" s="596">
        <v>0</v>
      </c>
      <c r="G1381" s="595">
        <v>1805961.12</v>
      </c>
      <c r="H1381" s="596">
        <v>0</v>
      </c>
      <c r="I1381" s="594" t="s">
        <v>3379</v>
      </c>
    </row>
    <row r="1382" spans="1:9" ht="17.100000000000001" customHeight="1">
      <c r="A1382" s="594">
        <v>64120490</v>
      </c>
      <c r="B1382" s="594" t="s">
        <v>3491</v>
      </c>
      <c r="C1382" s="595">
        <v>521260.28</v>
      </c>
      <c r="D1382" s="596">
        <v>0</v>
      </c>
      <c r="E1382" s="595">
        <v>103561.64</v>
      </c>
      <c r="F1382" s="596">
        <v>0</v>
      </c>
      <c r="G1382" s="595">
        <v>624821.92000000004</v>
      </c>
      <c r="H1382" s="596">
        <v>0</v>
      </c>
      <c r="I1382" s="594" t="s">
        <v>3492</v>
      </c>
    </row>
    <row r="1383" spans="1:9" ht="17.100000000000001" customHeight="1">
      <c r="A1383" s="594">
        <v>64120493</v>
      </c>
      <c r="B1383" s="594" t="s">
        <v>2863</v>
      </c>
      <c r="C1383" s="596">
        <v>0.03</v>
      </c>
      <c r="D1383" s="596">
        <v>0</v>
      </c>
      <c r="E1383" s="596">
        <v>0</v>
      </c>
      <c r="F1383" s="596">
        <v>0</v>
      </c>
      <c r="G1383" s="596">
        <v>0.03</v>
      </c>
      <c r="H1383" s="596">
        <v>0</v>
      </c>
      <c r="I1383" s="594" t="s">
        <v>2864</v>
      </c>
    </row>
    <row r="1384" spans="1:9" ht="17.100000000000001" customHeight="1">
      <c r="A1384" s="594">
        <v>64120494</v>
      </c>
      <c r="B1384" s="594" t="s">
        <v>2865</v>
      </c>
      <c r="C1384" s="595">
        <v>89184166.650000006</v>
      </c>
      <c r="D1384" s="596">
        <v>0</v>
      </c>
      <c r="E1384" s="595">
        <v>20762500</v>
      </c>
      <c r="F1384" s="596">
        <v>0</v>
      </c>
      <c r="G1384" s="595">
        <v>109946666.65000001</v>
      </c>
      <c r="H1384" s="596">
        <v>0</v>
      </c>
      <c r="I1384" s="594" t="s">
        <v>2866</v>
      </c>
    </row>
    <row r="1385" spans="1:9" ht="17.100000000000001" customHeight="1">
      <c r="A1385" s="594">
        <v>641205</v>
      </c>
      <c r="B1385" s="594" t="s">
        <v>2614</v>
      </c>
      <c r="C1385" s="595">
        <v>55232908.57</v>
      </c>
      <c r="D1385" s="596">
        <v>0</v>
      </c>
      <c r="E1385" s="595">
        <v>15799602.49</v>
      </c>
      <c r="F1385" s="596">
        <v>0</v>
      </c>
      <c r="G1385" s="595">
        <v>71032511.060000002</v>
      </c>
      <c r="H1385" s="596">
        <v>0</v>
      </c>
      <c r="I1385" s="594" t="s">
        <v>2136</v>
      </c>
    </row>
    <row r="1386" spans="1:9" ht="17.100000000000001" customHeight="1">
      <c r="A1386" s="594">
        <v>64120501</v>
      </c>
      <c r="B1386" s="594" t="s">
        <v>4061</v>
      </c>
      <c r="C1386" s="595">
        <v>10675833.33</v>
      </c>
      <c r="D1386" s="596">
        <v>0</v>
      </c>
      <c r="E1386" s="595">
        <v>1643888.88</v>
      </c>
      <c r="F1386" s="596">
        <v>0</v>
      </c>
      <c r="G1386" s="595">
        <v>12319722.210000001</v>
      </c>
      <c r="H1386" s="596">
        <v>0</v>
      </c>
      <c r="I1386" s="594" t="s">
        <v>4062</v>
      </c>
    </row>
    <row r="1387" spans="1:9" ht="17.100000000000001" customHeight="1">
      <c r="A1387" s="320"/>
      <c r="B1387" s="320"/>
      <c r="C1387" s="320"/>
      <c r="D1387" s="557" t="s">
        <v>4198</v>
      </c>
      <c r="E1387" s="320" t="s">
        <v>3782</v>
      </c>
      <c r="F1387" s="320"/>
      <c r="G1387" s="320"/>
      <c r="H1387" s="320"/>
      <c r="I1387" s="320"/>
    </row>
    <row r="1388" spans="1:9" ht="17.100000000000001" customHeight="1">
      <c r="A1388" s="671"/>
      <c r="B1388" s="671"/>
      <c r="C1388" s="671"/>
      <c r="D1388" s="671"/>
      <c r="E1388" s="671"/>
      <c r="F1388" s="671"/>
      <c r="G1388" s="671"/>
      <c r="H1388" s="671"/>
      <c r="I1388" s="671"/>
    </row>
    <row r="1389" spans="1:9" ht="17.100000000000001" customHeight="1">
      <c r="A1389" s="320"/>
      <c r="B1389" s="320"/>
      <c r="C1389" s="589" t="s">
        <v>3707</v>
      </c>
      <c r="D1389" s="320"/>
      <c r="E1389" s="320"/>
      <c r="F1389" s="671"/>
      <c r="G1389" s="671"/>
      <c r="H1389" s="671"/>
      <c r="I1389" s="671"/>
    </row>
    <row r="1390" spans="1:9" ht="17.100000000000001" customHeight="1">
      <c r="A1390" s="590" t="s">
        <v>3708</v>
      </c>
      <c r="B1390" s="590"/>
      <c r="C1390" s="597">
        <v>42887</v>
      </c>
      <c r="D1390" s="590"/>
      <c r="E1390" s="557" t="s">
        <v>3709</v>
      </c>
      <c r="F1390" s="671"/>
      <c r="G1390" s="671"/>
      <c r="H1390" s="671"/>
      <c r="I1390" s="671"/>
    </row>
    <row r="1391" spans="1:9" ht="17.100000000000001" customHeight="1">
      <c r="A1391" s="593" t="s">
        <v>596</v>
      </c>
      <c r="B1391" s="593" t="s">
        <v>597</v>
      </c>
      <c r="C1391" s="593" t="s">
        <v>3710</v>
      </c>
      <c r="D1391" s="593" t="s">
        <v>3711</v>
      </c>
      <c r="E1391" s="593" t="s">
        <v>3712</v>
      </c>
      <c r="F1391" s="593" t="s">
        <v>3713</v>
      </c>
      <c r="G1391" s="593" t="s">
        <v>3714</v>
      </c>
      <c r="H1391" s="593" t="s">
        <v>3715</v>
      </c>
      <c r="I1391" s="593" t="s">
        <v>596</v>
      </c>
    </row>
    <row r="1392" spans="1:9" ht="17.100000000000001" customHeight="1">
      <c r="A1392" s="594">
        <v>64120502</v>
      </c>
      <c r="B1392" s="594" t="s">
        <v>2137</v>
      </c>
      <c r="C1392" s="595">
        <v>25205544</v>
      </c>
      <c r="D1392" s="596">
        <v>0</v>
      </c>
      <c r="E1392" s="595">
        <v>7319460.2800000003</v>
      </c>
      <c r="F1392" s="596">
        <v>0</v>
      </c>
      <c r="G1392" s="595">
        <v>32525004.280000001</v>
      </c>
      <c r="H1392" s="596">
        <v>0</v>
      </c>
      <c r="I1392" s="594" t="s">
        <v>2138</v>
      </c>
    </row>
    <row r="1393" spans="1:9" ht="17.100000000000001" customHeight="1">
      <c r="A1393" s="594">
        <v>64120503</v>
      </c>
      <c r="B1393" s="594" t="s">
        <v>3693</v>
      </c>
      <c r="C1393" s="595">
        <v>441189.27</v>
      </c>
      <c r="D1393" s="596">
        <v>0</v>
      </c>
      <c r="E1393" s="595">
        <v>87653.5</v>
      </c>
      <c r="F1393" s="596">
        <v>0</v>
      </c>
      <c r="G1393" s="595">
        <v>528842.77</v>
      </c>
      <c r="H1393" s="596">
        <v>0</v>
      </c>
      <c r="I1393" s="594" t="s">
        <v>3776</v>
      </c>
    </row>
    <row r="1394" spans="1:9" ht="28.5" customHeight="1">
      <c r="A1394" s="594">
        <v>64120504</v>
      </c>
      <c r="B1394" s="594" t="s">
        <v>4289</v>
      </c>
      <c r="C1394" s="596">
        <v>0</v>
      </c>
      <c r="D1394" s="596">
        <v>0</v>
      </c>
      <c r="E1394" s="595">
        <v>9045.0400000000009</v>
      </c>
      <c r="F1394" s="596">
        <v>0</v>
      </c>
      <c r="G1394" s="595">
        <v>9045.0400000000009</v>
      </c>
      <c r="H1394" s="596">
        <v>0</v>
      </c>
      <c r="I1394" s="594" t="s">
        <v>4290</v>
      </c>
    </row>
    <row r="1395" spans="1:9">
      <c r="A1395" s="594">
        <v>64120514</v>
      </c>
      <c r="B1395" s="594" t="s">
        <v>3694</v>
      </c>
      <c r="C1395" s="595">
        <v>426458.33</v>
      </c>
      <c r="D1395" s="596">
        <v>0</v>
      </c>
      <c r="E1395" s="596">
        <v>0</v>
      </c>
      <c r="F1395" s="596">
        <v>0</v>
      </c>
      <c r="G1395" s="595">
        <v>426458.33</v>
      </c>
      <c r="H1395" s="596">
        <v>0</v>
      </c>
      <c r="I1395" s="594" t="s">
        <v>3777</v>
      </c>
    </row>
    <row r="1396" spans="1:9">
      <c r="A1396" s="594">
        <v>64120531</v>
      </c>
      <c r="B1396" s="594" t="s">
        <v>3609</v>
      </c>
      <c r="C1396" s="595">
        <v>18483883.640000001</v>
      </c>
      <c r="D1396" s="596">
        <v>0</v>
      </c>
      <c r="E1396" s="595">
        <v>6739554.79</v>
      </c>
      <c r="F1396" s="596">
        <v>0</v>
      </c>
      <c r="G1396" s="595">
        <v>25223438.43</v>
      </c>
      <c r="H1396" s="596">
        <v>0</v>
      </c>
      <c r="I1396" s="594" t="s">
        <v>3610</v>
      </c>
    </row>
    <row r="1397" spans="1:9">
      <c r="A1397" s="594">
        <v>641206</v>
      </c>
      <c r="B1397" s="594" t="s">
        <v>2139</v>
      </c>
      <c r="C1397" s="595">
        <v>252326535.47</v>
      </c>
      <c r="D1397" s="596">
        <v>0</v>
      </c>
      <c r="E1397" s="595">
        <v>56533813.520000003</v>
      </c>
      <c r="F1397" s="596">
        <v>0</v>
      </c>
      <c r="G1397" s="595">
        <v>308860348.99000001</v>
      </c>
      <c r="H1397" s="596">
        <v>0</v>
      </c>
      <c r="I1397" s="594" t="s">
        <v>2140</v>
      </c>
    </row>
    <row r="1398" spans="1:9" ht="28.5" customHeight="1">
      <c r="A1398" s="594">
        <v>64120602</v>
      </c>
      <c r="B1398" s="594" t="s">
        <v>2141</v>
      </c>
      <c r="C1398" s="595">
        <v>234622062.88999999</v>
      </c>
      <c r="D1398" s="596">
        <v>0</v>
      </c>
      <c r="E1398" s="595">
        <v>55641655.740000002</v>
      </c>
      <c r="F1398" s="596">
        <v>0</v>
      </c>
      <c r="G1398" s="595">
        <v>290263718.63</v>
      </c>
      <c r="H1398" s="596">
        <v>0</v>
      </c>
      <c r="I1398" s="594" t="s">
        <v>2142</v>
      </c>
    </row>
    <row r="1399" spans="1:9" ht="17.100000000000001" customHeight="1">
      <c r="A1399" s="594">
        <v>64120603</v>
      </c>
      <c r="B1399" s="594" t="s">
        <v>4146</v>
      </c>
      <c r="C1399" s="595">
        <v>6554671.04</v>
      </c>
      <c r="D1399" s="596">
        <v>0</v>
      </c>
      <c r="E1399" s="596">
        <v>0</v>
      </c>
      <c r="F1399" s="596">
        <v>0</v>
      </c>
      <c r="G1399" s="595">
        <v>6554671.04</v>
      </c>
      <c r="H1399" s="596">
        <v>0</v>
      </c>
      <c r="I1399" s="594" t="s">
        <v>4147</v>
      </c>
    </row>
    <row r="1400" spans="1:9" ht="17.100000000000001" customHeight="1">
      <c r="A1400" s="594">
        <v>64120604</v>
      </c>
      <c r="B1400" s="594" t="s">
        <v>2143</v>
      </c>
      <c r="C1400" s="595">
        <v>11149801.539999999</v>
      </c>
      <c r="D1400" s="596">
        <v>0</v>
      </c>
      <c r="E1400" s="595">
        <v>892157.78</v>
      </c>
      <c r="F1400" s="596">
        <v>0</v>
      </c>
      <c r="G1400" s="595">
        <v>12041959.32</v>
      </c>
      <c r="H1400" s="596">
        <v>0</v>
      </c>
      <c r="I1400" s="594" t="s">
        <v>2144</v>
      </c>
    </row>
    <row r="1401" spans="1:9" ht="17.100000000000001" customHeight="1">
      <c r="A1401" s="594">
        <v>641207</v>
      </c>
      <c r="B1401" s="594" t="s">
        <v>2145</v>
      </c>
      <c r="C1401" s="595">
        <v>61901236.909999996</v>
      </c>
      <c r="D1401" s="596">
        <v>0</v>
      </c>
      <c r="E1401" s="595">
        <v>46070506.850000001</v>
      </c>
      <c r="F1401" s="596">
        <v>0</v>
      </c>
      <c r="G1401" s="595">
        <v>107971743.76000001</v>
      </c>
      <c r="H1401" s="596">
        <v>0</v>
      </c>
      <c r="I1401" s="594" t="s">
        <v>2146</v>
      </c>
    </row>
    <row r="1402" spans="1:9" ht="17.100000000000001" customHeight="1">
      <c r="A1402" s="594">
        <v>64120702</v>
      </c>
      <c r="B1402" s="594" t="s">
        <v>2147</v>
      </c>
      <c r="C1402" s="595">
        <v>61901236.909999996</v>
      </c>
      <c r="D1402" s="596">
        <v>0</v>
      </c>
      <c r="E1402" s="595">
        <v>46070506.850000001</v>
      </c>
      <c r="F1402" s="596">
        <v>0</v>
      </c>
      <c r="G1402" s="595">
        <v>107971743.76000001</v>
      </c>
      <c r="H1402" s="596">
        <v>0</v>
      </c>
      <c r="I1402" s="594" t="s">
        <v>2148</v>
      </c>
    </row>
    <row r="1403" spans="1:9" ht="17.100000000000001" customHeight="1">
      <c r="A1403" s="594">
        <v>641208</v>
      </c>
      <c r="B1403" s="594" t="s">
        <v>3493</v>
      </c>
      <c r="C1403" s="595">
        <v>445935.59</v>
      </c>
      <c r="D1403" s="596">
        <v>0</v>
      </c>
      <c r="E1403" s="595">
        <v>225720</v>
      </c>
      <c r="F1403" s="596">
        <v>0</v>
      </c>
      <c r="G1403" s="595">
        <v>671655.59</v>
      </c>
      <c r="H1403" s="596">
        <v>0</v>
      </c>
      <c r="I1403" s="594" t="s">
        <v>3494</v>
      </c>
    </row>
    <row r="1404" spans="1:9" ht="17.100000000000001" customHeight="1">
      <c r="A1404" s="594">
        <v>64120801</v>
      </c>
      <c r="B1404" s="594" t="s">
        <v>4291</v>
      </c>
      <c r="C1404" s="595">
        <v>188310.59</v>
      </c>
      <c r="D1404" s="596">
        <v>0</v>
      </c>
      <c r="E1404" s="596">
        <v>0</v>
      </c>
      <c r="F1404" s="596">
        <v>0</v>
      </c>
      <c r="G1404" s="595">
        <v>188310.59</v>
      </c>
      <c r="H1404" s="596">
        <v>0</v>
      </c>
      <c r="I1404" s="594" t="s">
        <v>4292</v>
      </c>
    </row>
    <row r="1405" spans="1:9" ht="17.100000000000001" customHeight="1">
      <c r="A1405" s="594">
        <v>64120802</v>
      </c>
      <c r="B1405" s="594" t="s">
        <v>3495</v>
      </c>
      <c r="C1405" s="595">
        <v>257625</v>
      </c>
      <c r="D1405" s="596">
        <v>0</v>
      </c>
      <c r="E1405" s="595">
        <v>225720</v>
      </c>
      <c r="F1405" s="596">
        <v>0</v>
      </c>
      <c r="G1405" s="595">
        <v>483345</v>
      </c>
      <c r="H1405" s="596">
        <v>0</v>
      </c>
      <c r="I1405" s="594" t="s">
        <v>3496</v>
      </c>
    </row>
    <row r="1406" spans="1:9" ht="17.100000000000001" customHeight="1">
      <c r="A1406" s="594">
        <v>641209</v>
      </c>
      <c r="B1406" s="594" t="s">
        <v>2149</v>
      </c>
      <c r="C1406" s="595">
        <v>1722934022.95</v>
      </c>
      <c r="D1406" s="596">
        <v>0</v>
      </c>
      <c r="E1406" s="595">
        <v>449014719.10000002</v>
      </c>
      <c r="F1406" s="596">
        <v>0</v>
      </c>
      <c r="G1406" s="595">
        <v>2171948742.0500002</v>
      </c>
      <c r="H1406" s="596">
        <v>0</v>
      </c>
      <c r="I1406" s="594" t="s">
        <v>2150</v>
      </c>
    </row>
    <row r="1407" spans="1:9" ht="17.100000000000001" customHeight="1">
      <c r="A1407" s="594">
        <v>64120901</v>
      </c>
      <c r="B1407" s="594" t="s">
        <v>3695</v>
      </c>
      <c r="C1407" s="595">
        <v>9659613.8699999992</v>
      </c>
      <c r="D1407" s="596">
        <v>0</v>
      </c>
      <c r="E1407" s="595">
        <v>2370236.12</v>
      </c>
      <c r="F1407" s="596">
        <v>0</v>
      </c>
      <c r="G1407" s="595">
        <v>12029849.99</v>
      </c>
      <c r="H1407" s="596">
        <v>0</v>
      </c>
      <c r="I1407" s="594" t="s">
        <v>3779</v>
      </c>
    </row>
    <row r="1408" spans="1:9" ht="17.100000000000001" customHeight="1">
      <c r="A1408" s="594">
        <v>64120902</v>
      </c>
      <c r="B1408" s="594" t="s">
        <v>3696</v>
      </c>
      <c r="C1408" s="595">
        <v>683355755.59000003</v>
      </c>
      <c r="D1408" s="596">
        <v>0</v>
      </c>
      <c r="E1408" s="595">
        <v>177256265.86000001</v>
      </c>
      <c r="F1408" s="596">
        <v>0</v>
      </c>
      <c r="G1408" s="595">
        <v>860612021.45000005</v>
      </c>
      <c r="H1408" s="596">
        <v>0</v>
      </c>
      <c r="I1408" s="594" t="s">
        <v>2709</v>
      </c>
    </row>
    <row r="1409" spans="1:9" ht="17.100000000000001" customHeight="1">
      <c r="A1409" s="594">
        <v>64120999</v>
      </c>
      <c r="B1409" s="594" t="s">
        <v>3697</v>
      </c>
      <c r="C1409" s="595">
        <v>1029918653.49</v>
      </c>
      <c r="D1409" s="596">
        <v>0</v>
      </c>
      <c r="E1409" s="595">
        <v>269388217.12</v>
      </c>
      <c r="F1409" s="596">
        <v>0</v>
      </c>
      <c r="G1409" s="595">
        <v>1299306870.6099999</v>
      </c>
      <c r="H1409" s="596">
        <v>0</v>
      </c>
      <c r="I1409" s="594" t="s">
        <v>2151</v>
      </c>
    </row>
    <row r="1410" spans="1:9" ht="17.100000000000001" customHeight="1">
      <c r="A1410" s="594">
        <v>6421</v>
      </c>
      <c r="B1410" s="594" t="s">
        <v>2152</v>
      </c>
      <c r="C1410" s="595">
        <v>73328560.819999993</v>
      </c>
      <c r="D1410" s="596">
        <v>0</v>
      </c>
      <c r="E1410" s="595">
        <v>25826524.390000001</v>
      </c>
      <c r="F1410" s="595">
        <v>3586.2</v>
      </c>
      <c r="G1410" s="595">
        <v>99151499.010000005</v>
      </c>
      <c r="H1410" s="596">
        <v>0</v>
      </c>
      <c r="I1410" s="594" t="s">
        <v>2153</v>
      </c>
    </row>
    <row r="1411" spans="1:9" ht="17.100000000000001" customHeight="1">
      <c r="A1411" s="594">
        <v>642101</v>
      </c>
      <c r="B1411" s="594" t="s">
        <v>2154</v>
      </c>
      <c r="C1411" s="595">
        <v>10774296.48</v>
      </c>
      <c r="D1411" s="596">
        <v>0</v>
      </c>
      <c r="E1411" s="595">
        <v>1025454.36</v>
      </c>
      <c r="F1411" s="596">
        <v>0</v>
      </c>
      <c r="G1411" s="595">
        <v>11799750.84</v>
      </c>
      <c r="H1411" s="596">
        <v>0</v>
      </c>
      <c r="I1411" s="594" t="s">
        <v>2155</v>
      </c>
    </row>
    <row r="1412" spans="1:9" ht="17.100000000000001" customHeight="1">
      <c r="A1412" s="594">
        <v>64210101</v>
      </c>
      <c r="B1412" s="594" t="s">
        <v>2154</v>
      </c>
      <c r="C1412" s="595">
        <v>10453207.939999999</v>
      </c>
      <c r="D1412" s="596">
        <v>0</v>
      </c>
      <c r="E1412" s="595">
        <v>954777.43</v>
      </c>
      <c r="F1412" s="596">
        <v>0</v>
      </c>
      <c r="G1412" s="595">
        <v>11407985.369999999</v>
      </c>
      <c r="H1412" s="596">
        <v>0</v>
      </c>
      <c r="I1412" s="594" t="s">
        <v>2156</v>
      </c>
    </row>
    <row r="1413" spans="1:9" ht="17.100000000000001" customHeight="1">
      <c r="A1413" s="594">
        <v>64210103</v>
      </c>
      <c r="B1413" s="594" t="s">
        <v>2867</v>
      </c>
      <c r="C1413" s="595">
        <v>321088.53999999998</v>
      </c>
      <c r="D1413" s="596">
        <v>0</v>
      </c>
      <c r="E1413" s="595">
        <v>70676.929999999993</v>
      </c>
      <c r="F1413" s="596">
        <v>0</v>
      </c>
      <c r="G1413" s="595">
        <v>391765.47</v>
      </c>
      <c r="H1413" s="596">
        <v>0</v>
      </c>
      <c r="I1413" s="594" t="s">
        <v>2868</v>
      </c>
    </row>
    <row r="1414" spans="1:9" ht="17.100000000000001" customHeight="1">
      <c r="A1414" s="594">
        <v>642102</v>
      </c>
      <c r="B1414" s="594" t="s">
        <v>2157</v>
      </c>
      <c r="C1414" s="595">
        <v>7083958.4900000002</v>
      </c>
      <c r="D1414" s="596">
        <v>0</v>
      </c>
      <c r="E1414" s="595">
        <v>739199.33</v>
      </c>
      <c r="F1414" s="596">
        <v>0</v>
      </c>
      <c r="G1414" s="595">
        <v>7823157.8200000003</v>
      </c>
      <c r="H1414" s="596">
        <v>0</v>
      </c>
      <c r="I1414" s="594" t="s">
        <v>2158</v>
      </c>
    </row>
    <row r="1415" spans="1:9" ht="17.100000000000001" customHeight="1">
      <c r="A1415" s="594">
        <v>64210201</v>
      </c>
      <c r="B1415" s="594" t="s">
        <v>2159</v>
      </c>
      <c r="C1415" s="595">
        <v>5506655.71</v>
      </c>
      <c r="D1415" s="596">
        <v>0</v>
      </c>
      <c r="E1415" s="595">
        <v>662046.25</v>
      </c>
      <c r="F1415" s="596">
        <v>0</v>
      </c>
      <c r="G1415" s="595">
        <v>6168701.96</v>
      </c>
      <c r="H1415" s="596">
        <v>0</v>
      </c>
      <c r="I1415" s="594" t="s">
        <v>2160</v>
      </c>
    </row>
    <row r="1416" spans="1:9" ht="17.100000000000001" customHeight="1">
      <c r="A1416" s="594">
        <v>64210202</v>
      </c>
      <c r="B1416" s="594" t="s">
        <v>2161</v>
      </c>
      <c r="C1416" s="595">
        <v>1577302.78</v>
      </c>
      <c r="D1416" s="596">
        <v>0</v>
      </c>
      <c r="E1416" s="595">
        <v>77153.08</v>
      </c>
      <c r="F1416" s="596">
        <v>0</v>
      </c>
      <c r="G1416" s="595">
        <v>1654455.86</v>
      </c>
      <c r="H1416" s="596">
        <v>0</v>
      </c>
      <c r="I1416" s="594" t="s">
        <v>2162</v>
      </c>
    </row>
    <row r="1417" spans="1:9" ht="17.100000000000001" customHeight="1">
      <c r="A1417" s="594">
        <v>642103</v>
      </c>
      <c r="B1417" s="594" t="s">
        <v>2163</v>
      </c>
      <c r="C1417" s="595">
        <v>3451645.64</v>
      </c>
      <c r="D1417" s="596">
        <v>0</v>
      </c>
      <c r="E1417" s="595">
        <v>1961329.46</v>
      </c>
      <c r="F1417" s="596">
        <v>0</v>
      </c>
      <c r="G1417" s="595">
        <v>5412975.0999999996</v>
      </c>
      <c r="H1417" s="596">
        <v>0</v>
      </c>
      <c r="I1417" s="594" t="s">
        <v>2164</v>
      </c>
    </row>
    <row r="1418" spans="1:9" ht="17.100000000000001" customHeight="1">
      <c r="A1418" s="594">
        <v>64210302</v>
      </c>
      <c r="B1418" s="594" t="s">
        <v>4148</v>
      </c>
      <c r="C1418" s="595">
        <v>245509.93</v>
      </c>
      <c r="D1418" s="596">
        <v>0</v>
      </c>
      <c r="E1418" s="595">
        <v>250965.7</v>
      </c>
      <c r="F1418" s="596">
        <v>0</v>
      </c>
      <c r="G1418" s="595">
        <v>496475.63</v>
      </c>
      <c r="H1418" s="596">
        <v>0</v>
      </c>
      <c r="I1418" s="594" t="s">
        <v>4149</v>
      </c>
    </row>
    <row r="1419" spans="1:9" ht="17.100000000000001" customHeight="1">
      <c r="A1419" s="594">
        <v>64210399</v>
      </c>
      <c r="B1419" s="594" t="s">
        <v>2165</v>
      </c>
      <c r="C1419" s="595">
        <v>3206135.71</v>
      </c>
      <c r="D1419" s="596">
        <v>0</v>
      </c>
      <c r="E1419" s="595">
        <v>1710363.76</v>
      </c>
      <c r="F1419" s="596">
        <v>0</v>
      </c>
      <c r="G1419" s="595">
        <v>4916499.47</v>
      </c>
      <c r="H1419" s="596">
        <v>0</v>
      </c>
      <c r="I1419" s="594" t="s">
        <v>2166</v>
      </c>
    </row>
    <row r="1420" spans="1:9" ht="17.100000000000001" customHeight="1">
      <c r="A1420" s="594">
        <v>642105</v>
      </c>
      <c r="B1420" s="594" t="s">
        <v>2615</v>
      </c>
      <c r="C1420" s="595">
        <v>72689.19</v>
      </c>
      <c r="D1420" s="596">
        <v>0</v>
      </c>
      <c r="E1420" s="595">
        <v>23806.47</v>
      </c>
      <c r="F1420" s="596">
        <v>0</v>
      </c>
      <c r="G1420" s="595">
        <v>96495.66</v>
      </c>
      <c r="H1420" s="596">
        <v>0</v>
      </c>
      <c r="I1420" s="594" t="s">
        <v>2616</v>
      </c>
    </row>
    <row r="1421" spans="1:9" ht="17.100000000000001" customHeight="1">
      <c r="A1421" s="594">
        <v>64210501</v>
      </c>
      <c r="B1421" s="594" t="s">
        <v>2617</v>
      </c>
      <c r="C1421" s="595">
        <v>72689.19</v>
      </c>
      <c r="D1421" s="596">
        <v>0</v>
      </c>
      <c r="E1421" s="595">
        <v>23806.47</v>
      </c>
      <c r="F1421" s="596">
        <v>0</v>
      </c>
      <c r="G1421" s="595">
        <v>96495.66</v>
      </c>
      <c r="H1421" s="596">
        <v>0</v>
      </c>
      <c r="I1421" s="594" t="s">
        <v>2618</v>
      </c>
    </row>
    <row r="1422" spans="1:9" ht="17.100000000000001" customHeight="1">
      <c r="A1422" s="594">
        <v>642199</v>
      </c>
      <c r="B1422" s="594" t="s">
        <v>2167</v>
      </c>
      <c r="C1422" s="595">
        <v>51945971.020000003</v>
      </c>
      <c r="D1422" s="596">
        <v>0</v>
      </c>
      <c r="E1422" s="595">
        <v>22076734.77</v>
      </c>
      <c r="F1422" s="595">
        <v>3586.2</v>
      </c>
      <c r="G1422" s="595">
        <v>74019119.590000004</v>
      </c>
      <c r="H1422" s="596">
        <v>0</v>
      </c>
      <c r="I1422" s="594" t="s">
        <v>2168</v>
      </c>
    </row>
    <row r="1423" spans="1:9" ht="17.100000000000001" customHeight="1">
      <c r="A1423" s="594">
        <v>64219901</v>
      </c>
      <c r="B1423" s="594" t="s">
        <v>3698</v>
      </c>
      <c r="C1423" s="595">
        <v>12293930.640000001</v>
      </c>
      <c r="D1423" s="596">
        <v>0</v>
      </c>
      <c r="E1423" s="595">
        <v>549240</v>
      </c>
      <c r="F1423" s="596">
        <v>0</v>
      </c>
      <c r="G1423" s="595">
        <v>12843170.640000001</v>
      </c>
      <c r="H1423" s="596">
        <v>0</v>
      </c>
      <c r="I1423" s="594" t="s">
        <v>3780</v>
      </c>
    </row>
    <row r="1424" spans="1:9" ht="17.100000000000001" customHeight="1">
      <c r="A1424" s="594">
        <v>64219903</v>
      </c>
      <c r="B1424" s="594" t="s">
        <v>4100</v>
      </c>
      <c r="C1424" s="595">
        <v>53424.66</v>
      </c>
      <c r="D1424" s="596">
        <v>0</v>
      </c>
      <c r="E1424" s="595">
        <v>8219.18</v>
      </c>
      <c r="F1424" s="596">
        <v>0</v>
      </c>
      <c r="G1424" s="595">
        <v>61643.839999999997</v>
      </c>
      <c r="H1424" s="596">
        <v>0</v>
      </c>
      <c r="I1424" s="594" t="s">
        <v>4101</v>
      </c>
    </row>
    <row r="1425" spans="1:9" ht="17.100000000000001" customHeight="1">
      <c r="A1425" s="594">
        <v>64219999</v>
      </c>
      <c r="B1425" s="594" t="s">
        <v>2167</v>
      </c>
      <c r="C1425" s="595">
        <v>39598615.719999999</v>
      </c>
      <c r="D1425" s="596">
        <v>0</v>
      </c>
      <c r="E1425" s="595">
        <v>21519275.59</v>
      </c>
      <c r="F1425" s="595">
        <v>3586.2</v>
      </c>
      <c r="G1425" s="595">
        <v>61114305.109999999</v>
      </c>
      <c r="H1425" s="596">
        <v>0</v>
      </c>
      <c r="I1425" s="594" t="s">
        <v>2169</v>
      </c>
    </row>
    <row r="1426" spans="1:9" ht="17.100000000000001" customHeight="1">
      <c r="A1426" s="320"/>
      <c r="B1426" s="320"/>
      <c r="C1426" s="320"/>
      <c r="D1426" s="557" t="s">
        <v>4198</v>
      </c>
      <c r="E1426" s="320" t="s">
        <v>3783</v>
      </c>
      <c r="F1426" s="320"/>
      <c r="G1426" s="320"/>
      <c r="H1426" s="320"/>
      <c r="I1426" s="320"/>
    </row>
    <row r="1427" spans="1:9" ht="17.100000000000001" customHeight="1">
      <c r="A1427" s="671"/>
      <c r="B1427" s="671"/>
      <c r="C1427" s="671"/>
      <c r="D1427" s="671"/>
      <c r="E1427" s="671"/>
      <c r="F1427" s="671"/>
      <c r="G1427" s="671"/>
      <c r="H1427" s="671"/>
      <c r="I1427" s="671"/>
    </row>
    <row r="1428" spans="1:9" ht="17.100000000000001" customHeight="1">
      <c r="A1428" s="320"/>
      <c r="B1428" s="320"/>
      <c r="C1428" s="589" t="s">
        <v>3707</v>
      </c>
      <c r="D1428" s="320"/>
      <c r="E1428" s="320"/>
      <c r="F1428" s="671"/>
      <c r="G1428" s="671"/>
      <c r="H1428" s="671"/>
      <c r="I1428" s="671"/>
    </row>
    <row r="1429" spans="1:9" ht="17.100000000000001" customHeight="1">
      <c r="A1429" s="590" t="s">
        <v>3708</v>
      </c>
      <c r="B1429" s="590"/>
      <c r="C1429" s="597">
        <v>42887</v>
      </c>
      <c r="D1429" s="590"/>
      <c r="E1429" s="557" t="s">
        <v>3709</v>
      </c>
      <c r="F1429" s="671"/>
      <c r="G1429" s="671"/>
      <c r="H1429" s="671"/>
      <c r="I1429" s="671"/>
    </row>
    <row r="1430" spans="1:9" ht="17.100000000000001" customHeight="1">
      <c r="A1430" s="593" t="s">
        <v>596</v>
      </c>
      <c r="B1430" s="593" t="s">
        <v>597</v>
      </c>
      <c r="C1430" s="593" t="s">
        <v>3710</v>
      </c>
      <c r="D1430" s="593" t="s">
        <v>3711</v>
      </c>
      <c r="E1430" s="593" t="s">
        <v>3712</v>
      </c>
      <c r="F1430" s="593" t="s">
        <v>3713</v>
      </c>
      <c r="G1430" s="593" t="s">
        <v>3714</v>
      </c>
      <c r="H1430" s="593" t="s">
        <v>3715</v>
      </c>
      <c r="I1430" s="593" t="s">
        <v>596</v>
      </c>
    </row>
    <row r="1431" spans="1:9" ht="17.100000000000001" customHeight="1">
      <c r="A1431" s="594">
        <v>6601</v>
      </c>
      <c r="B1431" s="594" t="s">
        <v>2170</v>
      </c>
      <c r="C1431" s="595">
        <v>1280739848.99</v>
      </c>
      <c r="D1431" s="596">
        <v>0</v>
      </c>
      <c r="E1431" s="595">
        <v>771403725.83000004</v>
      </c>
      <c r="F1431" s="595">
        <v>3148.72</v>
      </c>
      <c r="G1431" s="595">
        <v>2052140426.0999999</v>
      </c>
      <c r="H1431" s="596">
        <v>0</v>
      </c>
      <c r="I1431" s="594" t="s">
        <v>2171</v>
      </c>
    </row>
    <row r="1432" spans="1:9" ht="17.100000000000001" customHeight="1">
      <c r="A1432" s="594">
        <v>660101</v>
      </c>
      <c r="B1432" s="594" t="s">
        <v>2172</v>
      </c>
      <c r="C1432" s="595">
        <v>36696913.659999996</v>
      </c>
      <c r="D1432" s="596">
        <v>0</v>
      </c>
      <c r="E1432" s="595">
        <v>9035030.5399999991</v>
      </c>
      <c r="F1432" s="596">
        <v>0</v>
      </c>
      <c r="G1432" s="595">
        <v>45731944.200000003</v>
      </c>
      <c r="H1432" s="596">
        <v>0</v>
      </c>
      <c r="I1432" s="594" t="s">
        <v>2173</v>
      </c>
    </row>
    <row r="1433" spans="1:9" ht="28.5" customHeight="1">
      <c r="A1433" s="594">
        <v>66010101</v>
      </c>
      <c r="B1433" s="594" t="s">
        <v>2172</v>
      </c>
      <c r="C1433" s="595">
        <v>36696913.659999996</v>
      </c>
      <c r="D1433" s="596">
        <v>0</v>
      </c>
      <c r="E1433" s="595">
        <v>9035030.5399999991</v>
      </c>
      <c r="F1433" s="596">
        <v>0</v>
      </c>
      <c r="G1433" s="595">
        <v>45731944.200000003</v>
      </c>
      <c r="H1433" s="596">
        <v>0</v>
      </c>
      <c r="I1433" s="594" t="s">
        <v>2174</v>
      </c>
    </row>
    <row r="1434" spans="1:9">
      <c r="A1434" s="594">
        <v>660102</v>
      </c>
      <c r="B1434" s="594" t="s">
        <v>2175</v>
      </c>
      <c r="C1434" s="595">
        <v>1351997.78</v>
      </c>
      <c r="D1434" s="596">
        <v>0</v>
      </c>
      <c r="E1434" s="595">
        <v>617386.93000000005</v>
      </c>
      <c r="F1434" s="596">
        <v>0</v>
      </c>
      <c r="G1434" s="595">
        <v>1969384.71</v>
      </c>
      <c r="H1434" s="596">
        <v>0</v>
      </c>
      <c r="I1434" s="594" t="s">
        <v>2176</v>
      </c>
    </row>
    <row r="1435" spans="1:9">
      <c r="A1435" s="594">
        <v>66010201</v>
      </c>
      <c r="B1435" s="594" t="s">
        <v>2175</v>
      </c>
      <c r="C1435" s="595">
        <v>1351997.78</v>
      </c>
      <c r="D1435" s="596">
        <v>0</v>
      </c>
      <c r="E1435" s="595">
        <v>617386.93000000005</v>
      </c>
      <c r="F1435" s="596">
        <v>0</v>
      </c>
      <c r="G1435" s="595">
        <v>1969384.71</v>
      </c>
      <c r="H1435" s="596">
        <v>0</v>
      </c>
      <c r="I1435" s="594" t="s">
        <v>2177</v>
      </c>
    </row>
    <row r="1436" spans="1:9">
      <c r="A1436" s="594">
        <v>660103</v>
      </c>
      <c r="B1436" s="594" t="s">
        <v>2178</v>
      </c>
      <c r="C1436" s="595">
        <v>16260196.789999999</v>
      </c>
      <c r="D1436" s="596">
        <v>0</v>
      </c>
      <c r="E1436" s="595">
        <v>4670334.41</v>
      </c>
      <c r="F1436" s="596">
        <v>0</v>
      </c>
      <c r="G1436" s="595">
        <v>20930531.199999999</v>
      </c>
      <c r="H1436" s="596">
        <v>0</v>
      </c>
      <c r="I1436" s="594" t="s">
        <v>2179</v>
      </c>
    </row>
    <row r="1437" spans="1:9" ht="28.5" customHeight="1">
      <c r="A1437" s="594">
        <v>66010301</v>
      </c>
      <c r="B1437" s="594" t="s">
        <v>2178</v>
      </c>
      <c r="C1437" s="595">
        <v>16260196.789999999</v>
      </c>
      <c r="D1437" s="596">
        <v>0</v>
      </c>
      <c r="E1437" s="595">
        <v>4670334.41</v>
      </c>
      <c r="F1437" s="596">
        <v>0</v>
      </c>
      <c r="G1437" s="595">
        <v>20930531.199999999</v>
      </c>
      <c r="H1437" s="596">
        <v>0</v>
      </c>
      <c r="I1437" s="594" t="s">
        <v>2180</v>
      </c>
    </row>
    <row r="1438" spans="1:9" ht="17.100000000000001" customHeight="1">
      <c r="A1438" s="594">
        <v>660104</v>
      </c>
      <c r="B1438" s="594" t="s">
        <v>2181</v>
      </c>
      <c r="C1438" s="595">
        <v>1704070.57</v>
      </c>
      <c r="D1438" s="596">
        <v>0</v>
      </c>
      <c r="E1438" s="595">
        <v>333836.84000000003</v>
      </c>
      <c r="F1438" s="596">
        <v>0</v>
      </c>
      <c r="G1438" s="595">
        <v>2037907.41</v>
      </c>
      <c r="H1438" s="596">
        <v>0</v>
      </c>
      <c r="I1438" s="594" t="s">
        <v>2182</v>
      </c>
    </row>
    <row r="1439" spans="1:9" ht="17.100000000000001" customHeight="1">
      <c r="A1439" s="594">
        <v>66010401</v>
      </c>
      <c r="B1439" s="594" t="s">
        <v>2181</v>
      </c>
      <c r="C1439" s="595">
        <v>1704070.57</v>
      </c>
      <c r="D1439" s="596">
        <v>0</v>
      </c>
      <c r="E1439" s="595">
        <v>333836.84000000003</v>
      </c>
      <c r="F1439" s="596">
        <v>0</v>
      </c>
      <c r="G1439" s="595">
        <v>2037907.41</v>
      </c>
      <c r="H1439" s="596">
        <v>0</v>
      </c>
      <c r="I1439" s="594" t="s">
        <v>2183</v>
      </c>
    </row>
    <row r="1440" spans="1:9" ht="17.100000000000001" customHeight="1">
      <c r="A1440" s="594">
        <v>660105</v>
      </c>
      <c r="B1440" s="594" t="s">
        <v>2184</v>
      </c>
      <c r="C1440" s="595">
        <v>29965999.190000001</v>
      </c>
      <c r="D1440" s="596">
        <v>0</v>
      </c>
      <c r="E1440" s="595">
        <v>12579612.810000001</v>
      </c>
      <c r="F1440" s="596">
        <v>0</v>
      </c>
      <c r="G1440" s="595">
        <v>42545612</v>
      </c>
      <c r="H1440" s="596">
        <v>0</v>
      </c>
      <c r="I1440" s="594" t="s">
        <v>2185</v>
      </c>
    </row>
    <row r="1441" spans="1:9" ht="17.100000000000001" customHeight="1">
      <c r="A1441" s="594">
        <v>66010501</v>
      </c>
      <c r="B1441" s="594" t="s">
        <v>2184</v>
      </c>
      <c r="C1441" s="595">
        <v>29965999.190000001</v>
      </c>
      <c r="D1441" s="596">
        <v>0</v>
      </c>
      <c r="E1441" s="595">
        <v>12579612.810000001</v>
      </c>
      <c r="F1441" s="596">
        <v>0</v>
      </c>
      <c r="G1441" s="595">
        <v>42545612</v>
      </c>
      <c r="H1441" s="596">
        <v>0</v>
      </c>
      <c r="I1441" s="594" t="s">
        <v>2186</v>
      </c>
    </row>
    <row r="1442" spans="1:9" ht="17.100000000000001" customHeight="1">
      <c r="A1442" s="594">
        <v>660106</v>
      </c>
      <c r="B1442" s="594" t="s">
        <v>2187</v>
      </c>
      <c r="C1442" s="595">
        <v>878545.09</v>
      </c>
      <c r="D1442" s="596">
        <v>0</v>
      </c>
      <c r="E1442" s="595">
        <v>340767.28</v>
      </c>
      <c r="F1442" s="596">
        <v>0</v>
      </c>
      <c r="G1442" s="595">
        <v>1219312.3700000001</v>
      </c>
      <c r="H1442" s="596">
        <v>0</v>
      </c>
      <c r="I1442" s="594" t="s">
        <v>2188</v>
      </c>
    </row>
    <row r="1443" spans="1:9" ht="17.100000000000001" customHeight="1">
      <c r="A1443" s="594">
        <v>66010601</v>
      </c>
      <c r="B1443" s="594" t="s">
        <v>2187</v>
      </c>
      <c r="C1443" s="595">
        <v>878545.09</v>
      </c>
      <c r="D1443" s="596">
        <v>0</v>
      </c>
      <c r="E1443" s="595">
        <v>340767.28</v>
      </c>
      <c r="F1443" s="596">
        <v>0</v>
      </c>
      <c r="G1443" s="595">
        <v>1219312.3700000001</v>
      </c>
      <c r="H1443" s="596">
        <v>0</v>
      </c>
      <c r="I1443" s="594" t="s">
        <v>2189</v>
      </c>
    </row>
    <row r="1444" spans="1:9" ht="17.100000000000001" customHeight="1">
      <c r="A1444" s="594">
        <v>660107</v>
      </c>
      <c r="B1444" s="594" t="s">
        <v>2190</v>
      </c>
      <c r="C1444" s="595">
        <v>15999835.970000001</v>
      </c>
      <c r="D1444" s="596">
        <v>0</v>
      </c>
      <c r="E1444" s="595">
        <v>31697400.84</v>
      </c>
      <c r="F1444" s="596">
        <v>0</v>
      </c>
      <c r="G1444" s="595">
        <v>47697236.810000002</v>
      </c>
      <c r="H1444" s="596">
        <v>0</v>
      </c>
      <c r="I1444" s="594" t="s">
        <v>2191</v>
      </c>
    </row>
    <row r="1445" spans="1:9" ht="17.100000000000001" customHeight="1">
      <c r="A1445" s="594">
        <v>66010702</v>
      </c>
      <c r="B1445" s="594" t="s">
        <v>2192</v>
      </c>
      <c r="C1445" s="595">
        <v>115300.61</v>
      </c>
      <c r="D1445" s="596">
        <v>0</v>
      </c>
      <c r="E1445" s="595">
        <v>52825.06</v>
      </c>
      <c r="F1445" s="596">
        <v>0</v>
      </c>
      <c r="G1445" s="595">
        <v>168125.67</v>
      </c>
      <c r="H1445" s="596">
        <v>0</v>
      </c>
      <c r="I1445" s="594" t="s">
        <v>2193</v>
      </c>
    </row>
    <row r="1446" spans="1:9" ht="17.100000000000001" customHeight="1">
      <c r="A1446" s="594">
        <v>66010703</v>
      </c>
      <c r="B1446" s="594" t="s">
        <v>2710</v>
      </c>
      <c r="C1446" s="595">
        <v>15884535.359999999</v>
      </c>
      <c r="D1446" s="596">
        <v>0</v>
      </c>
      <c r="E1446" s="595">
        <v>31644575.780000001</v>
      </c>
      <c r="F1446" s="596">
        <v>0</v>
      </c>
      <c r="G1446" s="595">
        <v>47529111.140000001</v>
      </c>
      <c r="H1446" s="596">
        <v>0</v>
      </c>
      <c r="I1446" s="594" t="s">
        <v>2711</v>
      </c>
    </row>
    <row r="1447" spans="1:9" ht="17.100000000000001" customHeight="1">
      <c r="A1447" s="594">
        <v>660108</v>
      </c>
      <c r="B1447" s="594" t="s">
        <v>2194</v>
      </c>
      <c r="C1447" s="595">
        <v>15775318.09</v>
      </c>
      <c r="D1447" s="596">
        <v>0</v>
      </c>
      <c r="E1447" s="595">
        <v>3310574.25</v>
      </c>
      <c r="F1447" s="596">
        <v>0</v>
      </c>
      <c r="G1447" s="595">
        <v>19085892.34</v>
      </c>
      <c r="H1447" s="596">
        <v>0</v>
      </c>
      <c r="I1447" s="594" t="s">
        <v>2195</v>
      </c>
    </row>
    <row r="1448" spans="1:9" ht="17.100000000000001" customHeight="1">
      <c r="A1448" s="594">
        <v>66010801</v>
      </c>
      <c r="B1448" s="594" t="s">
        <v>2194</v>
      </c>
      <c r="C1448" s="595">
        <v>15775318.09</v>
      </c>
      <c r="D1448" s="596">
        <v>0</v>
      </c>
      <c r="E1448" s="595">
        <v>3310574.25</v>
      </c>
      <c r="F1448" s="596">
        <v>0</v>
      </c>
      <c r="G1448" s="595">
        <v>19085892.34</v>
      </c>
      <c r="H1448" s="596">
        <v>0</v>
      </c>
      <c r="I1448" s="594" t="s">
        <v>2196</v>
      </c>
    </row>
    <row r="1449" spans="1:9" ht="17.100000000000001" customHeight="1">
      <c r="A1449" s="594">
        <v>660109</v>
      </c>
      <c r="B1449" s="594" t="s">
        <v>2197</v>
      </c>
      <c r="C1449" s="595">
        <v>503009.42</v>
      </c>
      <c r="D1449" s="596">
        <v>0</v>
      </c>
      <c r="E1449" s="596">
        <v>0</v>
      </c>
      <c r="F1449" s="596">
        <v>0</v>
      </c>
      <c r="G1449" s="595">
        <v>503009.42</v>
      </c>
      <c r="H1449" s="596">
        <v>0</v>
      </c>
      <c r="I1449" s="594" t="s">
        <v>2198</v>
      </c>
    </row>
    <row r="1450" spans="1:9" ht="17.100000000000001" customHeight="1">
      <c r="A1450" s="594">
        <v>66010901</v>
      </c>
      <c r="B1450" s="594" t="s">
        <v>2197</v>
      </c>
      <c r="C1450" s="595">
        <v>503009.42</v>
      </c>
      <c r="D1450" s="596">
        <v>0</v>
      </c>
      <c r="E1450" s="596">
        <v>0</v>
      </c>
      <c r="F1450" s="596">
        <v>0</v>
      </c>
      <c r="G1450" s="595">
        <v>503009.42</v>
      </c>
      <c r="H1450" s="596">
        <v>0</v>
      </c>
      <c r="I1450" s="594" t="s">
        <v>2199</v>
      </c>
    </row>
    <row r="1451" spans="1:9" ht="17.100000000000001" customHeight="1">
      <c r="A1451" s="594">
        <v>660110</v>
      </c>
      <c r="B1451" s="594" t="s">
        <v>4063</v>
      </c>
      <c r="C1451" s="595">
        <v>9357.5499999999993</v>
      </c>
      <c r="D1451" s="596">
        <v>0</v>
      </c>
      <c r="E1451" s="596">
        <v>0</v>
      </c>
      <c r="F1451" s="596">
        <v>0</v>
      </c>
      <c r="G1451" s="595">
        <v>9357.5499999999993</v>
      </c>
      <c r="H1451" s="596">
        <v>0</v>
      </c>
      <c r="I1451" s="594" t="s">
        <v>4064</v>
      </c>
    </row>
    <row r="1452" spans="1:9" ht="17.100000000000001" customHeight="1">
      <c r="A1452" s="594">
        <v>66011001</v>
      </c>
      <c r="B1452" s="594" t="s">
        <v>4063</v>
      </c>
      <c r="C1452" s="595">
        <v>9357.5499999999993</v>
      </c>
      <c r="D1452" s="596">
        <v>0</v>
      </c>
      <c r="E1452" s="596">
        <v>0</v>
      </c>
      <c r="F1452" s="596">
        <v>0</v>
      </c>
      <c r="G1452" s="595">
        <v>9357.5499999999993</v>
      </c>
      <c r="H1452" s="596">
        <v>0</v>
      </c>
      <c r="I1452" s="594" t="s">
        <v>4065</v>
      </c>
    </row>
    <row r="1453" spans="1:9" ht="17.100000000000001" customHeight="1">
      <c r="A1453" s="594">
        <v>660111</v>
      </c>
      <c r="B1453" s="594" t="s">
        <v>2200</v>
      </c>
      <c r="C1453" s="595">
        <v>3523443.52</v>
      </c>
      <c r="D1453" s="596">
        <v>0</v>
      </c>
      <c r="E1453" s="595">
        <v>10475979.029999999</v>
      </c>
      <c r="F1453" s="596">
        <v>0</v>
      </c>
      <c r="G1453" s="595">
        <v>13999422.550000001</v>
      </c>
      <c r="H1453" s="596">
        <v>0</v>
      </c>
      <c r="I1453" s="594" t="s">
        <v>2201</v>
      </c>
    </row>
    <row r="1454" spans="1:9" ht="17.100000000000001" customHeight="1">
      <c r="A1454" s="594">
        <v>66011101</v>
      </c>
      <c r="B1454" s="594" t="s">
        <v>2200</v>
      </c>
      <c r="C1454" s="595">
        <v>3523443.52</v>
      </c>
      <c r="D1454" s="596">
        <v>0</v>
      </c>
      <c r="E1454" s="595">
        <v>10475979.029999999</v>
      </c>
      <c r="F1454" s="596">
        <v>0</v>
      </c>
      <c r="G1454" s="595">
        <v>13999422.550000001</v>
      </c>
      <c r="H1454" s="596">
        <v>0</v>
      </c>
      <c r="I1454" s="594" t="s">
        <v>2202</v>
      </c>
    </row>
    <row r="1455" spans="1:9" ht="17.100000000000001" customHeight="1">
      <c r="A1455" s="594">
        <v>660112</v>
      </c>
      <c r="B1455" s="594" t="s">
        <v>4102</v>
      </c>
      <c r="C1455" s="595">
        <v>1636.89</v>
      </c>
      <c r="D1455" s="596">
        <v>0</v>
      </c>
      <c r="E1455" s="595">
        <v>2227711.16</v>
      </c>
      <c r="F1455" s="596">
        <v>0</v>
      </c>
      <c r="G1455" s="595">
        <v>2229348.0499999998</v>
      </c>
      <c r="H1455" s="596">
        <v>0</v>
      </c>
      <c r="I1455" s="594" t="s">
        <v>4103</v>
      </c>
    </row>
    <row r="1456" spans="1:9" ht="17.100000000000001" customHeight="1">
      <c r="A1456" s="594">
        <v>66011201</v>
      </c>
      <c r="B1456" s="594" t="s">
        <v>4102</v>
      </c>
      <c r="C1456" s="595">
        <v>1636.89</v>
      </c>
      <c r="D1456" s="596">
        <v>0</v>
      </c>
      <c r="E1456" s="595">
        <v>2227711.16</v>
      </c>
      <c r="F1456" s="596">
        <v>0</v>
      </c>
      <c r="G1456" s="595">
        <v>2229348.0499999998</v>
      </c>
      <c r="H1456" s="596">
        <v>0</v>
      </c>
      <c r="I1456" s="594" t="s">
        <v>4104</v>
      </c>
    </row>
    <row r="1457" spans="1:9" ht="17.100000000000001" customHeight="1">
      <c r="A1457" s="594">
        <v>660116</v>
      </c>
      <c r="B1457" s="594" t="s">
        <v>3497</v>
      </c>
      <c r="C1457" s="595">
        <v>42567</v>
      </c>
      <c r="D1457" s="596">
        <v>0</v>
      </c>
      <c r="E1457" s="596">
        <v>0</v>
      </c>
      <c r="F1457" s="596">
        <v>0</v>
      </c>
      <c r="G1457" s="595">
        <v>42567</v>
      </c>
      <c r="H1457" s="596">
        <v>0</v>
      </c>
      <c r="I1457" s="594" t="s">
        <v>3498</v>
      </c>
    </row>
    <row r="1458" spans="1:9" ht="17.100000000000001" customHeight="1">
      <c r="A1458" s="594">
        <v>66011601</v>
      </c>
      <c r="B1458" s="594" t="s">
        <v>3497</v>
      </c>
      <c r="C1458" s="595">
        <v>42567</v>
      </c>
      <c r="D1458" s="596">
        <v>0</v>
      </c>
      <c r="E1458" s="596">
        <v>0</v>
      </c>
      <c r="F1458" s="596">
        <v>0</v>
      </c>
      <c r="G1458" s="595">
        <v>42567</v>
      </c>
      <c r="H1458" s="596">
        <v>0</v>
      </c>
      <c r="I1458" s="594" t="s">
        <v>3499</v>
      </c>
    </row>
    <row r="1459" spans="1:9" ht="17.100000000000001" customHeight="1">
      <c r="A1459" s="594">
        <v>660117</v>
      </c>
      <c r="B1459" s="594" t="s">
        <v>2203</v>
      </c>
      <c r="C1459" s="595">
        <v>8816014.8800000008</v>
      </c>
      <c r="D1459" s="596">
        <v>0</v>
      </c>
      <c r="E1459" s="595">
        <v>1941707.94</v>
      </c>
      <c r="F1459" s="596">
        <v>0</v>
      </c>
      <c r="G1459" s="595">
        <v>10757722.82</v>
      </c>
      <c r="H1459" s="596">
        <v>0</v>
      </c>
      <c r="I1459" s="594" t="s">
        <v>2204</v>
      </c>
    </row>
    <row r="1460" spans="1:9" ht="17.100000000000001" customHeight="1">
      <c r="A1460" s="594">
        <v>66011701</v>
      </c>
      <c r="B1460" s="594" t="s">
        <v>2203</v>
      </c>
      <c r="C1460" s="595">
        <v>8816014.8800000008</v>
      </c>
      <c r="D1460" s="596">
        <v>0</v>
      </c>
      <c r="E1460" s="595">
        <v>1941707.94</v>
      </c>
      <c r="F1460" s="596">
        <v>0</v>
      </c>
      <c r="G1460" s="595">
        <v>10757722.82</v>
      </c>
      <c r="H1460" s="596">
        <v>0</v>
      </c>
      <c r="I1460" s="594" t="s">
        <v>2205</v>
      </c>
    </row>
    <row r="1461" spans="1:9" ht="17.100000000000001" customHeight="1">
      <c r="A1461" s="594">
        <v>660118</v>
      </c>
      <c r="B1461" s="594" t="s">
        <v>2206</v>
      </c>
      <c r="C1461" s="595">
        <v>2539706.46</v>
      </c>
      <c r="D1461" s="596">
        <v>0</v>
      </c>
      <c r="E1461" s="595">
        <v>661788.66</v>
      </c>
      <c r="F1461" s="596">
        <v>0</v>
      </c>
      <c r="G1461" s="595">
        <v>3201495.12</v>
      </c>
      <c r="H1461" s="596">
        <v>0</v>
      </c>
      <c r="I1461" s="594" t="s">
        <v>2207</v>
      </c>
    </row>
    <row r="1462" spans="1:9" ht="17.100000000000001" customHeight="1">
      <c r="A1462" s="594">
        <v>66011801</v>
      </c>
      <c r="B1462" s="594" t="s">
        <v>2206</v>
      </c>
      <c r="C1462" s="595">
        <v>2539706.46</v>
      </c>
      <c r="D1462" s="596">
        <v>0</v>
      </c>
      <c r="E1462" s="595">
        <v>661788.66</v>
      </c>
      <c r="F1462" s="596">
        <v>0</v>
      </c>
      <c r="G1462" s="595">
        <v>3201495.12</v>
      </c>
      <c r="H1462" s="596">
        <v>0</v>
      </c>
      <c r="I1462" s="594" t="s">
        <v>2208</v>
      </c>
    </row>
    <row r="1463" spans="1:9" ht="17.100000000000001" customHeight="1">
      <c r="A1463" s="594">
        <v>660119</v>
      </c>
      <c r="B1463" s="594" t="s">
        <v>2209</v>
      </c>
      <c r="C1463" s="595">
        <v>16337178.970000001</v>
      </c>
      <c r="D1463" s="596">
        <v>0</v>
      </c>
      <c r="E1463" s="595">
        <v>4510974.08</v>
      </c>
      <c r="F1463" s="596">
        <v>0</v>
      </c>
      <c r="G1463" s="595">
        <v>20848153.050000001</v>
      </c>
      <c r="H1463" s="596">
        <v>0</v>
      </c>
      <c r="I1463" s="594" t="s">
        <v>2210</v>
      </c>
    </row>
    <row r="1464" spans="1:9" ht="17.100000000000001" customHeight="1">
      <c r="A1464" s="594">
        <v>66011901</v>
      </c>
      <c r="B1464" s="594" t="s">
        <v>2209</v>
      </c>
      <c r="C1464" s="595">
        <v>16337178.970000001</v>
      </c>
      <c r="D1464" s="596">
        <v>0</v>
      </c>
      <c r="E1464" s="595">
        <v>4510974.08</v>
      </c>
      <c r="F1464" s="596">
        <v>0</v>
      </c>
      <c r="G1464" s="595">
        <v>20848153.050000001</v>
      </c>
      <c r="H1464" s="596">
        <v>0</v>
      </c>
      <c r="I1464" s="594" t="s">
        <v>2211</v>
      </c>
    </row>
    <row r="1465" spans="1:9" ht="17.100000000000001" customHeight="1">
      <c r="A1465" s="320"/>
      <c r="B1465" s="320"/>
      <c r="C1465" s="320"/>
      <c r="D1465" s="557" t="s">
        <v>4198</v>
      </c>
      <c r="E1465" s="320" t="s">
        <v>3784</v>
      </c>
      <c r="F1465" s="320"/>
      <c r="G1465" s="320"/>
      <c r="H1465" s="320"/>
      <c r="I1465" s="320"/>
    </row>
    <row r="1466" spans="1:9" ht="28.5" customHeight="1">
      <c r="A1466" s="671"/>
      <c r="B1466" s="671"/>
      <c r="C1466" s="671"/>
      <c r="D1466" s="671"/>
      <c r="E1466" s="671"/>
      <c r="F1466" s="671"/>
      <c r="G1466" s="671"/>
      <c r="H1466" s="671"/>
      <c r="I1466" s="671"/>
    </row>
    <row r="1467" spans="1:9" ht="24.75">
      <c r="A1467" s="320"/>
      <c r="B1467" s="320"/>
      <c r="C1467" s="589" t="s">
        <v>3707</v>
      </c>
      <c r="D1467" s="320"/>
      <c r="E1467" s="320"/>
      <c r="F1467" s="671"/>
      <c r="G1467" s="671"/>
      <c r="H1467" s="671"/>
      <c r="I1467" s="671"/>
    </row>
    <row r="1468" spans="1:9" ht="17.25">
      <c r="A1468" s="590" t="s">
        <v>3708</v>
      </c>
      <c r="B1468" s="590"/>
      <c r="C1468" s="597">
        <v>42887</v>
      </c>
      <c r="D1468" s="590"/>
      <c r="E1468" s="557" t="s">
        <v>3709</v>
      </c>
      <c r="F1468" s="671"/>
      <c r="G1468" s="671"/>
      <c r="H1468" s="671"/>
      <c r="I1468" s="671"/>
    </row>
    <row r="1469" spans="1:9" ht="16.5">
      <c r="A1469" s="593" t="s">
        <v>596</v>
      </c>
      <c r="B1469" s="593" t="s">
        <v>597</v>
      </c>
      <c r="C1469" s="593" t="s">
        <v>3710</v>
      </c>
      <c r="D1469" s="593" t="s">
        <v>3711</v>
      </c>
      <c r="E1469" s="593" t="s">
        <v>3712</v>
      </c>
      <c r="F1469" s="593" t="s">
        <v>3713</v>
      </c>
      <c r="G1469" s="593" t="s">
        <v>3714</v>
      </c>
      <c r="H1469" s="593" t="s">
        <v>3715</v>
      </c>
      <c r="I1469" s="593" t="s">
        <v>596</v>
      </c>
    </row>
    <row r="1470" spans="1:9" ht="28.5" customHeight="1">
      <c r="A1470" s="594">
        <v>660120</v>
      </c>
      <c r="B1470" s="594" t="s">
        <v>2212</v>
      </c>
      <c r="C1470" s="595">
        <v>1039055.49</v>
      </c>
      <c r="D1470" s="596">
        <v>0</v>
      </c>
      <c r="E1470" s="595">
        <v>181651.64</v>
      </c>
      <c r="F1470" s="596">
        <v>0</v>
      </c>
      <c r="G1470" s="595">
        <v>1220707.1299999999</v>
      </c>
      <c r="H1470" s="596">
        <v>0</v>
      </c>
      <c r="I1470" s="594" t="s">
        <v>2213</v>
      </c>
    </row>
    <row r="1471" spans="1:9" ht="17.100000000000001" customHeight="1">
      <c r="A1471" s="594">
        <v>66012001</v>
      </c>
      <c r="B1471" s="594" t="s">
        <v>2212</v>
      </c>
      <c r="C1471" s="595">
        <v>1039055.49</v>
      </c>
      <c r="D1471" s="596">
        <v>0</v>
      </c>
      <c r="E1471" s="595">
        <v>181651.64</v>
      </c>
      <c r="F1471" s="596">
        <v>0</v>
      </c>
      <c r="G1471" s="595">
        <v>1220707.1299999999</v>
      </c>
      <c r="H1471" s="596">
        <v>0</v>
      </c>
      <c r="I1471" s="594" t="s">
        <v>2214</v>
      </c>
    </row>
    <row r="1472" spans="1:9" ht="17.100000000000001" customHeight="1">
      <c r="A1472" s="594">
        <v>660121</v>
      </c>
      <c r="B1472" s="594" t="s">
        <v>2215</v>
      </c>
      <c r="C1472" s="595">
        <v>1119316.3999999999</v>
      </c>
      <c r="D1472" s="596">
        <v>0</v>
      </c>
      <c r="E1472" s="595">
        <v>534226.17000000004</v>
      </c>
      <c r="F1472" s="596">
        <v>0</v>
      </c>
      <c r="G1472" s="595">
        <v>1653542.57</v>
      </c>
      <c r="H1472" s="596">
        <v>0</v>
      </c>
      <c r="I1472" s="594" t="s">
        <v>2216</v>
      </c>
    </row>
    <row r="1473" spans="1:9" ht="17.100000000000001" customHeight="1">
      <c r="A1473" s="594">
        <v>66012101</v>
      </c>
      <c r="B1473" s="594" t="s">
        <v>2215</v>
      </c>
      <c r="C1473" s="595">
        <v>1119316.3999999999</v>
      </c>
      <c r="D1473" s="596">
        <v>0</v>
      </c>
      <c r="E1473" s="595">
        <v>534226.17000000004</v>
      </c>
      <c r="F1473" s="596">
        <v>0</v>
      </c>
      <c r="G1473" s="595">
        <v>1653542.57</v>
      </c>
      <c r="H1473" s="596">
        <v>0</v>
      </c>
      <c r="I1473" s="594" t="s">
        <v>2217</v>
      </c>
    </row>
    <row r="1474" spans="1:9" ht="17.100000000000001" customHeight="1">
      <c r="A1474" s="594">
        <v>660122</v>
      </c>
      <c r="B1474" s="594" t="s">
        <v>4118</v>
      </c>
      <c r="C1474" s="595">
        <v>2187330.2599999998</v>
      </c>
      <c r="D1474" s="596">
        <v>0</v>
      </c>
      <c r="E1474" s="596">
        <v>0</v>
      </c>
      <c r="F1474" s="596">
        <v>0</v>
      </c>
      <c r="G1474" s="595">
        <v>2187330.2599999998</v>
      </c>
      <c r="H1474" s="596">
        <v>0</v>
      </c>
      <c r="I1474" s="594" t="s">
        <v>4119</v>
      </c>
    </row>
    <row r="1475" spans="1:9" ht="17.100000000000001" customHeight="1">
      <c r="A1475" s="594">
        <v>66012201</v>
      </c>
      <c r="B1475" s="594" t="s">
        <v>4118</v>
      </c>
      <c r="C1475" s="595">
        <v>2187330.2599999998</v>
      </c>
      <c r="D1475" s="596">
        <v>0</v>
      </c>
      <c r="E1475" s="596">
        <v>0</v>
      </c>
      <c r="F1475" s="596">
        <v>0</v>
      </c>
      <c r="G1475" s="595">
        <v>2187330.2599999998</v>
      </c>
      <c r="H1475" s="596">
        <v>0</v>
      </c>
      <c r="I1475" s="594" t="s">
        <v>4120</v>
      </c>
    </row>
    <row r="1476" spans="1:9" ht="17.100000000000001" customHeight="1">
      <c r="A1476" s="594">
        <v>660123</v>
      </c>
      <c r="B1476" s="594" t="s">
        <v>2218</v>
      </c>
      <c r="C1476" s="595">
        <v>121500</v>
      </c>
      <c r="D1476" s="596">
        <v>0</v>
      </c>
      <c r="E1476" s="595">
        <v>236000</v>
      </c>
      <c r="F1476" s="596">
        <v>0</v>
      </c>
      <c r="G1476" s="595">
        <v>357500</v>
      </c>
      <c r="H1476" s="596">
        <v>0</v>
      </c>
      <c r="I1476" s="594" t="s">
        <v>2219</v>
      </c>
    </row>
    <row r="1477" spans="1:9" ht="17.100000000000001" customHeight="1">
      <c r="A1477" s="594">
        <v>66012301</v>
      </c>
      <c r="B1477" s="594" t="s">
        <v>2218</v>
      </c>
      <c r="C1477" s="595">
        <v>121500</v>
      </c>
      <c r="D1477" s="596">
        <v>0</v>
      </c>
      <c r="E1477" s="595">
        <v>236000</v>
      </c>
      <c r="F1477" s="596">
        <v>0</v>
      </c>
      <c r="G1477" s="595">
        <v>357500</v>
      </c>
      <c r="H1477" s="596">
        <v>0</v>
      </c>
      <c r="I1477" s="594" t="s">
        <v>2220</v>
      </c>
    </row>
    <row r="1478" spans="1:9" ht="17.100000000000001" customHeight="1">
      <c r="A1478" s="594">
        <v>660125</v>
      </c>
      <c r="B1478" s="594" t="s">
        <v>2225</v>
      </c>
      <c r="C1478" s="595">
        <v>2508056.7599999998</v>
      </c>
      <c r="D1478" s="596">
        <v>0</v>
      </c>
      <c r="E1478" s="595">
        <v>387384.47</v>
      </c>
      <c r="F1478" s="596">
        <v>0</v>
      </c>
      <c r="G1478" s="595">
        <v>2895441.23</v>
      </c>
      <c r="H1478" s="596">
        <v>0</v>
      </c>
      <c r="I1478" s="594" t="s">
        <v>2226</v>
      </c>
    </row>
    <row r="1479" spans="1:9" ht="17.100000000000001" customHeight="1">
      <c r="A1479" s="594">
        <v>66012501</v>
      </c>
      <c r="B1479" s="594" t="s">
        <v>2225</v>
      </c>
      <c r="C1479" s="595">
        <v>2508056.7599999998</v>
      </c>
      <c r="D1479" s="596">
        <v>0</v>
      </c>
      <c r="E1479" s="595">
        <v>387384.47</v>
      </c>
      <c r="F1479" s="596">
        <v>0</v>
      </c>
      <c r="G1479" s="595">
        <v>2895441.23</v>
      </c>
      <c r="H1479" s="596">
        <v>0</v>
      </c>
      <c r="I1479" s="594" t="s">
        <v>2227</v>
      </c>
    </row>
    <row r="1480" spans="1:9" ht="17.100000000000001" customHeight="1">
      <c r="A1480" s="594">
        <v>660128</v>
      </c>
      <c r="B1480" s="594" t="s">
        <v>2228</v>
      </c>
      <c r="C1480" s="595">
        <v>8994827.7400000002</v>
      </c>
      <c r="D1480" s="596">
        <v>0</v>
      </c>
      <c r="E1480" s="595">
        <v>2316828.4900000002</v>
      </c>
      <c r="F1480" s="596">
        <v>0</v>
      </c>
      <c r="G1480" s="595">
        <v>11311656.23</v>
      </c>
      <c r="H1480" s="596">
        <v>0</v>
      </c>
      <c r="I1480" s="594" t="s">
        <v>2229</v>
      </c>
    </row>
    <row r="1481" spans="1:9" ht="17.100000000000001" customHeight="1">
      <c r="A1481" s="594">
        <v>66012801</v>
      </c>
      <c r="B1481" s="594" t="s">
        <v>2228</v>
      </c>
      <c r="C1481" s="595">
        <v>8994827.7400000002</v>
      </c>
      <c r="D1481" s="596">
        <v>0</v>
      </c>
      <c r="E1481" s="595">
        <v>2316828.4900000002</v>
      </c>
      <c r="F1481" s="596">
        <v>0</v>
      </c>
      <c r="G1481" s="595">
        <v>11311656.23</v>
      </c>
      <c r="H1481" s="596">
        <v>0</v>
      </c>
      <c r="I1481" s="594" t="s">
        <v>2230</v>
      </c>
    </row>
    <row r="1482" spans="1:9" ht="17.100000000000001" customHeight="1">
      <c r="A1482" s="594">
        <v>660129</v>
      </c>
      <c r="B1482" s="594" t="s">
        <v>2231</v>
      </c>
      <c r="C1482" s="595">
        <v>417235547.47000003</v>
      </c>
      <c r="D1482" s="596">
        <v>0</v>
      </c>
      <c r="E1482" s="595">
        <v>462030268.19</v>
      </c>
      <c r="F1482" s="596">
        <v>0</v>
      </c>
      <c r="G1482" s="595">
        <v>879265815.65999997</v>
      </c>
      <c r="H1482" s="596">
        <v>0</v>
      </c>
      <c r="I1482" s="594" t="s">
        <v>2232</v>
      </c>
    </row>
    <row r="1483" spans="1:9" ht="17.100000000000001" customHeight="1">
      <c r="A1483" s="594">
        <v>66012901</v>
      </c>
      <c r="B1483" s="594" t="s">
        <v>2233</v>
      </c>
      <c r="C1483" s="595">
        <v>259580272.13</v>
      </c>
      <c r="D1483" s="596">
        <v>0</v>
      </c>
      <c r="E1483" s="595">
        <v>48028648.82</v>
      </c>
      <c r="F1483" s="596">
        <v>0</v>
      </c>
      <c r="G1483" s="595">
        <v>307608920.94999999</v>
      </c>
      <c r="H1483" s="596">
        <v>0</v>
      </c>
      <c r="I1483" s="594" t="s">
        <v>2234</v>
      </c>
    </row>
    <row r="1484" spans="1:9" ht="17.100000000000001" customHeight="1">
      <c r="A1484" s="594">
        <v>66012902</v>
      </c>
      <c r="B1484" s="594" t="s">
        <v>2235</v>
      </c>
      <c r="C1484" s="595">
        <v>150574676.11000001</v>
      </c>
      <c r="D1484" s="596">
        <v>0</v>
      </c>
      <c r="E1484" s="595">
        <v>413462512.48000002</v>
      </c>
      <c r="F1484" s="596">
        <v>0</v>
      </c>
      <c r="G1484" s="595">
        <v>564037188.59000003</v>
      </c>
      <c r="H1484" s="596">
        <v>0</v>
      </c>
      <c r="I1484" s="594" t="s">
        <v>2236</v>
      </c>
    </row>
    <row r="1485" spans="1:9" ht="17.100000000000001" customHeight="1">
      <c r="A1485" s="594">
        <v>66012903</v>
      </c>
      <c r="B1485" s="594" t="s">
        <v>2237</v>
      </c>
      <c r="C1485" s="595">
        <v>5802014</v>
      </c>
      <c r="D1485" s="596">
        <v>0</v>
      </c>
      <c r="E1485" s="595">
        <v>281909.28000000003</v>
      </c>
      <c r="F1485" s="596">
        <v>0</v>
      </c>
      <c r="G1485" s="595">
        <v>6083923.2800000003</v>
      </c>
      <c r="H1485" s="596">
        <v>0</v>
      </c>
      <c r="I1485" s="594" t="s">
        <v>2238</v>
      </c>
    </row>
    <row r="1486" spans="1:9" ht="17.100000000000001" customHeight="1">
      <c r="A1486" s="594">
        <v>66012905</v>
      </c>
      <c r="B1486" s="594" t="s">
        <v>2239</v>
      </c>
      <c r="C1486" s="595">
        <v>1278585.23</v>
      </c>
      <c r="D1486" s="596">
        <v>0</v>
      </c>
      <c r="E1486" s="595">
        <v>257197.61</v>
      </c>
      <c r="F1486" s="596">
        <v>0</v>
      </c>
      <c r="G1486" s="595">
        <v>1535782.84</v>
      </c>
      <c r="H1486" s="596">
        <v>0</v>
      </c>
      <c r="I1486" s="594" t="s">
        <v>2240</v>
      </c>
    </row>
    <row r="1487" spans="1:9" ht="17.100000000000001" customHeight="1">
      <c r="A1487" s="594">
        <v>660130</v>
      </c>
      <c r="B1487" s="594" t="s">
        <v>2241</v>
      </c>
      <c r="C1487" s="595">
        <v>36627536.439999998</v>
      </c>
      <c r="D1487" s="596">
        <v>0</v>
      </c>
      <c r="E1487" s="595">
        <v>7978957.1500000004</v>
      </c>
      <c r="F1487" s="596">
        <v>0</v>
      </c>
      <c r="G1487" s="595">
        <v>44606493.590000004</v>
      </c>
      <c r="H1487" s="596">
        <v>0</v>
      </c>
      <c r="I1487" s="594" t="s">
        <v>2242</v>
      </c>
    </row>
    <row r="1488" spans="1:9" ht="17.100000000000001" customHeight="1">
      <c r="A1488" s="594">
        <v>66013001</v>
      </c>
      <c r="B1488" s="594" t="s">
        <v>2241</v>
      </c>
      <c r="C1488" s="595">
        <v>36627536.439999998</v>
      </c>
      <c r="D1488" s="596">
        <v>0</v>
      </c>
      <c r="E1488" s="595">
        <v>7978957.1500000004</v>
      </c>
      <c r="F1488" s="596">
        <v>0</v>
      </c>
      <c r="G1488" s="595">
        <v>44606493.590000004</v>
      </c>
      <c r="H1488" s="596">
        <v>0</v>
      </c>
      <c r="I1488" s="594" t="s">
        <v>2243</v>
      </c>
    </row>
    <row r="1489" spans="1:9" ht="17.100000000000001" customHeight="1">
      <c r="A1489" s="594">
        <v>660131</v>
      </c>
      <c r="B1489" s="594" t="s">
        <v>2244</v>
      </c>
      <c r="C1489" s="595">
        <v>5293896.6399999997</v>
      </c>
      <c r="D1489" s="596">
        <v>0</v>
      </c>
      <c r="E1489" s="595">
        <v>10171028.84</v>
      </c>
      <c r="F1489" s="596">
        <v>0</v>
      </c>
      <c r="G1489" s="595">
        <v>15464925.48</v>
      </c>
      <c r="H1489" s="596">
        <v>0</v>
      </c>
      <c r="I1489" s="594" t="s">
        <v>2245</v>
      </c>
    </row>
    <row r="1490" spans="1:9" ht="17.100000000000001" customHeight="1">
      <c r="A1490" s="594">
        <v>66013101</v>
      </c>
      <c r="B1490" s="594" t="s">
        <v>2244</v>
      </c>
      <c r="C1490" s="595">
        <v>5293896.6399999997</v>
      </c>
      <c r="D1490" s="596">
        <v>0</v>
      </c>
      <c r="E1490" s="595">
        <v>10171028.84</v>
      </c>
      <c r="F1490" s="596">
        <v>0</v>
      </c>
      <c r="G1490" s="595">
        <v>15464925.48</v>
      </c>
      <c r="H1490" s="596">
        <v>0</v>
      </c>
      <c r="I1490" s="594" t="s">
        <v>2246</v>
      </c>
    </row>
    <row r="1491" spans="1:9" ht="17.100000000000001" customHeight="1">
      <c r="A1491" s="594">
        <v>660132</v>
      </c>
      <c r="B1491" s="594" t="s">
        <v>4070</v>
      </c>
      <c r="C1491" s="595">
        <v>7147219.4000000004</v>
      </c>
      <c r="D1491" s="596">
        <v>0</v>
      </c>
      <c r="E1491" s="595">
        <v>10438096.9</v>
      </c>
      <c r="F1491" s="596">
        <v>0</v>
      </c>
      <c r="G1491" s="595">
        <v>17585316.300000001</v>
      </c>
      <c r="H1491" s="596">
        <v>0</v>
      </c>
      <c r="I1491" s="594" t="s">
        <v>4071</v>
      </c>
    </row>
    <row r="1492" spans="1:9" ht="17.100000000000001" customHeight="1">
      <c r="A1492" s="594">
        <v>66013201</v>
      </c>
      <c r="B1492" s="594" t="s">
        <v>4070</v>
      </c>
      <c r="C1492" s="595">
        <v>7147219.4000000004</v>
      </c>
      <c r="D1492" s="596">
        <v>0</v>
      </c>
      <c r="E1492" s="595">
        <v>10438096.9</v>
      </c>
      <c r="F1492" s="596">
        <v>0</v>
      </c>
      <c r="G1492" s="595">
        <v>17585316.300000001</v>
      </c>
      <c r="H1492" s="596">
        <v>0</v>
      </c>
      <c r="I1492" s="594" t="s">
        <v>4072</v>
      </c>
    </row>
    <row r="1493" spans="1:9" ht="17.100000000000001" customHeight="1">
      <c r="A1493" s="594">
        <v>660133</v>
      </c>
      <c r="B1493" s="594" t="s">
        <v>4293</v>
      </c>
      <c r="C1493" s="596">
        <v>0</v>
      </c>
      <c r="D1493" s="596">
        <v>0</v>
      </c>
      <c r="E1493" s="595">
        <v>124871.79</v>
      </c>
      <c r="F1493" s="596">
        <v>0</v>
      </c>
      <c r="G1493" s="595">
        <v>124871.79</v>
      </c>
      <c r="H1493" s="596">
        <v>0</v>
      </c>
      <c r="I1493" s="594" t="s">
        <v>4294</v>
      </c>
    </row>
    <row r="1494" spans="1:9" ht="17.100000000000001" customHeight="1">
      <c r="A1494" s="594">
        <v>66013301</v>
      </c>
      <c r="B1494" s="594" t="s">
        <v>4293</v>
      </c>
      <c r="C1494" s="596">
        <v>0</v>
      </c>
      <c r="D1494" s="596">
        <v>0</v>
      </c>
      <c r="E1494" s="595">
        <v>124871.79</v>
      </c>
      <c r="F1494" s="596">
        <v>0</v>
      </c>
      <c r="G1494" s="595">
        <v>124871.79</v>
      </c>
      <c r="H1494" s="596">
        <v>0</v>
      </c>
      <c r="I1494" s="594" t="s">
        <v>4295</v>
      </c>
    </row>
    <row r="1495" spans="1:9" ht="17.100000000000001" customHeight="1">
      <c r="A1495" s="594">
        <v>660134</v>
      </c>
      <c r="B1495" s="594" t="s">
        <v>2247</v>
      </c>
      <c r="C1495" s="595">
        <v>69049965.150000006</v>
      </c>
      <c r="D1495" s="596">
        <v>0</v>
      </c>
      <c r="E1495" s="595">
        <v>13662050.279999999</v>
      </c>
      <c r="F1495" s="596">
        <v>0</v>
      </c>
      <c r="G1495" s="595">
        <v>82712015.430000007</v>
      </c>
      <c r="H1495" s="596">
        <v>0</v>
      </c>
      <c r="I1495" s="594" t="s">
        <v>2248</v>
      </c>
    </row>
    <row r="1496" spans="1:9" ht="17.100000000000001" customHeight="1">
      <c r="A1496" s="594">
        <v>66013401</v>
      </c>
      <c r="B1496" s="594" t="s">
        <v>2247</v>
      </c>
      <c r="C1496" s="595">
        <v>69049965.150000006</v>
      </c>
      <c r="D1496" s="596">
        <v>0</v>
      </c>
      <c r="E1496" s="595">
        <v>13662050.279999999</v>
      </c>
      <c r="F1496" s="596">
        <v>0</v>
      </c>
      <c r="G1496" s="595">
        <v>82712015.430000007</v>
      </c>
      <c r="H1496" s="596">
        <v>0</v>
      </c>
      <c r="I1496" s="594" t="s">
        <v>2249</v>
      </c>
    </row>
    <row r="1497" spans="1:9" ht="17.100000000000001" customHeight="1">
      <c r="A1497" s="594">
        <v>660135</v>
      </c>
      <c r="B1497" s="594" t="s">
        <v>2250</v>
      </c>
      <c r="C1497" s="595">
        <v>34796519.649999999</v>
      </c>
      <c r="D1497" s="596">
        <v>0</v>
      </c>
      <c r="E1497" s="595">
        <v>6893936.96</v>
      </c>
      <c r="F1497" s="596">
        <v>0</v>
      </c>
      <c r="G1497" s="595">
        <v>41690456.609999999</v>
      </c>
      <c r="H1497" s="596">
        <v>0</v>
      </c>
      <c r="I1497" s="594" t="s">
        <v>2251</v>
      </c>
    </row>
    <row r="1498" spans="1:9" ht="17.100000000000001" customHeight="1">
      <c r="A1498" s="594">
        <v>66013501</v>
      </c>
      <c r="B1498" s="594" t="s">
        <v>2250</v>
      </c>
      <c r="C1498" s="595">
        <v>34796519.649999999</v>
      </c>
      <c r="D1498" s="596">
        <v>0</v>
      </c>
      <c r="E1498" s="595">
        <v>6893936.96</v>
      </c>
      <c r="F1498" s="596">
        <v>0</v>
      </c>
      <c r="G1498" s="595">
        <v>41690456.609999999</v>
      </c>
      <c r="H1498" s="596">
        <v>0</v>
      </c>
      <c r="I1498" s="594" t="s">
        <v>2252</v>
      </c>
    </row>
    <row r="1499" spans="1:9" ht="17.100000000000001" customHeight="1">
      <c r="A1499" s="594">
        <v>660136</v>
      </c>
      <c r="B1499" s="594" t="s">
        <v>2253</v>
      </c>
      <c r="C1499" s="595">
        <v>694046.47</v>
      </c>
      <c r="D1499" s="596">
        <v>0</v>
      </c>
      <c r="E1499" s="595">
        <v>138227.74</v>
      </c>
      <c r="F1499" s="596">
        <v>0</v>
      </c>
      <c r="G1499" s="595">
        <v>832274.21</v>
      </c>
      <c r="H1499" s="596">
        <v>0</v>
      </c>
      <c r="I1499" s="594" t="s">
        <v>2254</v>
      </c>
    </row>
    <row r="1500" spans="1:9" ht="17.100000000000001" customHeight="1">
      <c r="A1500" s="594">
        <v>66013601</v>
      </c>
      <c r="B1500" s="594" t="s">
        <v>2253</v>
      </c>
      <c r="C1500" s="595">
        <v>694046.47</v>
      </c>
      <c r="D1500" s="596">
        <v>0</v>
      </c>
      <c r="E1500" s="595">
        <v>138227.74</v>
      </c>
      <c r="F1500" s="596">
        <v>0</v>
      </c>
      <c r="G1500" s="595">
        <v>832274.21</v>
      </c>
      <c r="H1500" s="596">
        <v>0</v>
      </c>
      <c r="I1500" s="594" t="s">
        <v>2255</v>
      </c>
    </row>
    <row r="1501" spans="1:9" ht="17.100000000000001" customHeight="1">
      <c r="A1501" s="594">
        <v>660137</v>
      </c>
      <c r="B1501" s="594" t="s">
        <v>2256</v>
      </c>
      <c r="C1501" s="595">
        <v>4212857.83</v>
      </c>
      <c r="D1501" s="596">
        <v>0</v>
      </c>
      <c r="E1501" s="595">
        <v>834520.71</v>
      </c>
      <c r="F1501" s="596">
        <v>0</v>
      </c>
      <c r="G1501" s="595">
        <v>5047378.54</v>
      </c>
      <c r="H1501" s="596">
        <v>0</v>
      </c>
      <c r="I1501" s="594" t="s">
        <v>2257</v>
      </c>
    </row>
    <row r="1502" spans="1:9" ht="17.100000000000001" customHeight="1">
      <c r="A1502" s="594">
        <v>66013701</v>
      </c>
      <c r="B1502" s="594" t="s">
        <v>2256</v>
      </c>
      <c r="C1502" s="595">
        <v>4212857.83</v>
      </c>
      <c r="D1502" s="596">
        <v>0</v>
      </c>
      <c r="E1502" s="595">
        <v>834520.71</v>
      </c>
      <c r="F1502" s="596">
        <v>0</v>
      </c>
      <c r="G1502" s="595">
        <v>5047378.54</v>
      </c>
      <c r="H1502" s="596">
        <v>0</v>
      </c>
      <c r="I1502" s="594" t="s">
        <v>2258</v>
      </c>
    </row>
    <row r="1503" spans="1:9" ht="17.100000000000001" customHeight="1">
      <c r="A1503" s="594">
        <v>660138</v>
      </c>
      <c r="B1503" s="594" t="s">
        <v>2259</v>
      </c>
      <c r="C1503" s="595">
        <v>2415144.15</v>
      </c>
      <c r="D1503" s="596">
        <v>0</v>
      </c>
      <c r="E1503" s="595">
        <v>478748.81</v>
      </c>
      <c r="F1503" s="596">
        <v>0</v>
      </c>
      <c r="G1503" s="595">
        <v>2893892.96</v>
      </c>
      <c r="H1503" s="596">
        <v>0</v>
      </c>
      <c r="I1503" s="594" t="s">
        <v>2260</v>
      </c>
    </row>
    <row r="1504" spans="1:9" ht="17.100000000000001" customHeight="1">
      <c r="A1504" s="320"/>
      <c r="B1504" s="320"/>
      <c r="C1504" s="320"/>
      <c r="D1504" s="557" t="s">
        <v>4198</v>
      </c>
      <c r="E1504" s="320" t="s">
        <v>3788</v>
      </c>
      <c r="F1504" s="320"/>
      <c r="G1504" s="320"/>
      <c r="H1504" s="320"/>
      <c r="I1504" s="320"/>
    </row>
    <row r="1505" spans="1:9" ht="28.5" customHeight="1">
      <c r="A1505" s="671"/>
      <c r="B1505" s="671"/>
      <c r="C1505" s="671"/>
      <c r="D1505" s="671"/>
      <c r="E1505" s="671"/>
      <c r="F1505" s="671"/>
      <c r="G1505" s="671"/>
      <c r="H1505" s="671"/>
      <c r="I1505" s="671"/>
    </row>
    <row r="1506" spans="1:9" ht="24.75">
      <c r="A1506" s="320"/>
      <c r="B1506" s="320"/>
      <c r="C1506" s="589" t="s">
        <v>3707</v>
      </c>
      <c r="D1506" s="320"/>
      <c r="E1506" s="320"/>
      <c r="F1506" s="671"/>
      <c r="G1506" s="671"/>
      <c r="H1506" s="671"/>
      <c r="I1506" s="671"/>
    </row>
    <row r="1507" spans="1:9" ht="17.25">
      <c r="A1507" s="590" t="s">
        <v>3708</v>
      </c>
      <c r="B1507" s="590"/>
      <c r="C1507" s="597">
        <v>42887</v>
      </c>
      <c r="D1507" s="590"/>
      <c r="E1507" s="557" t="s">
        <v>3709</v>
      </c>
      <c r="F1507" s="671"/>
      <c r="G1507" s="671"/>
      <c r="H1507" s="671"/>
      <c r="I1507" s="671"/>
    </row>
    <row r="1508" spans="1:9" ht="16.5">
      <c r="A1508" s="593" t="s">
        <v>596</v>
      </c>
      <c r="B1508" s="593" t="s">
        <v>597</v>
      </c>
      <c r="C1508" s="593" t="s">
        <v>3710</v>
      </c>
      <c r="D1508" s="593" t="s">
        <v>3711</v>
      </c>
      <c r="E1508" s="593" t="s">
        <v>3712</v>
      </c>
      <c r="F1508" s="593" t="s">
        <v>3713</v>
      </c>
      <c r="G1508" s="593" t="s">
        <v>3714</v>
      </c>
      <c r="H1508" s="593" t="s">
        <v>3715</v>
      </c>
      <c r="I1508" s="593" t="s">
        <v>596</v>
      </c>
    </row>
    <row r="1509" spans="1:9" ht="28.5" customHeight="1">
      <c r="A1509" s="594">
        <v>66013801</v>
      </c>
      <c r="B1509" s="594" t="s">
        <v>2259</v>
      </c>
      <c r="C1509" s="595">
        <v>2415144.15</v>
      </c>
      <c r="D1509" s="596">
        <v>0</v>
      </c>
      <c r="E1509" s="595">
        <v>478748.81</v>
      </c>
      <c r="F1509" s="596">
        <v>0</v>
      </c>
      <c r="G1509" s="595">
        <v>2893892.96</v>
      </c>
      <c r="H1509" s="596">
        <v>0</v>
      </c>
      <c r="I1509" s="594" t="s">
        <v>2261</v>
      </c>
    </row>
    <row r="1510" spans="1:9" ht="17.100000000000001" customHeight="1">
      <c r="A1510" s="594">
        <v>660139</v>
      </c>
      <c r="B1510" s="594" t="s">
        <v>2262</v>
      </c>
      <c r="C1510" s="595">
        <v>58648272</v>
      </c>
      <c r="D1510" s="596">
        <v>0</v>
      </c>
      <c r="E1510" s="595">
        <v>11602798</v>
      </c>
      <c r="F1510" s="596">
        <v>0</v>
      </c>
      <c r="G1510" s="595">
        <v>70251070</v>
      </c>
      <c r="H1510" s="596">
        <v>0</v>
      </c>
      <c r="I1510" s="594" t="s">
        <v>2263</v>
      </c>
    </row>
    <row r="1511" spans="1:9" ht="17.100000000000001" customHeight="1">
      <c r="A1511" s="594">
        <v>66013901</v>
      </c>
      <c r="B1511" s="594" t="s">
        <v>2262</v>
      </c>
      <c r="C1511" s="595">
        <v>58648272</v>
      </c>
      <c r="D1511" s="596">
        <v>0</v>
      </c>
      <c r="E1511" s="595">
        <v>11602798</v>
      </c>
      <c r="F1511" s="596">
        <v>0</v>
      </c>
      <c r="G1511" s="595">
        <v>70251070</v>
      </c>
      <c r="H1511" s="596">
        <v>0</v>
      </c>
      <c r="I1511" s="594" t="s">
        <v>2264</v>
      </c>
    </row>
    <row r="1512" spans="1:9" ht="17.100000000000001" customHeight="1">
      <c r="A1512" s="594">
        <v>660140</v>
      </c>
      <c r="B1512" s="594" t="s">
        <v>2265</v>
      </c>
      <c r="C1512" s="595">
        <v>1349944.8</v>
      </c>
      <c r="D1512" s="596">
        <v>0</v>
      </c>
      <c r="E1512" s="595">
        <v>29294874.75</v>
      </c>
      <c r="F1512" s="596">
        <v>0</v>
      </c>
      <c r="G1512" s="595">
        <v>30644819.550000001</v>
      </c>
      <c r="H1512" s="596">
        <v>0</v>
      </c>
      <c r="I1512" s="594" t="s">
        <v>2266</v>
      </c>
    </row>
    <row r="1513" spans="1:9" ht="17.100000000000001" customHeight="1">
      <c r="A1513" s="594">
        <v>66014001</v>
      </c>
      <c r="B1513" s="594" t="s">
        <v>2265</v>
      </c>
      <c r="C1513" s="595">
        <v>1349944.8</v>
      </c>
      <c r="D1513" s="596">
        <v>0</v>
      </c>
      <c r="E1513" s="595">
        <v>29294874.75</v>
      </c>
      <c r="F1513" s="596">
        <v>0</v>
      </c>
      <c r="G1513" s="595">
        <v>30644819.550000001</v>
      </c>
      <c r="H1513" s="596">
        <v>0</v>
      </c>
      <c r="I1513" s="594" t="s">
        <v>2267</v>
      </c>
    </row>
    <row r="1514" spans="1:9" ht="17.100000000000001" customHeight="1">
      <c r="A1514" s="594">
        <v>660141</v>
      </c>
      <c r="B1514" s="594" t="s">
        <v>2268</v>
      </c>
      <c r="C1514" s="595">
        <v>605299.67000000004</v>
      </c>
      <c r="D1514" s="596">
        <v>0</v>
      </c>
      <c r="E1514" s="595">
        <v>119727.45</v>
      </c>
      <c r="F1514" s="596">
        <v>0</v>
      </c>
      <c r="G1514" s="595">
        <v>725027.12</v>
      </c>
      <c r="H1514" s="596">
        <v>0</v>
      </c>
      <c r="I1514" s="594" t="s">
        <v>2269</v>
      </c>
    </row>
    <row r="1515" spans="1:9" ht="17.100000000000001" customHeight="1">
      <c r="A1515" s="594">
        <v>66014199</v>
      </c>
      <c r="B1515" s="594" t="s">
        <v>2270</v>
      </c>
      <c r="C1515" s="595">
        <v>605299.67000000004</v>
      </c>
      <c r="D1515" s="596">
        <v>0</v>
      </c>
      <c r="E1515" s="595">
        <v>119727.45</v>
      </c>
      <c r="F1515" s="596">
        <v>0</v>
      </c>
      <c r="G1515" s="595">
        <v>725027.12</v>
      </c>
      <c r="H1515" s="596">
        <v>0</v>
      </c>
      <c r="I1515" s="594" t="s">
        <v>2271</v>
      </c>
    </row>
    <row r="1516" spans="1:9" ht="17.100000000000001" customHeight="1">
      <c r="A1516" s="594">
        <v>660143</v>
      </c>
      <c r="B1516" s="594" t="s">
        <v>4163</v>
      </c>
      <c r="C1516" s="595">
        <v>54836.04</v>
      </c>
      <c r="D1516" s="596">
        <v>0</v>
      </c>
      <c r="E1516" s="595">
        <v>44975430.130000003</v>
      </c>
      <c r="F1516" s="596">
        <v>0</v>
      </c>
      <c r="G1516" s="595">
        <v>45030266.170000002</v>
      </c>
      <c r="H1516" s="596">
        <v>0</v>
      </c>
      <c r="I1516" s="594" t="s">
        <v>4164</v>
      </c>
    </row>
    <row r="1517" spans="1:9" ht="17.100000000000001" customHeight="1">
      <c r="A1517" s="594">
        <v>66014301</v>
      </c>
      <c r="B1517" s="594" t="s">
        <v>4163</v>
      </c>
      <c r="C1517" s="595">
        <v>54836.04</v>
      </c>
      <c r="D1517" s="596">
        <v>0</v>
      </c>
      <c r="E1517" s="595">
        <v>44975430.130000003</v>
      </c>
      <c r="F1517" s="596">
        <v>0</v>
      </c>
      <c r="G1517" s="595">
        <v>45030266.170000002</v>
      </c>
      <c r="H1517" s="596">
        <v>0</v>
      </c>
      <c r="I1517" s="594" t="s">
        <v>4165</v>
      </c>
    </row>
    <row r="1518" spans="1:9" ht="17.100000000000001" customHeight="1">
      <c r="A1518" s="594">
        <v>660145</v>
      </c>
      <c r="B1518" s="594" t="s">
        <v>2272</v>
      </c>
      <c r="C1518" s="595">
        <v>67820239</v>
      </c>
      <c r="D1518" s="596">
        <v>0</v>
      </c>
      <c r="E1518" s="595">
        <v>13433435.199999999</v>
      </c>
      <c r="F1518" s="596">
        <v>0</v>
      </c>
      <c r="G1518" s="595">
        <v>81253674.200000003</v>
      </c>
      <c r="H1518" s="596">
        <v>0</v>
      </c>
      <c r="I1518" s="594" t="s">
        <v>2273</v>
      </c>
    </row>
    <row r="1519" spans="1:9" ht="17.100000000000001" customHeight="1">
      <c r="A1519" s="594">
        <v>66014501</v>
      </c>
      <c r="B1519" s="594" t="s">
        <v>2272</v>
      </c>
      <c r="C1519" s="595">
        <v>67820239</v>
      </c>
      <c r="D1519" s="596">
        <v>0</v>
      </c>
      <c r="E1519" s="595">
        <v>13433435.199999999</v>
      </c>
      <c r="F1519" s="596">
        <v>0</v>
      </c>
      <c r="G1519" s="595">
        <v>81253674.200000003</v>
      </c>
      <c r="H1519" s="596">
        <v>0</v>
      </c>
      <c r="I1519" s="594" t="s">
        <v>2274</v>
      </c>
    </row>
    <row r="1520" spans="1:9" ht="17.100000000000001" customHeight="1">
      <c r="A1520" s="594">
        <v>660146</v>
      </c>
      <c r="B1520" s="594" t="s">
        <v>2275</v>
      </c>
      <c r="C1520" s="595">
        <v>52647357.460000001</v>
      </c>
      <c r="D1520" s="596">
        <v>0</v>
      </c>
      <c r="E1520" s="595">
        <v>9843976.3399999999</v>
      </c>
      <c r="F1520" s="596">
        <v>0</v>
      </c>
      <c r="G1520" s="595">
        <v>62491333.799999997</v>
      </c>
      <c r="H1520" s="596">
        <v>0</v>
      </c>
      <c r="I1520" s="594" t="s">
        <v>2276</v>
      </c>
    </row>
    <row r="1521" spans="1:9" ht="17.100000000000001" customHeight="1">
      <c r="A1521" s="594">
        <v>66014601</v>
      </c>
      <c r="B1521" s="594" t="s">
        <v>2275</v>
      </c>
      <c r="C1521" s="595">
        <v>52647357.460000001</v>
      </c>
      <c r="D1521" s="596">
        <v>0</v>
      </c>
      <c r="E1521" s="595">
        <v>9843976.3399999999</v>
      </c>
      <c r="F1521" s="596">
        <v>0</v>
      </c>
      <c r="G1521" s="595">
        <v>62491333.799999997</v>
      </c>
      <c r="H1521" s="596">
        <v>0</v>
      </c>
      <c r="I1521" s="594" t="s">
        <v>2277</v>
      </c>
    </row>
    <row r="1522" spans="1:9" ht="17.100000000000001" customHeight="1">
      <c r="A1522" s="594">
        <v>660147</v>
      </c>
      <c r="B1522" s="594" t="s">
        <v>2278</v>
      </c>
      <c r="C1522" s="595">
        <v>97894323.469999999</v>
      </c>
      <c r="D1522" s="596">
        <v>0</v>
      </c>
      <c r="E1522" s="595">
        <v>13279075.07</v>
      </c>
      <c r="F1522" s="596">
        <v>0</v>
      </c>
      <c r="G1522" s="595">
        <v>111173398.54000001</v>
      </c>
      <c r="H1522" s="596">
        <v>0</v>
      </c>
      <c r="I1522" s="594" t="s">
        <v>2279</v>
      </c>
    </row>
    <row r="1523" spans="1:9" ht="17.100000000000001" customHeight="1">
      <c r="A1523" s="594">
        <v>66014701</v>
      </c>
      <c r="B1523" s="594" t="s">
        <v>2280</v>
      </c>
      <c r="C1523" s="595">
        <v>93827005.319999993</v>
      </c>
      <c r="D1523" s="596">
        <v>0</v>
      </c>
      <c r="E1523" s="595">
        <v>12584088.890000001</v>
      </c>
      <c r="F1523" s="596">
        <v>0</v>
      </c>
      <c r="G1523" s="595">
        <v>106411094.20999999</v>
      </c>
      <c r="H1523" s="596">
        <v>0</v>
      </c>
      <c r="I1523" s="594" t="s">
        <v>2281</v>
      </c>
    </row>
    <row r="1524" spans="1:9" ht="17.100000000000001" customHeight="1">
      <c r="A1524" s="594">
        <v>66014799</v>
      </c>
      <c r="B1524" s="594" t="s">
        <v>2282</v>
      </c>
      <c r="C1524" s="595">
        <v>4067318.15</v>
      </c>
      <c r="D1524" s="596">
        <v>0</v>
      </c>
      <c r="E1524" s="595">
        <v>694986.18</v>
      </c>
      <c r="F1524" s="596">
        <v>0</v>
      </c>
      <c r="G1524" s="595">
        <v>4762304.33</v>
      </c>
      <c r="H1524" s="596">
        <v>0</v>
      </c>
      <c r="I1524" s="594" t="s">
        <v>2283</v>
      </c>
    </row>
    <row r="1525" spans="1:9" ht="17.100000000000001" customHeight="1">
      <c r="A1525" s="594">
        <v>660148</v>
      </c>
      <c r="B1525" s="594" t="s">
        <v>2284</v>
      </c>
      <c r="C1525" s="595">
        <v>13466466.51</v>
      </c>
      <c r="D1525" s="596">
        <v>0</v>
      </c>
      <c r="E1525" s="595">
        <v>2985266.7</v>
      </c>
      <c r="F1525" s="596">
        <v>0</v>
      </c>
      <c r="G1525" s="595">
        <v>16451733.210000001</v>
      </c>
      <c r="H1525" s="596">
        <v>0</v>
      </c>
      <c r="I1525" s="594" t="s">
        <v>2285</v>
      </c>
    </row>
    <row r="1526" spans="1:9" ht="17.100000000000001" customHeight="1">
      <c r="A1526" s="594">
        <v>66014801</v>
      </c>
      <c r="B1526" s="594" t="s">
        <v>2286</v>
      </c>
      <c r="C1526" s="595">
        <v>1931133.76</v>
      </c>
      <c r="D1526" s="596">
        <v>0</v>
      </c>
      <c r="E1526" s="595">
        <v>677971.89</v>
      </c>
      <c r="F1526" s="596">
        <v>0</v>
      </c>
      <c r="G1526" s="595">
        <v>2609105.65</v>
      </c>
      <c r="H1526" s="596">
        <v>0</v>
      </c>
      <c r="I1526" s="594" t="s">
        <v>2287</v>
      </c>
    </row>
    <row r="1527" spans="1:9" ht="17.100000000000001" customHeight="1">
      <c r="A1527" s="594">
        <v>66014802</v>
      </c>
      <c r="B1527" s="594" t="s">
        <v>2288</v>
      </c>
      <c r="C1527" s="595">
        <v>807875.92</v>
      </c>
      <c r="D1527" s="596">
        <v>0</v>
      </c>
      <c r="E1527" s="595">
        <v>356237.84</v>
      </c>
      <c r="F1527" s="596">
        <v>0</v>
      </c>
      <c r="G1527" s="595">
        <v>1164113.76</v>
      </c>
      <c r="H1527" s="596">
        <v>0</v>
      </c>
      <c r="I1527" s="594" t="s">
        <v>2289</v>
      </c>
    </row>
    <row r="1528" spans="1:9" ht="17.100000000000001" customHeight="1">
      <c r="A1528" s="594">
        <v>66014899</v>
      </c>
      <c r="B1528" s="594" t="s">
        <v>2290</v>
      </c>
      <c r="C1528" s="595">
        <v>10727456.83</v>
      </c>
      <c r="D1528" s="596">
        <v>0</v>
      </c>
      <c r="E1528" s="595">
        <v>1951056.97</v>
      </c>
      <c r="F1528" s="596">
        <v>0</v>
      </c>
      <c r="G1528" s="595">
        <v>12678513.800000001</v>
      </c>
      <c r="H1528" s="596">
        <v>0</v>
      </c>
      <c r="I1528" s="594" t="s">
        <v>2291</v>
      </c>
    </row>
    <row r="1529" spans="1:9" ht="17.100000000000001" customHeight="1">
      <c r="A1529" s="594">
        <v>660149</v>
      </c>
      <c r="B1529" s="594" t="s">
        <v>2292</v>
      </c>
      <c r="C1529" s="595">
        <v>1647497.61</v>
      </c>
      <c r="D1529" s="596">
        <v>0</v>
      </c>
      <c r="E1529" s="595">
        <v>1872635.3</v>
      </c>
      <c r="F1529" s="595">
        <v>3148.72</v>
      </c>
      <c r="G1529" s="595">
        <v>3516984.19</v>
      </c>
      <c r="H1529" s="596">
        <v>0</v>
      </c>
      <c r="I1529" s="594" t="s">
        <v>2293</v>
      </c>
    </row>
    <row r="1530" spans="1:9" ht="17.100000000000001" customHeight="1">
      <c r="A1530" s="594">
        <v>66014901</v>
      </c>
      <c r="B1530" s="594" t="s">
        <v>2292</v>
      </c>
      <c r="C1530" s="595">
        <v>1647497.61</v>
      </c>
      <c r="D1530" s="596">
        <v>0</v>
      </c>
      <c r="E1530" s="595">
        <v>1872635.3</v>
      </c>
      <c r="F1530" s="595">
        <v>3148.72</v>
      </c>
      <c r="G1530" s="595">
        <v>3516984.19</v>
      </c>
      <c r="H1530" s="596">
        <v>0</v>
      </c>
      <c r="I1530" s="594" t="s">
        <v>2294</v>
      </c>
    </row>
    <row r="1531" spans="1:9" ht="17.100000000000001" customHeight="1">
      <c r="A1531" s="594">
        <v>660150</v>
      </c>
      <c r="B1531" s="594" t="s">
        <v>2295</v>
      </c>
      <c r="C1531" s="595">
        <v>22256844.329999998</v>
      </c>
      <c r="D1531" s="596">
        <v>0</v>
      </c>
      <c r="E1531" s="595">
        <v>4280042.8499999996</v>
      </c>
      <c r="F1531" s="596">
        <v>0</v>
      </c>
      <c r="G1531" s="595">
        <v>26536887.18</v>
      </c>
      <c r="H1531" s="596">
        <v>0</v>
      </c>
      <c r="I1531" s="594" t="s">
        <v>2296</v>
      </c>
    </row>
    <row r="1532" spans="1:9" ht="17.100000000000001" customHeight="1">
      <c r="A1532" s="594">
        <v>66015001</v>
      </c>
      <c r="B1532" s="594" t="s">
        <v>2295</v>
      </c>
      <c r="C1532" s="595">
        <v>22256844.329999998</v>
      </c>
      <c r="D1532" s="596">
        <v>0</v>
      </c>
      <c r="E1532" s="595">
        <v>4280042.8499999996</v>
      </c>
      <c r="F1532" s="596">
        <v>0</v>
      </c>
      <c r="G1532" s="595">
        <v>26536887.18</v>
      </c>
      <c r="H1532" s="596">
        <v>0</v>
      </c>
      <c r="I1532" s="594" t="s">
        <v>2297</v>
      </c>
    </row>
    <row r="1533" spans="1:9" ht="17.100000000000001" customHeight="1">
      <c r="A1533" s="594">
        <v>660151</v>
      </c>
      <c r="B1533" s="594" t="s">
        <v>2298</v>
      </c>
      <c r="C1533" s="595">
        <v>20512802.199999999</v>
      </c>
      <c r="D1533" s="596">
        <v>0</v>
      </c>
      <c r="E1533" s="595">
        <v>5591034.5899999999</v>
      </c>
      <c r="F1533" s="596">
        <v>0</v>
      </c>
      <c r="G1533" s="595">
        <v>26103836.789999999</v>
      </c>
      <c r="H1533" s="596">
        <v>0</v>
      </c>
      <c r="I1533" s="594" t="s">
        <v>2299</v>
      </c>
    </row>
    <row r="1534" spans="1:9" ht="17.100000000000001" customHeight="1">
      <c r="A1534" s="594">
        <v>66015101</v>
      </c>
      <c r="B1534" s="594" t="s">
        <v>2298</v>
      </c>
      <c r="C1534" s="595">
        <v>20512802.199999999</v>
      </c>
      <c r="D1534" s="596">
        <v>0</v>
      </c>
      <c r="E1534" s="595">
        <v>5591034.5899999999</v>
      </c>
      <c r="F1534" s="596">
        <v>0</v>
      </c>
      <c r="G1534" s="595">
        <v>26103836.789999999</v>
      </c>
      <c r="H1534" s="596">
        <v>0</v>
      </c>
      <c r="I1534" s="594" t="s">
        <v>2300</v>
      </c>
    </row>
    <row r="1535" spans="1:9" ht="17.100000000000001" customHeight="1">
      <c r="A1535" s="594">
        <v>660152</v>
      </c>
      <c r="B1535" s="594" t="s">
        <v>2301</v>
      </c>
      <c r="C1535" s="595">
        <v>137543206.71000001</v>
      </c>
      <c r="D1535" s="596">
        <v>0</v>
      </c>
      <c r="E1535" s="595">
        <v>26952294.620000001</v>
      </c>
      <c r="F1535" s="596">
        <v>0</v>
      </c>
      <c r="G1535" s="595">
        <v>164495501.33000001</v>
      </c>
      <c r="H1535" s="596">
        <v>0</v>
      </c>
      <c r="I1535" s="594" t="s">
        <v>2302</v>
      </c>
    </row>
    <row r="1536" spans="1:9" ht="17.100000000000001" customHeight="1">
      <c r="A1536" s="594">
        <v>66015201</v>
      </c>
      <c r="B1536" s="594" t="s">
        <v>2301</v>
      </c>
      <c r="C1536" s="595">
        <v>137543206.71000001</v>
      </c>
      <c r="D1536" s="596">
        <v>0</v>
      </c>
      <c r="E1536" s="595">
        <v>26952294.620000001</v>
      </c>
      <c r="F1536" s="596">
        <v>0</v>
      </c>
      <c r="G1536" s="595">
        <v>164495501.33000001</v>
      </c>
      <c r="H1536" s="596">
        <v>0</v>
      </c>
      <c r="I1536" s="594" t="s">
        <v>2303</v>
      </c>
    </row>
    <row r="1537" spans="1:9" ht="17.100000000000001" customHeight="1">
      <c r="A1537" s="594">
        <v>660199</v>
      </c>
      <c r="B1537" s="594" t="s">
        <v>2304</v>
      </c>
      <c r="C1537" s="595">
        <v>62444147.509999998</v>
      </c>
      <c r="D1537" s="596">
        <v>0</v>
      </c>
      <c r="E1537" s="595">
        <v>8363231.9199999999</v>
      </c>
      <c r="F1537" s="596">
        <v>0</v>
      </c>
      <c r="G1537" s="595">
        <v>70807379.430000007</v>
      </c>
      <c r="H1537" s="596">
        <v>0</v>
      </c>
      <c r="I1537" s="594" t="s">
        <v>2305</v>
      </c>
    </row>
    <row r="1538" spans="1:9" ht="17.100000000000001" customHeight="1">
      <c r="A1538" s="594">
        <v>66019901</v>
      </c>
      <c r="B1538" s="594" t="s">
        <v>2306</v>
      </c>
      <c r="C1538" s="595">
        <v>11540655.109999999</v>
      </c>
      <c r="D1538" s="596">
        <v>0</v>
      </c>
      <c r="E1538" s="595">
        <v>198036.56</v>
      </c>
      <c r="F1538" s="596">
        <v>0</v>
      </c>
      <c r="G1538" s="595">
        <v>11738691.67</v>
      </c>
      <c r="H1538" s="596">
        <v>0</v>
      </c>
      <c r="I1538" s="594" t="s">
        <v>2307</v>
      </c>
    </row>
    <row r="1539" spans="1:9" ht="17.100000000000001" customHeight="1">
      <c r="A1539" s="594">
        <v>66019902</v>
      </c>
      <c r="B1539" s="594" t="s">
        <v>2308</v>
      </c>
      <c r="C1539" s="595">
        <v>50903492.399999999</v>
      </c>
      <c r="D1539" s="596">
        <v>0</v>
      </c>
      <c r="E1539" s="595">
        <v>8165195.3600000003</v>
      </c>
      <c r="F1539" s="596">
        <v>0</v>
      </c>
      <c r="G1539" s="595">
        <v>59068687.759999998</v>
      </c>
      <c r="H1539" s="596">
        <v>0</v>
      </c>
      <c r="I1539" s="594" t="s">
        <v>2309</v>
      </c>
    </row>
    <row r="1540" spans="1:9" ht="17.100000000000001" customHeight="1">
      <c r="A1540" s="594">
        <v>6602</v>
      </c>
      <c r="B1540" s="594" t="s">
        <v>229</v>
      </c>
      <c r="C1540" s="595">
        <v>14230399.24</v>
      </c>
      <c r="D1540" s="596">
        <v>0</v>
      </c>
      <c r="E1540" s="595">
        <v>2822956.87</v>
      </c>
      <c r="F1540" s="596">
        <v>0</v>
      </c>
      <c r="G1540" s="595">
        <v>17053356.109999999</v>
      </c>
      <c r="H1540" s="596">
        <v>0</v>
      </c>
      <c r="I1540" s="594" t="s">
        <v>2310</v>
      </c>
    </row>
    <row r="1541" spans="1:9" ht="17.100000000000001" customHeight="1">
      <c r="A1541" s="594">
        <v>660201</v>
      </c>
      <c r="B1541" s="594" t="s">
        <v>2311</v>
      </c>
      <c r="C1541" s="595">
        <v>615379.21</v>
      </c>
      <c r="D1541" s="596">
        <v>0</v>
      </c>
      <c r="E1541" s="595">
        <v>364820.28</v>
      </c>
      <c r="F1541" s="596">
        <v>0</v>
      </c>
      <c r="G1541" s="595">
        <v>980199.49</v>
      </c>
      <c r="H1541" s="596">
        <v>0</v>
      </c>
      <c r="I1541" s="594" t="s">
        <v>2312</v>
      </c>
    </row>
    <row r="1542" spans="1:9" ht="17.100000000000001" customHeight="1">
      <c r="A1542" s="594">
        <v>66020101</v>
      </c>
      <c r="B1542" s="594" t="s">
        <v>2311</v>
      </c>
      <c r="C1542" s="595">
        <v>615379.21</v>
      </c>
      <c r="D1542" s="596">
        <v>0</v>
      </c>
      <c r="E1542" s="595">
        <v>364820.28</v>
      </c>
      <c r="F1542" s="596">
        <v>0</v>
      </c>
      <c r="G1542" s="595">
        <v>980199.49</v>
      </c>
      <c r="H1542" s="596">
        <v>0</v>
      </c>
      <c r="I1542" s="594" t="s">
        <v>2313</v>
      </c>
    </row>
    <row r="1543" spans="1:9" ht="17.100000000000001" customHeight="1">
      <c r="A1543" s="320"/>
      <c r="B1543" s="320"/>
      <c r="C1543" s="320"/>
      <c r="D1543" s="557" t="s">
        <v>4198</v>
      </c>
      <c r="E1543" s="320" t="s">
        <v>3790</v>
      </c>
      <c r="F1543" s="320"/>
      <c r="G1543" s="320"/>
      <c r="H1543" s="320"/>
      <c r="I1543" s="320"/>
    </row>
    <row r="1544" spans="1:9" ht="28.5" customHeight="1">
      <c r="A1544" s="671"/>
      <c r="B1544" s="671"/>
      <c r="C1544" s="671"/>
      <c r="D1544" s="671"/>
      <c r="E1544" s="671"/>
      <c r="F1544" s="671"/>
      <c r="G1544" s="671"/>
      <c r="H1544" s="671"/>
      <c r="I1544" s="671"/>
    </row>
    <row r="1545" spans="1:9" ht="24.75">
      <c r="A1545" s="320"/>
      <c r="B1545" s="320"/>
      <c r="C1545" s="589" t="s">
        <v>3707</v>
      </c>
      <c r="D1545" s="320"/>
      <c r="E1545" s="320"/>
      <c r="F1545" s="671"/>
      <c r="G1545" s="671"/>
      <c r="H1545" s="671"/>
      <c r="I1545" s="671"/>
    </row>
    <row r="1546" spans="1:9" ht="17.25">
      <c r="A1546" s="590" t="s">
        <v>3708</v>
      </c>
      <c r="B1546" s="590"/>
      <c r="C1546" s="597">
        <v>42887</v>
      </c>
      <c r="D1546" s="590"/>
      <c r="E1546" s="557" t="s">
        <v>3709</v>
      </c>
      <c r="F1546" s="671"/>
      <c r="G1546" s="671"/>
      <c r="H1546" s="671"/>
      <c r="I1546" s="671"/>
    </row>
    <row r="1547" spans="1:9" ht="16.5">
      <c r="A1547" s="593" t="s">
        <v>596</v>
      </c>
      <c r="B1547" s="593" t="s">
        <v>597</v>
      </c>
      <c r="C1547" s="593" t="s">
        <v>3710</v>
      </c>
      <c r="D1547" s="593" t="s">
        <v>3711</v>
      </c>
      <c r="E1547" s="593" t="s">
        <v>3712</v>
      </c>
      <c r="F1547" s="593" t="s">
        <v>3713</v>
      </c>
      <c r="G1547" s="593" t="s">
        <v>3714</v>
      </c>
      <c r="H1547" s="593" t="s">
        <v>3715</v>
      </c>
      <c r="I1547" s="593" t="s">
        <v>596</v>
      </c>
    </row>
    <row r="1548" spans="1:9" ht="28.5" customHeight="1">
      <c r="A1548" s="594">
        <v>660202</v>
      </c>
      <c r="B1548" s="594" t="s">
        <v>2314</v>
      </c>
      <c r="C1548" s="595">
        <v>11542100.050000001</v>
      </c>
      <c r="D1548" s="596">
        <v>0</v>
      </c>
      <c r="E1548" s="595">
        <v>1835355.51</v>
      </c>
      <c r="F1548" s="596">
        <v>0</v>
      </c>
      <c r="G1548" s="595">
        <v>13377455.560000001</v>
      </c>
      <c r="H1548" s="596">
        <v>0</v>
      </c>
      <c r="I1548" s="594" t="s">
        <v>2315</v>
      </c>
    </row>
    <row r="1549" spans="1:9" ht="17.100000000000001" customHeight="1">
      <c r="A1549" s="594">
        <v>66020201</v>
      </c>
      <c r="B1549" s="594" t="s">
        <v>2314</v>
      </c>
      <c r="C1549" s="595">
        <v>11542100.050000001</v>
      </c>
      <c r="D1549" s="596">
        <v>0</v>
      </c>
      <c r="E1549" s="595">
        <v>1835355.51</v>
      </c>
      <c r="F1549" s="596">
        <v>0</v>
      </c>
      <c r="G1549" s="595">
        <v>13377455.560000001</v>
      </c>
      <c r="H1549" s="596">
        <v>0</v>
      </c>
      <c r="I1549" s="594" t="s">
        <v>2316</v>
      </c>
    </row>
    <row r="1550" spans="1:9" ht="17.100000000000001" customHeight="1">
      <c r="A1550" s="594">
        <v>660205</v>
      </c>
      <c r="B1550" s="594" t="s">
        <v>2317</v>
      </c>
      <c r="C1550" s="595">
        <v>432469.34</v>
      </c>
      <c r="D1550" s="596">
        <v>0</v>
      </c>
      <c r="E1550" s="595">
        <v>141565.1</v>
      </c>
      <c r="F1550" s="596">
        <v>0</v>
      </c>
      <c r="G1550" s="595">
        <v>574034.43999999994</v>
      </c>
      <c r="H1550" s="596">
        <v>0</v>
      </c>
      <c r="I1550" s="594" t="s">
        <v>2318</v>
      </c>
    </row>
    <row r="1551" spans="1:9" ht="17.100000000000001" customHeight="1">
      <c r="A1551" s="594">
        <v>66020501</v>
      </c>
      <c r="B1551" s="594" t="s">
        <v>2319</v>
      </c>
      <c r="C1551" s="595">
        <v>432469.34</v>
      </c>
      <c r="D1551" s="596">
        <v>0</v>
      </c>
      <c r="E1551" s="595">
        <v>141565.1</v>
      </c>
      <c r="F1551" s="596">
        <v>0</v>
      </c>
      <c r="G1551" s="595">
        <v>574034.43999999994</v>
      </c>
      <c r="H1551" s="596">
        <v>0</v>
      </c>
      <c r="I1551" s="594" t="s">
        <v>2320</v>
      </c>
    </row>
    <row r="1552" spans="1:9" ht="17.100000000000001" customHeight="1">
      <c r="A1552" s="594">
        <v>660206</v>
      </c>
      <c r="B1552" s="594" t="s">
        <v>2321</v>
      </c>
      <c r="C1552" s="595">
        <v>1300259.96</v>
      </c>
      <c r="D1552" s="596">
        <v>0</v>
      </c>
      <c r="E1552" s="595">
        <v>256415.27</v>
      </c>
      <c r="F1552" s="596">
        <v>0</v>
      </c>
      <c r="G1552" s="595">
        <v>1556675.23</v>
      </c>
      <c r="H1552" s="596">
        <v>0</v>
      </c>
      <c r="I1552" s="594" t="s">
        <v>2322</v>
      </c>
    </row>
    <row r="1553" spans="1:9" ht="17.100000000000001" customHeight="1">
      <c r="A1553" s="594">
        <v>66020601</v>
      </c>
      <c r="B1553" s="594" t="s">
        <v>2321</v>
      </c>
      <c r="C1553" s="595">
        <v>1300259.96</v>
      </c>
      <c r="D1553" s="596">
        <v>0</v>
      </c>
      <c r="E1553" s="595">
        <v>256415.27</v>
      </c>
      <c r="F1553" s="596">
        <v>0</v>
      </c>
      <c r="G1553" s="595">
        <v>1556675.23</v>
      </c>
      <c r="H1553" s="596">
        <v>0</v>
      </c>
      <c r="I1553" s="594" t="s">
        <v>2323</v>
      </c>
    </row>
    <row r="1554" spans="1:9" ht="17.100000000000001" customHeight="1">
      <c r="A1554" s="594">
        <v>660299</v>
      </c>
      <c r="B1554" s="594" t="s">
        <v>3500</v>
      </c>
      <c r="C1554" s="595">
        <v>340190.68</v>
      </c>
      <c r="D1554" s="596">
        <v>0</v>
      </c>
      <c r="E1554" s="595">
        <v>224800.71</v>
      </c>
      <c r="F1554" s="596">
        <v>0</v>
      </c>
      <c r="G1554" s="595">
        <v>564991.39</v>
      </c>
      <c r="H1554" s="596">
        <v>0</v>
      </c>
      <c r="I1554" s="594" t="s">
        <v>3501</v>
      </c>
    </row>
    <row r="1555" spans="1:9" ht="17.100000000000001" customHeight="1">
      <c r="A1555" s="594">
        <v>66029999</v>
      </c>
      <c r="B1555" s="594" t="s">
        <v>3500</v>
      </c>
      <c r="C1555" s="595">
        <v>340190.68</v>
      </c>
      <c r="D1555" s="596">
        <v>0</v>
      </c>
      <c r="E1555" s="595">
        <v>224800.71</v>
      </c>
      <c r="F1555" s="596">
        <v>0</v>
      </c>
      <c r="G1555" s="595">
        <v>564991.39</v>
      </c>
      <c r="H1555" s="596">
        <v>0</v>
      </c>
      <c r="I1555" s="594" t="s">
        <v>3502</v>
      </c>
    </row>
    <row r="1556" spans="1:9" ht="17.100000000000001" customHeight="1">
      <c r="A1556" s="594">
        <v>6701</v>
      </c>
      <c r="B1556" s="594" t="s">
        <v>4073</v>
      </c>
      <c r="C1556" s="596">
        <v>0</v>
      </c>
      <c r="D1556" s="596">
        <v>0</v>
      </c>
      <c r="E1556" s="595">
        <v>-30929940</v>
      </c>
      <c r="F1556" s="596">
        <v>0</v>
      </c>
      <c r="G1556" s="595">
        <v>-30929940</v>
      </c>
      <c r="H1556" s="596">
        <v>0</v>
      </c>
      <c r="I1556" s="594" t="s">
        <v>4074</v>
      </c>
    </row>
    <row r="1557" spans="1:9" ht="17.100000000000001" customHeight="1">
      <c r="A1557" s="594">
        <v>670103</v>
      </c>
      <c r="B1557" s="594" t="s">
        <v>4296</v>
      </c>
      <c r="C1557" s="596">
        <v>0</v>
      </c>
      <c r="D1557" s="596">
        <v>0</v>
      </c>
      <c r="E1557" s="595">
        <v>-3412847.26</v>
      </c>
      <c r="F1557" s="596">
        <v>0</v>
      </c>
      <c r="G1557" s="595">
        <v>-3412847.26</v>
      </c>
      <c r="H1557" s="596">
        <v>0</v>
      </c>
      <c r="I1557" s="594" t="s">
        <v>4297</v>
      </c>
    </row>
    <row r="1558" spans="1:9" ht="17.100000000000001" customHeight="1">
      <c r="A1558" s="594">
        <v>67010301</v>
      </c>
      <c r="B1558" s="594" t="s">
        <v>4296</v>
      </c>
      <c r="C1558" s="596">
        <v>0</v>
      </c>
      <c r="D1558" s="596">
        <v>0</v>
      </c>
      <c r="E1558" s="595">
        <v>-3412847.26</v>
      </c>
      <c r="F1558" s="596">
        <v>0</v>
      </c>
      <c r="G1558" s="595">
        <v>-3412847.26</v>
      </c>
      <c r="H1558" s="596">
        <v>0</v>
      </c>
      <c r="I1558" s="594" t="s">
        <v>4298</v>
      </c>
    </row>
    <row r="1559" spans="1:9" ht="17.100000000000001" customHeight="1">
      <c r="A1559" s="594">
        <v>670107</v>
      </c>
      <c r="B1559" s="594" t="s">
        <v>4299</v>
      </c>
      <c r="C1559" s="596">
        <v>0</v>
      </c>
      <c r="D1559" s="596">
        <v>0</v>
      </c>
      <c r="E1559" s="595">
        <v>-35158062.729999997</v>
      </c>
      <c r="F1559" s="596">
        <v>0</v>
      </c>
      <c r="G1559" s="595">
        <v>-35158062.729999997</v>
      </c>
      <c r="H1559" s="596">
        <v>0</v>
      </c>
      <c r="I1559" s="594" t="s">
        <v>4300</v>
      </c>
    </row>
    <row r="1560" spans="1:9" ht="17.100000000000001" customHeight="1">
      <c r="A1560" s="594">
        <v>67010701</v>
      </c>
      <c r="B1560" s="594" t="s">
        <v>4299</v>
      </c>
      <c r="C1560" s="596">
        <v>0</v>
      </c>
      <c r="D1560" s="596">
        <v>0</v>
      </c>
      <c r="E1560" s="595">
        <v>-5800000</v>
      </c>
      <c r="F1560" s="596">
        <v>0</v>
      </c>
      <c r="G1560" s="595">
        <v>-5800000</v>
      </c>
      <c r="H1560" s="596">
        <v>0</v>
      </c>
      <c r="I1560" s="594" t="s">
        <v>4301</v>
      </c>
    </row>
    <row r="1561" spans="1:9" ht="17.100000000000001" customHeight="1">
      <c r="A1561" s="594">
        <v>67010702</v>
      </c>
      <c r="B1561" s="594" t="s">
        <v>4302</v>
      </c>
      <c r="C1561" s="596">
        <v>0</v>
      </c>
      <c r="D1561" s="596">
        <v>0</v>
      </c>
      <c r="E1561" s="595">
        <v>-29358062.73</v>
      </c>
      <c r="F1561" s="596">
        <v>0</v>
      </c>
      <c r="G1561" s="595">
        <v>-29358062.73</v>
      </c>
      <c r="H1561" s="596">
        <v>0</v>
      </c>
      <c r="I1561" s="594" t="s">
        <v>4303</v>
      </c>
    </row>
    <row r="1562" spans="1:9" ht="17.100000000000001" customHeight="1">
      <c r="A1562" s="594">
        <v>670114</v>
      </c>
      <c r="B1562" s="594" t="s">
        <v>4304</v>
      </c>
      <c r="C1562" s="596">
        <v>0</v>
      </c>
      <c r="D1562" s="596">
        <v>0</v>
      </c>
      <c r="E1562" s="595">
        <v>7640969.9900000002</v>
      </c>
      <c r="F1562" s="596">
        <v>0</v>
      </c>
      <c r="G1562" s="595">
        <v>7640969.9900000002</v>
      </c>
      <c r="H1562" s="596">
        <v>0</v>
      </c>
      <c r="I1562" s="594" t="s">
        <v>4305</v>
      </c>
    </row>
    <row r="1563" spans="1:9" ht="17.100000000000001" customHeight="1">
      <c r="A1563" s="594">
        <v>67011401</v>
      </c>
      <c r="B1563" s="594" t="s">
        <v>4304</v>
      </c>
      <c r="C1563" s="596">
        <v>0</v>
      </c>
      <c r="D1563" s="596">
        <v>0</v>
      </c>
      <c r="E1563" s="595">
        <v>7640969.9900000002</v>
      </c>
      <c r="F1563" s="596">
        <v>0</v>
      </c>
      <c r="G1563" s="595">
        <v>7640969.9900000002</v>
      </c>
      <c r="H1563" s="596">
        <v>0</v>
      </c>
      <c r="I1563" s="594" t="s">
        <v>4306</v>
      </c>
    </row>
    <row r="1564" spans="1:9" ht="17.100000000000001" customHeight="1">
      <c r="A1564" s="594">
        <v>6711</v>
      </c>
      <c r="B1564" s="594" t="s">
        <v>2324</v>
      </c>
      <c r="C1564" s="595">
        <v>7277013.5199999996</v>
      </c>
      <c r="D1564" s="596">
        <v>0</v>
      </c>
      <c r="E1564" s="595">
        <v>40215414.630000003</v>
      </c>
      <c r="F1564" s="596">
        <v>0</v>
      </c>
      <c r="G1564" s="595">
        <v>47492428.149999999</v>
      </c>
      <c r="H1564" s="596">
        <v>0</v>
      </c>
      <c r="I1564" s="594" t="s">
        <v>2325</v>
      </c>
    </row>
    <row r="1565" spans="1:9" ht="17.100000000000001" customHeight="1">
      <c r="A1565" s="594">
        <v>671101</v>
      </c>
      <c r="B1565" s="594" t="s">
        <v>4307</v>
      </c>
      <c r="C1565" s="595">
        <v>206200</v>
      </c>
      <c r="D1565" s="596">
        <v>0</v>
      </c>
      <c r="E1565" s="595">
        <v>39336755</v>
      </c>
      <c r="F1565" s="596">
        <v>0</v>
      </c>
      <c r="G1565" s="595">
        <v>39542955</v>
      </c>
      <c r="H1565" s="596">
        <v>0</v>
      </c>
      <c r="I1565" s="594" t="s">
        <v>4308</v>
      </c>
    </row>
    <row r="1566" spans="1:9" ht="17.100000000000001" customHeight="1">
      <c r="A1566" s="594">
        <v>67110101</v>
      </c>
      <c r="B1566" s="594" t="s">
        <v>4307</v>
      </c>
      <c r="C1566" s="595">
        <v>206200</v>
      </c>
      <c r="D1566" s="596">
        <v>0</v>
      </c>
      <c r="E1566" s="595">
        <v>39336755</v>
      </c>
      <c r="F1566" s="596">
        <v>0</v>
      </c>
      <c r="G1566" s="595">
        <v>39542955</v>
      </c>
      <c r="H1566" s="596">
        <v>0</v>
      </c>
      <c r="I1566" s="594" t="s">
        <v>4309</v>
      </c>
    </row>
    <row r="1567" spans="1:9" ht="17.100000000000001" customHeight="1">
      <c r="A1567" s="594">
        <v>671103</v>
      </c>
      <c r="B1567" s="594" t="s">
        <v>4105</v>
      </c>
      <c r="C1567" s="595">
        <v>1047781.77</v>
      </c>
      <c r="D1567" s="596">
        <v>0</v>
      </c>
      <c r="E1567" s="595">
        <v>302370.44</v>
      </c>
      <c r="F1567" s="596">
        <v>0</v>
      </c>
      <c r="G1567" s="595">
        <v>1350152.21</v>
      </c>
      <c r="H1567" s="596">
        <v>0</v>
      </c>
      <c r="I1567" s="594" t="s">
        <v>4106</v>
      </c>
    </row>
    <row r="1568" spans="1:9" ht="17.100000000000001" customHeight="1">
      <c r="A1568" s="594">
        <v>67110301</v>
      </c>
      <c r="B1568" s="594" t="s">
        <v>4105</v>
      </c>
      <c r="C1568" s="595">
        <v>1047781.77</v>
      </c>
      <c r="D1568" s="596">
        <v>0</v>
      </c>
      <c r="E1568" s="595">
        <v>302370.44</v>
      </c>
      <c r="F1568" s="596">
        <v>0</v>
      </c>
      <c r="G1568" s="595">
        <v>1350152.21</v>
      </c>
      <c r="H1568" s="596">
        <v>0</v>
      </c>
      <c r="I1568" s="594" t="s">
        <v>4107</v>
      </c>
    </row>
    <row r="1569" spans="1:9" ht="17.100000000000001" customHeight="1">
      <c r="A1569" s="594">
        <v>671105</v>
      </c>
      <c r="B1569" s="594" t="s">
        <v>4310</v>
      </c>
      <c r="C1569" s="596">
        <v>0</v>
      </c>
      <c r="D1569" s="596">
        <v>0</v>
      </c>
      <c r="E1569" s="595">
        <v>500000</v>
      </c>
      <c r="F1569" s="596">
        <v>0</v>
      </c>
      <c r="G1569" s="595">
        <v>500000</v>
      </c>
      <c r="H1569" s="596">
        <v>0</v>
      </c>
      <c r="I1569" s="594" t="s">
        <v>4311</v>
      </c>
    </row>
    <row r="1570" spans="1:9" ht="17.100000000000001" customHeight="1">
      <c r="A1570" s="594">
        <v>67110501</v>
      </c>
      <c r="B1570" s="594" t="s">
        <v>4310</v>
      </c>
      <c r="C1570" s="596">
        <v>0</v>
      </c>
      <c r="D1570" s="596">
        <v>0</v>
      </c>
      <c r="E1570" s="595">
        <v>500000</v>
      </c>
      <c r="F1570" s="596">
        <v>0</v>
      </c>
      <c r="G1570" s="595">
        <v>500000</v>
      </c>
      <c r="H1570" s="596">
        <v>0</v>
      </c>
      <c r="I1570" s="594" t="s">
        <v>4312</v>
      </c>
    </row>
    <row r="1571" spans="1:9" ht="17.100000000000001" customHeight="1">
      <c r="A1571" s="594">
        <v>671108</v>
      </c>
      <c r="B1571" s="594" t="s">
        <v>3699</v>
      </c>
      <c r="C1571" s="595">
        <v>3425300</v>
      </c>
      <c r="D1571" s="596">
        <v>0</v>
      </c>
      <c r="E1571" s="596">
        <v>0</v>
      </c>
      <c r="F1571" s="596">
        <v>0</v>
      </c>
      <c r="G1571" s="595">
        <v>3425300</v>
      </c>
      <c r="H1571" s="596">
        <v>0</v>
      </c>
      <c r="I1571" s="594" t="s">
        <v>3785</v>
      </c>
    </row>
    <row r="1572" spans="1:9" ht="17.100000000000001" customHeight="1">
      <c r="A1572" s="594">
        <v>67110899</v>
      </c>
      <c r="B1572" s="594" t="s">
        <v>3700</v>
      </c>
      <c r="C1572" s="595">
        <v>3425300</v>
      </c>
      <c r="D1572" s="596">
        <v>0</v>
      </c>
      <c r="E1572" s="596">
        <v>0</v>
      </c>
      <c r="F1572" s="596">
        <v>0</v>
      </c>
      <c r="G1572" s="595">
        <v>3425300</v>
      </c>
      <c r="H1572" s="596">
        <v>0</v>
      </c>
      <c r="I1572" s="594" t="s">
        <v>3786</v>
      </c>
    </row>
    <row r="1573" spans="1:9" ht="17.100000000000001" customHeight="1">
      <c r="A1573" s="594">
        <v>671199</v>
      </c>
      <c r="B1573" s="594" t="s">
        <v>2326</v>
      </c>
      <c r="C1573" s="595">
        <v>2597731.75</v>
      </c>
      <c r="D1573" s="596">
        <v>0</v>
      </c>
      <c r="E1573" s="595">
        <v>76289.19</v>
      </c>
      <c r="F1573" s="596">
        <v>0</v>
      </c>
      <c r="G1573" s="595">
        <v>2674020.94</v>
      </c>
      <c r="H1573" s="596">
        <v>0</v>
      </c>
      <c r="I1573" s="594" t="s">
        <v>2327</v>
      </c>
    </row>
    <row r="1574" spans="1:9" ht="17.100000000000001" customHeight="1">
      <c r="A1574" s="594">
        <v>67119999</v>
      </c>
      <c r="B1574" s="594" t="s">
        <v>2326</v>
      </c>
      <c r="C1574" s="595">
        <v>2597731.75</v>
      </c>
      <c r="D1574" s="596">
        <v>0</v>
      </c>
      <c r="E1574" s="595">
        <v>76289.19</v>
      </c>
      <c r="F1574" s="596">
        <v>0</v>
      </c>
      <c r="G1574" s="595">
        <v>2674020.94</v>
      </c>
      <c r="H1574" s="596">
        <v>0</v>
      </c>
      <c r="I1574" s="594" t="s">
        <v>2328</v>
      </c>
    </row>
    <row r="1575" spans="1:9" ht="17.100000000000001" customHeight="1">
      <c r="A1575" s="594">
        <v>6801</v>
      </c>
      <c r="B1575" s="594" t="s">
        <v>4082</v>
      </c>
      <c r="C1575" s="595">
        <v>578446948.11000001</v>
      </c>
      <c r="D1575" s="596">
        <v>0</v>
      </c>
      <c r="E1575" s="595">
        <v>404799982.87</v>
      </c>
      <c r="F1575" s="596">
        <v>0</v>
      </c>
      <c r="G1575" s="595">
        <v>983246930.98000002</v>
      </c>
      <c r="H1575" s="596">
        <v>0</v>
      </c>
      <c r="I1575" s="594" t="s">
        <v>4083</v>
      </c>
    </row>
    <row r="1576" spans="1:9" ht="17.100000000000001" customHeight="1">
      <c r="A1576" s="594">
        <v>680101</v>
      </c>
      <c r="B1576" s="594" t="s">
        <v>4084</v>
      </c>
      <c r="C1576" s="595">
        <v>578446948.11000001</v>
      </c>
      <c r="D1576" s="596">
        <v>0</v>
      </c>
      <c r="E1576" s="595">
        <v>404799982.87</v>
      </c>
      <c r="F1576" s="596">
        <v>0</v>
      </c>
      <c r="G1576" s="595">
        <v>983246930.98000002</v>
      </c>
      <c r="H1576" s="596">
        <v>0</v>
      </c>
      <c r="I1576" s="594" t="s">
        <v>4085</v>
      </c>
    </row>
    <row r="1577" spans="1:9" ht="17.100000000000001" customHeight="1">
      <c r="A1577" s="594">
        <v>68010101</v>
      </c>
      <c r="B1577" s="594" t="s">
        <v>4084</v>
      </c>
      <c r="C1577" s="595">
        <v>578446948.11000001</v>
      </c>
      <c r="D1577" s="596">
        <v>0</v>
      </c>
      <c r="E1577" s="595">
        <v>404799982.87</v>
      </c>
      <c r="F1577" s="596">
        <v>0</v>
      </c>
      <c r="G1577" s="595">
        <v>983246930.98000002</v>
      </c>
      <c r="H1577" s="596">
        <v>0</v>
      </c>
      <c r="I1577" s="594" t="s">
        <v>4086</v>
      </c>
    </row>
    <row r="1578" spans="1:9" ht="17.100000000000001" customHeight="1">
      <c r="A1578" s="594"/>
      <c r="B1578" s="598" t="s">
        <v>3787</v>
      </c>
      <c r="C1578" s="595">
        <v>8570610842.0500002</v>
      </c>
      <c r="D1578" s="595">
        <v>11955702033.58</v>
      </c>
      <c r="E1578" s="595">
        <v>3877532934.4200001</v>
      </c>
      <c r="F1578" s="595">
        <v>3662676983.29</v>
      </c>
      <c r="G1578" s="595">
        <v>12365965607.27</v>
      </c>
      <c r="H1578" s="595">
        <v>15536200847.67</v>
      </c>
      <c r="I1578" s="594" t="s">
        <v>1125</v>
      </c>
    </row>
    <row r="1579" spans="1:9" ht="17.100000000000001" customHeight="1">
      <c r="A1579" s="594"/>
      <c r="B1579" s="598" t="s">
        <v>3789</v>
      </c>
      <c r="C1579" s="595">
        <v>852978040403.18005</v>
      </c>
      <c r="D1579" s="595">
        <v>852978040403.18005</v>
      </c>
      <c r="E1579" s="595">
        <v>14133366463768</v>
      </c>
      <c r="F1579" s="595">
        <v>14133366463768</v>
      </c>
      <c r="G1579" s="595">
        <v>875802743235.43005</v>
      </c>
      <c r="H1579" s="595">
        <v>875802743235.43005</v>
      </c>
      <c r="I1579" s="594" t="s">
        <v>1125</v>
      </c>
    </row>
    <row r="1580" spans="1:9" ht="17.100000000000001" customHeight="1">
      <c r="A1580" s="320"/>
      <c r="B1580" s="320"/>
      <c r="C1580" s="320"/>
      <c r="D1580" s="557" t="s">
        <v>4198</v>
      </c>
      <c r="E1580" s="320" t="s">
        <v>3791</v>
      </c>
      <c r="F1580" s="320"/>
      <c r="G1580" s="320"/>
      <c r="H1580" s="320"/>
      <c r="I1580" s="320"/>
    </row>
    <row r="1581" spans="1:9" ht="17.100000000000001" customHeight="1">
      <c r="A1581" s="671"/>
      <c r="B1581" s="671"/>
      <c r="C1581" s="671"/>
      <c r="D1581" s="671"/>
      <c r="E1581" s="671"/>
      <c r="F1581" s="671"/>
      <c r="G1581" s="671"/>
      <c r="H1581" s="671"/>
      <c r="I1581" s="671"/>
    </row>
    <row r="1582" spans="1:9" ht="17.100000000000001" customHeight="1">
      <c r="A1582" s="320"/>
      <c r="B1582" s="320"/>
      <c r="C1582" s="589" t="s">
        <v>3707</v>
      </c>
      <c r="D1582" s="320"/>
      <c r="E1582" s="320"/>
      <c r="F1582" s="671"/>
      <c r="G1582" s="671"/>
      <c r="H1582" s="671"/>
      <c r="I1582" s="671"/>
    </row>
    <row r="1583" spans="1:9" ht="28.5" customHeight="1">
      <c r="A1583" s="590" t="s">
        <v>3708</v>
      </c>
      <c r="B1583" s="590"/>
      <c r="C1583" s="597">
        <v>42887</v>
      </c>
      <c r="D1583" s="590"/>
      <c r="E1583" s="557" t="s">
        <v>3709</v>
      </c>
      <c r="F1583" s="671"/>
      <c r="G1583" s="671"/>
      <c r="H1583" s="671"/>
      <c r="I1583" s="671"/>
    </row>
    <row r="1584" spans="1:9" ht="16.5">
      <c r="A1584" s="593" t="s">
        <v>596</v>
      </c>
      <c r="B1584" s="593" t="s">
        <v>597</v>
      </c>
      <c r="C1584" s="593" t="s">
        <v>3710</v>
      </c>
      <c r="D1584" s="593" t="s">
        <v>3711</v>
      </c>
      <c r="E1584" s="593" t="s">
        <v>3712</v>
      </c>
      <c r="F1584" s="593" t="s">
        <v>3713</v>
      </c>
      <c r="G1584" s="593" t="s">
        <v>3714</v>
      </c>
      <c r="H1584" s="593" t="s">
        <v>3715</v>
      </c>
      <c r="I1584" s="593" t="s">
        <v>596</v>
      </c>
    </row>
    <row r="1585" spans="1:9">
      <c r="A1585" s="594">
        <v>9101</v>
      </c>
      <c r="B1585" s="594" t="s">
        <v>384</v>
      </c>
      <c r="C1585" s="595">
        <v>1010825961.28</v>
      </c>
      <c r="D1585" s="596">
        <v>0</v>
      </c>
      <c r="E1585" s="595">
        <v>1050000000</v>
      </c>
      <c r="F1585" s="595">
        <v>150000000</v>
      </c>
      <c r="G1585" s="595">
        <v>1910825961.28</v>
      </c>
      <c r="H1585" s="596">
        <v>0</v>
      </c>
      <c r="I1585" s="594" t="s">
        <v>3611</v>
      </c>
    </row>
    <row r="1586" spans="1:9">
      <c r="A1586" s="594">
        <v>910101</v>
      </c>
      <c r="B1586" s="594" t="s">
        <v>384</v>
      </c>
      <c r="C1586" s="595">
        <v>1010825961.28</v>
      </c>
      <c r="D1586" s="596">
        <v>0</v>
      </c>
      <c r="E1586" s="595">
        <v>1050000000</v>
      </c>
      <c r="F1586" s="595">
        <v>150000000</v>
      </c>
      <c r="G1586" s="595">
        <v>1910825961.28</v>
      </c>
      <c r="H1586" s="596">
        <v>0</v>
      </c>
      <c r="I1586" s="594" t="s">
        <v>3612</v>
      </c>
    </row>
    <row r="1587" spans="1:9" ht="28.5" customHeight="1">
      <c r="A1587" s="594">
        <v>91010101</v>
      </c>
      <c r="B1587" s="594" t="s">
        <v>384</v>
      </c>
      <c r="C1587" s="595">
        <v>1010825961.28</v>
      </c>
      <c r="D1587" s="596">
        <v>0</v>
      </c>
      <c r="E1587" s="595">
        <v>1050000000</v>
      </c>
      <c r="F1587" s="595">
        <v>150000000</v>
      </c>
      <c r="G1587" s="595">
        <v>1910825961.28</v>
      </c>
      <c r="H1587" s="596">
        <v>0</v>
      </c>
      <c r="I1587" s="594" t="s">
        <v>3613</v>
      </c>
    </row>
    <row r="1588" spans="1:9" ht="17.100000000000001" customHeight="1">
      <c r="A1588" s="594">
        <v>9103</v>
      </c>
      <c r="B1588" s="594" t="s">
        <v>2329</v>
      </c>
      <c r="C1588" s="595">
        <v>10581744367.24</v>
      </c>
      <c r="D1588" s="596">
        <v>0</v>
      </c>
      <c r="E1588" s="595">
        <v>1189937857.6199999</v>
      </c>
      <c r="F1588" s="595">
        <v>1591056036.52</v>
      </c>
      <c r="G1588" s="595">
        <v>10180626188.34</v>
      </c>
      <c r="H1588" s="596">
        <v>0</v>
      </c>
      <c r="I1588" s="594" t="s">
        <v>2330</v>
      </c>
    </row>
    <row r="1589" spans="1:9" ht="17.100000000000001" customHeight="1">
      <c r="A1589" s="594">
        <v>910301</v>
      </c>
      <c r="B1589" s="594" t="s">
        <v>450</v>
      </c>
      <c r="C1589" s="595">
        <v>10581744367.24</v>
      </c>
      <c r="D1589" s="596">
        <v>0</v>
      </c>
      <c r="E1589" s="595">
        <v>1189937857.6199999</v>
      </c>
      <c r="F1589" s="595">
        <v>1591056036.52</v>
      </c>
      <c r="G1589" s="595">
        <v>10180626188.34</v>
      </c>
      <c r="H1589" s="596">
        <v>0</v>
      </c>
      <c r="I1589" s="594" t="s">
        <v>2331</v>
      </c>
    </row>
    <row r="1590" spans="1:9" ht="17.100000000000001" customHeight="1">
      <c r="A1590" s="594">
        <v>91030101</v>
      </c>
      <c r="B1590" s="594" t="s">
        <v>450</v>
      </c>
      <c r="C1590" s="595">
        <v>10581744367.24</v>
      </c>
      <c r="D1590" s="596">
        <v>0</v>
      </c>
      <c r="E1590" s="595">
        <v>1189937857.6199999</v>
      </c>
      <c r="F1590" s="595">
        <v>1591056036.52</v>
      </c>
      <c r="G1590" s="595">
        <v>10180626188.34</v>
      </c>
      <c r="H1590" s="596">
        <v>0</v>
      </c>
      <c r="I1590" s="594" t="s">
        <v>2332</v>
      </c>
    </row>
    <row r="1591" spans="1:9" ht="17.100000000000001" customHeight="1">
      <c r="A1591" s="594">
        <v>9105</v>
      </c>
      <c r="B1591" s="594" t="s">
        <v>2333</v>
      </c>
      <c r="C1591" s="595">
        <v>4001165900.54</v>
      </c>
      <c r="D1591" s="596">
        <v>0</v>
      </c>
      <c r="E1591" s="595">
        <v>380364733.79000002</v>
      </c>
      <c r="F1591" s="595">
        <v>824372411.13</v>
      </c>
      <c r="G1591" s="595">
        <v>3557158223.1999998</v>
      </c>
      <c r="H1591" s="596">
        <v>0</v>
      </c>
      <c r="I1591" s="594" t="s">
        <v>2334</v>
      </c>
    </row>
    <row r="1592" spans="1:9" ht="17.100000000000001" customHeight="1">
      <c r="A1592" s="594">
        <v>910501</v>
      </c>
      <c r="B1592" s="594" t="s">
        <v>2335</v>
      </c>
      <c r="C1592" s="595">
        <v>7946910.6799999997</v>
      </c>
      <c r="D1592" s="596">
        <v>0</v>
      </c>
      <c r="E1592" s="595">
        <v>29688408.75</v>
      </c>
      <c r="F1592" s="595">
        <v>7445299.3799999999</v>
      </c>
      <c r="G1592" s="595">
        <v>30190020.050000001</v>
      </c>
      <c r="H1592" s="596">
        <v>0</v>
      </c>
      <c r="I1592" s="594" t="s">
        <v>2336</v>
      </c>
    </row>
    <row r="1593" spans="1:9" ht="17.100000000000001" customHeight="1">
      <c r="A1593" s="594">
        <v>91050101</v>
      </c>
      <c r="B1593" s="594" t="s">
        <v>4150</v>
      </c>
      <c r="C1593" s="596">
        <v>0</v>
      </c>
      <c r="D1593" s="596">
        <v>0</v>
      </c>
      <c r="E1593" s="595">
        <v>4180176</v>
      </c>
      <c r="F1593" s="595">
        <v>4180176</v>
      </c>
      <c r="G1593" s="596">
        <v>0</v>
      </c>
      <c r="H1593" s="596">
        <v>0</v>
      </c>
      <c r="I1593" s="594" t="s">
        <v>4151</v>
      </c>
    </row>
    <row r="1594" spans="1:9" ht="17.100000000000001" customHeight="1">
      <c r="A1594" s="594">
        <v>91050102</v>
      </c>
      <c r="B1594" s="594" t="s">
        <v>2337</v>
      </c>
      <c r="C1594" s="595">
        <v>7946910.6799999997</v>
      </c>
      <c r="D1594" s="596">
        <v>0</v>
      </c>
      <c r="E1594" s="595">
        <v>25508232.75</v>
      </c>
      <c r="F1594" s="595">
        <v>3265123.38</v>
      </c>
      <c r="G1594" s="595">
        <v>30190020.050000001</v>
      </c>
      <c r="H1594" s="596">
        <v>0</v>
      </c>
      <c r="I1594" s="594" t="s">
        <v>2338</v>
      </c>
    </row>
    <row r="1595" spans="1:9" ht="17.100000000000001" customHeight="1">
      <c r="A1595" s="594">
        <v>910502</v>
      </c>
      <c r="B1595" s="594" t="s">
        <v>2339</v>
      </c>
      <c r="C1595" s="595">
        <v>3993218989.8600001</v>
      </c>
      <c r="D1595" s="596">
        <v>0</v>
      </c>
      <c r="E1595" s="595">
        <v>350676325.04000002</v>
      </c>
      <c r="F1595" s="595">
        <v>816927111.75</v>
      </c>
      <c r="G1595" s="595">
        <v>3526968203.1500001</v>
      </c>
      <c r="H1595" s="596">
        <v>0</v>
      </c>
      <c r="I1595" s="594" t="s">
        <v>2340</v>
      </c>
    </row>
    <row r="1596" spans="1:9" ht="17.100000000000001" customHeight="1">
      <c r="A1596" s="594">
        <v>91050201</v>
      </c>
      <c r="B1596" s="594" t="s">
        <v>3503</v>
      </c>
      <c r="C1596" s="595">
        <v>103601920</v>
      </c>
      <c r="D1596" s="596">
        <v>0</v>
      </c>
      <c r="E1596" s="595">
        <v>120000000</v>
      </c>
      <c r="F1596" s="595">
        <v>60000000</v>
      </c>
      <c r="G1596" s="595">
        <v>163601920</v>
      </c>
      <c r="H1596" s="596">
        <v>0</v>
      </c>
      <c r="I1596" s="594" t="s">
        <v>3504</v>
      </c>
    </row>
    <row r="1597" spans="1:9" ht="17.100000000000001" customHeight="1">
      <c r="A1597" s="594">
        <v>91050202</v>
      </c>
      <c r="B1597" s="594" t="s">
        <v>2341</v>
      </c>
      <c r="C1597" s="595">
        <v>3889617069.8600001</v>
      </c>
      <c r="D1597" s="596">
        <v>0</v>
      </c>
      <c r="E1597" s="595">
        <v>230676325.03999999</v>
      </c>
      <c r="F1597" s="595">
        <v>756927111.75</v>
      </c>
      <c r="G1597" s="595">
        <v>3363366283.1500001</v>
      </c>
      <c r="H1597" s="596">
        <v>0</v>
      </c>
      <c r="I1597" s="594" t="s">
        <v>2342</v>
      </c>
    </row>
    <row r="1598" spans="1:9" ht="17.100000000000001" customHeight="1">
      <c r="A1598" s="594">
        <v>9106</v>
      </c>
      <c r="B1598" s="594" t="s">
        <v>2343</v>
      </c>
      <c r="C1598" s="595">
        <v>8693574199.9799995</v>
      </c>
      <c r="D1598" s="596">
        <v>0</v>
      </c>
      <c r="E1598" s="595">
        <v>38725110</v>
      </c>
      <c r="F1598" s="595">
        <v>3966729.87</v>
      </c>
      <c r="G1598" s="595">
        <v>8728332580.1100006</v>
      </c>
      <c r="H1598" s="596">
        <v>0</v>
      </c>
      <c r="I1598" s="594" t="s">
        <v>2344</v>
      </c>
    </row>
    <row r="1599" spans="1:9" ht="17.100000000000001" customHeight="1">
      <c r="A1599" s="594">
        <v>910601</v>
      </c>
      <c r="B1599" s="594" t="s">
        <v>2345</v>
      </c>
      <c r="C1599" s="595">
        <v>2003896827.1199999</v>
      </c>
      <c r="D1599" s="596">
        <v>0</v>
      </c>
      <c r="E1599" s="596">
        <v>0</v>
      </c>
      <c r="F1599" s="595">
        <v>2019119.12</v>
      </c>
      <c r="G1599" s="595">
        <v>2001877708</v>
      </c>
      <c r="H1599" s="596">
        <v>0</v>
      </c>
      <c r="I1599" s="594" t="s">
        <v>2346</v>
      </c>
    </row>
    <row r="1600" spans="1:9" ht="17.100000000000001" customHeight="1">
      <c r="A1600" s="594">
        <v>91060101</v>
      </c>
      <c r="B1600" s="594" t="s">
        <v>2345</v>
      </c>
      <c r="C1600" s="595">
        <v>2003896827.1199999</v>
      </c>
      <c r="D1600" s="596">
        <v>0</v>
      </c>
      <c r="E1600" s="596">
        <v>0</v>
      </c>
      <c r="F1600" s="595">
        <v>2019119.12</v>
      </c>
      <c r="G1600" s="595">
        <v>2001877708</v>
      </c>
      <c r="H1600" s="596">
        <v>0</v>
      </c>
      <c r="I1600" s="594" t="s">
        <v>2347</v>
      </c>
    </row>
    <row r="1601" spans="1:9" ht="17.100000000000001" customHeight="1">
      <c r="A1601" s="594">
        <v>910602</v>
      </c>
      <c r="B1601" s="594" t="s">
        <v>2348</v>
      </c>
      <c r="C1601" s="595">
        <v>6689677372.8599997</v>
      </c>
      <c r="D1601" s="596">
        <v>0</v>
      </c>
      <c r="E1601" s="595">
        <v>38725110</v>
      </c>
      <c r="F1601" s="595">
        <v>1947610.75</v>
      </c>
      <c r="G1601" s="595">
        <v>6726454872.1099997</v>
      </c>
      <c r="H1601" s="596">
        <v>0</v>
      </c>
      <c r="I1601" s="594" t="s">
        <v>2349</v>
      </c>
    </row>
    <row r="1602" spans="1:9" ht="17.100000000000001" customHeight="1">
      <c r="A1602" s="594">
        <v>91060201</v>
      </c>
      <c r="B1602" s="594" t="s">
        <v>2348</v>
      </c>
      <c r="C1602" s="595">
        <v>6689677372.8599997</v>
      </c>
      <c r="D1602" s="596">
        <v>0</v>
      </c>
      <c r="E1602" s="595">
        <v>38725110</v>
      </c>
      <c r="F1602" s="595">
        <v>1947610.75</v>
      </c>
      <c r="G1602" s="595">
        <v>6726454872.1099997</v>
      </c>
      <c r="H1602" s="596">
        <v>0</v>
      </c>
      <c r="I1602" s="594" t="s">
        <v>2350</v>
      </c>
    </row>
    <row r="1603" spans="1:9" ht="17.100000000000001" customHeight="1">
      <c r="A1603" s="594">
        <v>9107</v>
      </c>
      <c r="B1603" s="594" t="s">
        <v>2351</v>
      </c>
      <c r="C1603" s="595">
        <v>2265200000</v>
      </c>
      <c r="D1603" s="596">
        <v>0</v>
      </c>
      <c r="E1603" s="595">
        <v>400000000</v>
      </c>
      <c r="F1603" s="596">
        <v>0</v>
      </c>
      <c r="G1603" s="595">
        <v>2665200000</v>
      </c>
      <c r="H1603" s="596">
        <v>0</v>
      </c>
      <c r="I1603" s="594" t="s">
        <v>2352</v>
      </c>
    </row>
    <row r="1604" spans="1:9" ht="17.100000000000001" customHeight="1">
      <c r="A1604" s="594">
        <v>910701</v>
      </c>
      <c r="B1604" s="594" t="s">
        <v>2351</v>
      </c>
      <c r="C1604" s="595">
        <v>2265200000</v>
      </c>
      <c r="D1604" s="596">
        <v>0</v>
      </c>
      <c r="E1604" s="595">
        <v>400000000</v>
      </c>
      <c r="F1604" s="596">
        <v>0</v>
      </c>
      <c r="G1604" s="595">
        <v>2665200000</v>
      </c>
      <c r="H1604" s="596">
        <v>0</v>
      </c>
      <c r="I1604" s="594" t="s">
        <v>2353</v>
      </c>
    </row>
    <row r="1605" spans="1:9" ht="17.100000000000001" customHeight="1">
      <c r="A1605" s="594">
        <v>91070101</v>
      </c>
      <c r="B1605" s="594" t="s">
        <v>3614</v>
      </c>
      <c r="C1605" s="595">
        <v>2265200000</v>
      </c>
      <c r="D1605" s="596">
        <v>0</v>
      </c>
      <c r="E1605" s="595">
        <v>400000000</v>
      </c>
      <c r="F1605" s="596">
        <v>0</v>
      </c>
      <c r="G1605" s="595">
        <v>2665200000</v>
      </c>
      <c r="H1605" s="596">
        <v>0</v>
      </c>
      <c r="I1605" s="594" t="s">
        <v>2354</v>
      </c>
    </row>
    <row r="1606" spans="1:9" ht="17.100000000000001" customHeight="1">
      <c r="A1606" s="594">
        <v>9111</v>
      </c>
      <c r="B1606" s="594" t="s">
        <v>3380</v>
      </c>
      <c r="C1606" s="595">
        <v>10170037659.950001</v>
      </c>
      <c r="D1606" s="596">
        <v>0</v>
      </c>
      <c r="E1606" s="595">
        <v>95463913.010000005</v>
      </c>
      <c r="F1606" s="595">
        <v>1246729.6499999999</v>
      </c>
      <c r="G1606" s="595">
        <v>10264254843.309999</v>
      </c>
      <c r="H1606" s="596">
        <v>0</v>
      </c>
      <c r="I1606" s="594" t="s">
        <v>2355</v>
      </c>
    </row>
    <row r="1607" spans="1:9" ht="17.100000000000001" customHeight="1">
      <c r="A1607" s="594">
        <v>911101</v>
      </c>
      <c r="B1607" s="594" t="s">
        <v>3381</v>
      </c>
      <c r="C1607" s="595">
        <v>333712061.36000001</v>
      </c>
      <c r="D1607" s="596">
        <v>0</v>
      </c>
      <c r="E1607" s="595">
        <v>407875.88</v>
      </c>
      <c r="F1607" s="595">
        <v>300327.5</v>
      </c>
      <c r="G1607" s="595">
        <v>333819609.74000001</v>
      </c>
      <c r="H1607" s="596">
        <v>0</v>
      </c>
      <c r="I1607" s="594" t="s">
        <v>2357</v>
      </c>
    </row>
    <row r="1608" spans="1:9" ht="17.100000000000001" customHeight="1">
      <c r="A1608" s="594">
        <v>91110101</v>
      </c>
      <c r="B1608" s="594" t="s">
        <v>2356</v>
      </c>
      <c r="C1608" s="595">
        <v>331712061.36000001</v>
      </c>
      <c r="D1608" s="596">
        <v>0</v>
      </c>
      <c r="E1608" s="595">
        <v>407875.88</v>
      </c>
      <c r="F1608" s="595">
        <v>300327.5</v>
      </c>
      <c r="G1608" s="595">
        <v>331819609.74000001</v>
      </c>
      <c r="H1608" s="596">
        <v>0</v>
      </c>
      <c r="I1608" s="594" t="s">
        <v>2358</v>
      </c>
    </row>
    <row r="1609" spans="1:9" ht="17.100000000000001" customHeight="1">
      <c r="A1609" s="594">
        <v>91110102</v>
      </c>
      <c r="B1609" s="594" t="s">
        <v>3615</v>
      </c>
      <c r="C1609" s="595">
        <v>2000000</v>
      </c>
      <c r="D1609" s="596">
        <v>0</v>
      </c>
      <c r="E1609" s="596">
        <v>0</v>
      </c>
      <c r="F1609" s="596">
        <v>0</v>
      </c>
      <c r="G1609" s="595">
        <v>2000000</v>
      </c>
      <c r="H1609" s="596">
        <v>0</v>
      </c>
      <c r="I1609" s="594" t="s">
        <v>3616</v>
      </c>
    </row>
    <row r="1610" spans="1:9" ht="17.100000000000001" customHeight="1">
      <c r="A1610" s="594">
        <v>911102</v>
      </c>
      <c r="B1610" s="594" t="s">
        <v>3381</v>
      </c>
      <c r="C1610" s="595">
        <v>9836325598.5900002</v>
      </c>
      <c r="D1610" s="596">
        <v>0</v>
      </c>
      <c r="E1610" s="595">
        <v>95056037.129999995</v>
      </c>
      <c r="F1610" s="595">
        <v>946402.15</v>
      </c>
      <c r="G1610" s="595">
        <v>9930435233.5699997</v>
      </c>
      <c r="H1610" s="596">
        <v>0</v>
      </c>
      <c r="I1610" s="594" t="s">
        <v>2360</v>
      </c>
    </row>
    <row r="1611" spans="1:9" ht="17.100000000000001" customHeight="1">
      <c r="A1611" s="594">
        <v>91110201</v>
      </c>
      <c r="B1611" s="594" t="s">
        <v>2359</v>
      </c>
      <c r="C1611" s="595">
        <v>9786325598.5900002</v>
      </c>
      <c r="D1611" s="596">
        <v>0</v>
      </c>
      <c r="E1611" s="595">
        <v>95056037.129999995</v>
      </c>
      <c r="F1611" s="595">
        <v>946402.15</v>
      </c>
      <c r="G1611" s="595">
        <v>9880435233.5699997</v>
      </c>
      <c r="H1611" s="596">
        <v>0</v>
      </c>
      <c r="I1611" s="594" t="s">
        <v>2361</v>
      </c>
    </row>
    <row r="1612" spans="1:9" ht="17.100000000000001" customHeight="1">
      <c r="A1612" s="594">
        <v>91110202</v>
      </c>
      <c r="B1612" s="594" t="s">
        <v>3505</v>
      </c>
      <c r="C1612" s="595">
        <v>50000000</v>
      </c>
      <c r="D1612" s="596">
        <v>0</v>
      </c>
      <c r="E1612" s="596">
        <v>0</v>
      </c>
      <c r="F1612" s="596">
        <v>0</v>
      </c>
      <c r="G1612" s="595">
        <v>50000000</v>
      </c>
      <c r="H1612" s="596">
        <v>0</v>
      </c>
      <c r="I1612" s="594" t="s">
        <v>3506</v>
      </c>
    </row>
    <row r="1613" spans="1:9" ht="17.100000000000001" customHeight="1">
      <c r="A1613" s="594">
        <v>9112</v>
      </c>
      <c r="B1613" s="594" t="s">
        <v>2362</v>
      </c>
      <c r="C1613" s="595">
        <v>5145886.53</v>
      </c>
      <c r="D1613" s="596">
        <v>0</v>
      </c>
      <c r="E1613" s="595">
        <v>2641158.0299999998</v>
      </c>
      <c r="F1613" s="595">
        <v>1624133.52</v>
      </c>
      <c r="G1613" s="595">
        <v>6162911.04</v>
      </c>
      <c r="H1613" s="596">
        <v>0</v>
      </c>
      <c r="I1613" s="594" t="s">
        <v>2363</v>
      </c>
    </row>
    <row r="1614" spans="1:9" ht="17.100000000000001" customHeight="1">
      <c r="A1614" s="594">
        <v>911201</v>
      </c>
      <c r="B1614" s="594" t="s">
        <v>2364</v>
      </c>
      <c r="C1614" s="595">
        <v>1451027.79</v>
      </c>
      <c r="D1614" s="596">
        <v>0</v>
      </c>
      <c r="E1614" s="595">
        <v>1646431.9</v>
      </c>
      <c r="F1614" s="595">
        <v>610345.72</v>
      </c>
      <c r="G1614" s="595">
        <v>2487113.9700000002</v>
      </c>
      <c r="H1614" s="596">
        <v>0</v>
      </c>
      <c r="I1614" s="594" t="s">
        <v>2365</v>
      </c>
    </row>
    <row r="1615" spans="1:9" ht="17.100000000000001" customHeight="1">
      <c r="A1615" s="594">
        <v>91120101</v>
      </c>
      <c r="B1615" s="594" t="s">
        <v>2364</v>
      </c>
      <c r="C1615" s="595">
        <v>1451027.79</v>
      </c>
      <c r="D1615" s="596">
        <v>0</v>
      </c>
      <c r="E1615" s="595">
        <v>1646431.9</v>
      </c>
      <c r="F1615" s="595">
        <v>610345.72</v>
      </c>
      <c r="G1615" s="595">
        <v>2487113.9700000002</v>
      </c>
      <c r="H1615" s="596">
        <v>0</v>
      </c>
      <c r="I1615" s="594" t="s">
        <v>2366</v>
      </c>
    </row>
    <row r="1616" spans="1:9" ht="17.100000000000001" customHeight="1">
      <c r="A1616" s="594">
        <v>911202</v>
      </c>
      <c r="B1616" s="594" t="s">
        <v>2367</v>
      </c>
      <c r="C1616" s="595">
        <v>2616758.06</v>
      </c>
      <c r="D1616" s="596">
        <v>0</v>
      </c>
      <c r="E1616" s="596">
        <v>0</v>
      </c>
      <c r="F1616" s="596">
        <v>0</v>
      </c>
      <c r="G1616" s="595">
        <v>2616758.06</v>
      </c>
      <c r="H1616" s="596">
        <v>0</v>
      </c>
      <c r="I1616" s="594" t="s">
        <v>2368</v>
      </c>
    </row>
    <row r="1617" spans="1:9" ht="17.100000000000001" customHeight="1">
      <c r="A1617" s="594">
        <v>91120201</v>
      </c>
      <c r="B1617" s="594" t="s">
        <v>2367</v>
      </c>
      <c r="C1617" s="595">
        <v>2616758.06</v>
      </c>
      <c r="D1617" s="596">
        <v>0</v>
      </c>
      <c r="E1617" s="596">
        <v>0</v>
      </c>
      <c r="F1617" s="596">
        <v>0</v>
      </c>
      <c r="G1617" s="595">
        <v>2616758.06</v>
      </c>
      <c r="H1617" s="596">
        <v>0</v>
      </c>
      <c r="I1617" s="594" t="s">
        <v>2369</v>
      </c>
    </row>
    <row r="1618" spans="1:9" ht="17.100000000000001" customHeight="1">
      <c r="A1618" s="594">
        <v>911203</v>
      </c>
      <c r="B1618" s="594" t="s">
        <v>2370</v>
      </c>
      <c r="C1618" s="595">
        <v>10886.16</v>
      </c>
      <c r="D1618" s="596">
        <v>0</v>
      </c>
      <c r="E1618" s="595">
        <v>694810.45</v>
      </c>
      <c r="F1618" s="595">
        <v>694603.73</v>
      </c>
      <c r="G1618" s="595">
        <v>11092.88</v>
      </c>
      <c r="H1618" s="596">
        <v>0</v>
      </c>
      <c r="I1618" s="594" t="s">
        <v>2371</v>
      </c>
    </row>
    <row r="1619" spans="1:9" ht="17.100000000000001" customHeight="1">
      <c r="A1619" s="320"/>
      <c r="B1619" s="320"/>
      <c r="C1619" s="320"/>
      <c r="D1619" s="557" t="s">
        <v>4198</v>
      </c>
      <c r="E1619" s="320" t="s">
        <v>3792</v>
      </c>
      <c r="F1619" s="320"/>
      <c r="G1619" s="320"/>
      <c r="H1619" s="320"/>
      <c r="I1619" s="320"/>
    </row>
    <row r="1620" spans="1:9" ht="17.100000000000001" customHeight="1">
      <c r="A1620" s="671"/>
      <c r="B1620" s="671"/>
      <c r="C1620" s="671"/>
      <c r="D1620" s="671"/>
      <c r="E1620" s="671"/>
      <c r="F1620" s="671"/>
      <c r="G1620" s="671"/>
      <c r="H1620" s="671"/>
      <c r="I1620" s="671"/>
    </row>
    <row r="1621" spans="1:9" ht="17.100000000000001" customHeight="1">
      <c r="A1621" s="320"/>
      <c r="B1621" s="320"/>
      <c r="C1621" s="589" t="s">
        <v>3707</v>
      </c>
      <c r="D1621" s="320"/>
      <c r="E1621" s="320"/>
      <c r="F1621" s="671"/>
      <c r="G1621" s="671"/>
      <c r="H1621" s="671"/>
      <c r="I1621" s="671"/>
    </row>
    <row r="1622" spans="1:9" ht="28.5" customHeight="1">
      <c r="A1622" s="590" t="s">
        <v>3708</v>
      </c>
      <c r="B1622" s="590"/>
      <c r="C1622" s="597">
        <v>42887</v>
      </c>
      <c r="D1622" s="590"/>
      <c r="E1622" s="557" t="s">
        <v>3709</v>
      </c>
      <c r="F1622" s="671"/>
      <c r="G1622" s="671"/>
      <c r="H1622" s="671"/>
      <c r="I1622" s="671"/>
    </row>
    <row r="1623" spans="1:9" ht="16.5">
      <c r="A1623" s="593" t="s">
        <v>596</v>
      </c>
      <c r="B1623" s="593" t="s">
        <v>597</v>
      </c>
      <c r="C1623" s="593" t="s">
        <v>3710</v>
      </c>
      <c r="D1623" s="593" t="s">
        <v>3711</v>
      </c>
      <c r="E1623" s="593" t="s">
        <v>3712</v>
      </c>
      <c r="F1623" s="593" t="s">
        <v>3713</v>
      </c>
      <c r="G1623" s="593" t="s">
        <v>3714</v>
      </c>
      <c r="H1623" s="593" t="s">
        <v>3715</v>
      </c>
      <c r="I1623" s="593" t="s">
        <v>596</v>
      </c>
    </row>
    <row r="1624" spans="1:9">
      <c r="A1624" s="594">
        <v>91120301</v>
      </c>
      <c r="B1624" s="594" t="s">
        <v>2370</v>
      </c>
      <c r="C1624" s="595">
        <v>10886.16</v>
      </c>
      <c r="D1624" s="596">
        <v>0</v>
      </c>
      <c r="E1624" s="595">
        <v>694810.45</v>
      </c>
      <c r="F1624" s="595">
        <v>694603.73</v>
      </c>
      <c r="G1624" s="595">
        <v>11092.88</v>
      </c>
      <c r="H1624" s="596">
        <v>0</v>
      </c>
      <c r="I1624" s="594" t="s">
        <v>2372</v>
      </c>
    </row>
    <row r="1625" spans="1:9">
      <c r="A1625" s="594">
        <v>911204</v>
      </c>
      <c r="B1625" s="594" t="s">
        <v>2373</v>
      </c>
      <c r="C1625" s="595">
        <v>1067214.52</v>
      </c>
      <c r="D1625" s="596">
        <v>0</v>
      </c>
      <c r="E1625" s="595">
        <v>299915.68</v>
      </c>
      <c r="F1625" s="595">
        <v>319184.07</v>
      </c>
      <c r="G1625" s="595">
        <v>1047946.13</v>
      </c>
      <c r="H1625" s="596">
        <v>0</v>
      </c>
      <c r="I1625" s="594" t="s">
        <v>2374</v>
      </c>
    </row>
    <row r="1626" spans="1:9" ht="28.5" customHeight="1">
      <c r="A1626" s="594">
        <v>91120401</v>
      </c>
      <c r="B1626" s="594" t="s">
        <v>2373</v>
      </c>
      <c r="C1626" s="595">
        <v>1067214.52</v>
      </c>
      <c r="D1626" s="596">
        <v>0</v>
      </c>
      <c r="E1626" s="595">
        <v>299915.68</v>
      </c>
      <c r="F1626" s="595">
        <v>319184.07</v>
      </c>
      <c r="G1626" s="595">
        <v>1047946.13</v>
      </c>
      <c r="H1626" s="596">
        <v>0</v>
      </c>
      <c r="I1626" s="594" t="s">
        <v>2375</v>
      </c>
    </row>
    <row r="1627" spans="1:9" ht="17.100000000000001" customHeight="1">
      <c r="A1627" s="594">
        <v>9113</v>
      </c>
      <c r="B1627" s="594" t="s">
        <v>2376</v>
      </c>
      <c r="C1627" s="595">
        <v>12306323.119999999</v>
      </c>
      <c r="D1627" s="596">
        <v>0</v>
      </c>
      <c r="E1627" s="595">
        <v>2671357.5499999998</v>
      </c>
      <c r="F1627" s="596">
        <v>0</v>
      </c>
      <c r="G1627" s="595">
        <v>14977680.67</v>
      </c>
      <c r="H1627" s="596">
        <v>0</v>
      </c>
      <c r="I1627" s="594" t="s">
        <v>2377</v>
      </c>
    </row>
    <row r="1628" spans="1:9" ht="17.100000000000001" customHeight="1">
      <c r="A1628" s="594">
        <v>911301</v>
      </c>
      <c r="B1628" s="594" t="s">
        <v>2378</v>
      </c>
      <c r="C1628" s="595">
        <v>12317349.119999999</v>
      </c>
      <c r="D1628" s="596">
        <v>0</v>
      </c>
      <c r="E1628" s="595">
        <v>2671357.5499999998</v>
      </c>
      <c r="F1628" s="596">
        <v>0</v>
      </c>
      <c r="G1628" s="595">
        <v>14988706.67</v>
      </c>
      <c r="H1628" s="596">
        <v>0</v>
      </c>
      <c r="I1628" s="594" t="s">
        <v>2379</v>
      </c>
    </row>
    <row r="1629" spans="1:9">
      <c r="A1629" s="594">
        <v>91130101</v>
      </c>
      <c r="B1629" s="594" t="s">
        <v>2378</v>
      </c>
      <c r="C1629" s="595">
        <v>12317349.119999999</v>
      </c>
      <c r="D1629" s="596">
        <v>0</v>
      </c>
      <c r="E1629" s="595">
        <v>2671357.5499999998</v>
      </c>
      <c r="F1629" s="596">
        <v>0</v>
      </c>
      <c r="G1629" s="595">
        <v>14988706.67</v>
      </c>
      <c r="H1629" s="596">
        <v>0</v>
      </c>
      <c r="I1629" s="594" t="s">
        <v>2380</v>
      </c>
    </row>
    <row r="1630" spans="1:9" ht="28.5" customHeight="1">
      <c r="A1630" s="594">
        <v>911302</v>
      </c>
      <c r="B1630" s="594" t="s">
        <v>2381</v>
      </c>
      <c r="C1630" s="595">
        <v>-11026</v>
      </c>
      <c r="D1630" s="596">
        <v>0</v>
      </c>
      <c r="E1630" s="596">
        <v>0</v>
      </c>
      <c r="F1630" s="596">
        <v>0</v>
      </c>
      <c r="G1630" s="595">
        <v>-11026</v>
      </c>
      <c r="H1630" s="596">
        <v>0</v>
      </c>
      <c r="I1630" s="594" t="s">
        <v>2382</v>
      </c>
    </row>
    <row r="1631" spans="1:9">
      <c r="A1631" s="594">
        <v>91130201</v>
      </c>
      <c r="B1631" s="594" t="s">
        <v>2381</v>
      </c>
      <c r="C1631" s="595">
        <v>-11026</v>
      </c>
      <c r="D1631" s="596">
        <v>0</v>
      </c>
      <c r="E1631" s="596">
        <v>0</v>
      </c>
      <c r="F1631" s="596">
        <v>0</v>
      </c>
      <c r="G1631" s="595">
        <v>-11026</v>
      </c>
      <c r="H1631" s="596">
        <v>0</v>
      </c>
      <c r="I1631" s="594" t="s">
        <v>2383</v>
      </c>
    </row>
    <row r="1632" spans="1:9">
      <c r="A1632" s="594">
        <v>9114</v>
      </c>
      <c r="B1632" s="594" t="s">
        <v>3382</v>
      </c>
      <c r="C1632" s="595">
        <v>359634601.83999997</v>
      </c>
      <c r="D1632" s="596">
        <v>0</v>
      </c>
      <c r="E1632" s="595">
        <v>156474917.99000001</v>
      </c>
      <c r="F1632" s="595">
        <v>95338646.75</v>
      </c>
      <c r="G1632" s="595">
        <v>420770873.07999998</v>
      </c>
      <c r="H1632" s="596">
        <v>0</v>
      </c>
      <c r="I1632" s="594" t="s">
        <v>2384</v>
      </c>
    </row>
    <row r="1633" spans="1:9">
      <c r="A1633" s="594">
        <v>911401</v>
      </c>
      <c r="B1633" s="594" t="s">
        <v>2385</v>
      </c>
      <c r="C1633" s="595">
        <v>134298434.06999999</v>
      </c>
      <c r="D1633" s="596">
        <v>0</v>
      </c>
      <c r="E1633" s="595">
        <v>1457170.41</v>
      </c>
      <c r="F1633" s="595">
        <v>407875.88</v>
      </c>
      <c r="G1633" s="595">
        <v>135347728.59999999</v>
      </c>
      <c r="H1633" s="596">
        <v>0</v>
      </c>
      <c r="I1633" s="594" t="s">
        <v>2386</v>
      </c>
    </row>
    <row r="1634" spans="1:9">
      <c r="A1634" s="594">
        <v>91140101</v>
      </c>
      <c r="B1634" s="594" t="s">
        <v>2385</v>
      </c>
      <c r="C1634" s="595">
        <v>134298434.06999999</v>
      </c>
      <c r="D1634" s="596">
        <v>0</v>
      </c>
      <c r="E1634" s="595">
        <v>1457170.41</v>
      </c>
      <c r="F1634" s="595">
        <v>407875.88</v>
      </c>
      <c r="G1634" s="595">
        <v>135347728.59999999</v>
      </c>
      <c r="H1634" s="596">
        <v>0</v>
      </c>
      <c r="I1634" s="594" t="s">
        <v>2387</v>
      </c>
    </row>
    <row r="1635" spans="1:9">
      <c r="A1635" s="594">
        <v>911402</v>
      </c>
      <c r="B1635" s="594" t="s">
        <v>2388</v>
      </c>
      <c r="C1635" s="595">
        <v>225030771.87</v>
      </c>
      <c r="D1635" s="596">
        <v>0</v>
      </c>
      <c r="E1635" s="595">
        <v>155017747.58000001</v>
      </c>
      <c r="F1635" s="595">
        <v>94930770.870000005</v>
      </c>
      <c r="G1635" s="595">
        <v>285117748.57999998</v>
      </c>
      <c r="H1635" s="596">
        <v>0</v>
      </c>
      <c r="I1635" s="594" t="s">
        <v>2389</v>
      </c>
    </row>
    <row r="1636" spans="1:9">
      <c r="A1636" s="594">
        <v>91140201</v>
      </c>
      <c r="B1636" s="594" t="s">
        <v>2388</v>
      </c>
      <c r="C1636" s="595">
        <v>225030771.87</v>
      </c>
      <c r="D1636" s="596">
        <v>0</v>
      </c>
      <c r="E1636" s="595">
        <v>155017747.58000001</v>
      </c>
      <c r="F1636" s="595">
        <v>94930770.870000005</v>
      </c>
      <c r="G1636" s="595">
        <v>285117748.57999998</v>
      </c>
      <c r="H1636" s="596">
        <v>0</v>
      </c>
      <c r="I1636" s="594" t="s">
        <v>2390</v>
      </c>
    </row>
    <row r="1637" spans="1:9">
      <c r="A1637" s="594">
        <v>911404</v>
      </c>
      <c r="B1637" s="594" t="s">
        <v>2391</v>
      </c>
      <c r="C1637" s="595">
        <v>305395.90000000002</v>
      </c>
      <c r="D1637" s="596">
        <v>0</v>
      </c>
      <c r="E1637" s="596">
        <v>0</v>
      </c>
      <c r="F1637" s="596">
        <v>0</v>
      </c>
      <c r="G1637" s="595">
        <v>305395.90000000002</v>
      </c>
      <c r="H1637" s="596">
        <v>0</v>
      </c>
      <c r="I1637" s="594" t="s">
        <v>2392</v>
      </c>
    </row>
    <row r="1638" spans="1:9">
      <c r="A1638" s="594">
        <v>91140401</v>
      </c>
      <c r="B1638" s="594" t="s">
        <v>2391</v>
      </c>
      <c r="C1638" s="595">
        <v>305395.90000000002</v>
      </c>
      <c r="D1638" s="596">
        <v>0</v>
      </c>
      <c r="E1638" s="596">
        <v>0</v>
      </c>
      <c r="F1638" s="596">
        <v>0</v>
      </c>
      <c r="G1638" s="595">
        <v>305395.90000000002</v>
      </c>
      <c r="H1638" s="596">
        <v>0</v>
      </c>
      <c r="I1638" s="594" t="s">
        <v>2393</v>
      </c>
    </row>
    <row r="1639" spans="1:9">
      <c r="A1639" s="594">
        <v>9116</v>
      </c>
      <c r="B1639" s="594" t="s">
        <v>2394</v>
      </c>
      <c r="C1639" s="595">
        <v>75859068300</v>
      </c>
      <c r="D1639" s="596">
        <v>0</v>
      </c>
      <c r="E1639" s="595">
        <v>1088785680000</v>
      </c>
      <c r="F1639" s="595">
        <v>1085464940000</v>
      </c>
      <c r="G1639" s="595">
        <v>79179808300</v>
      </c>
      <c r="H1639" s="596">
        <v>0</v>
      </c>
      <c r="I1639" s="594" t="s">
        <v>2395</v>
      </c>
    </row>
    <row r="1640" spans="1:9">
      <c r="A1640" s="594">
        <v>911601</v>
      </c>
      <c r="B1640" s="594" t="s">
        <v>2394</v>
      </c>
      <c r="C1640" s="595">
        <v>75859068300</v>
      </c>
      <c r="D1640" s="596">
        <v>0</v>
      </c>
      <c r="E1640" s="595">
        <v>1088785680000</v>
      </c>
      <c r="F1640" s="595">
        <v>1085464940000</v>
      </c>
      <c r="G1640" s="595">
        <v>79179808300</v>
      </c>
      <c r="H1640" s="596">
        <v>0</v>
      </c>
      <c r="I1640" s="594" t="s">
        <v>2396</v>
      </c>
    </row>
    <row r="1641" spans="1:9">
      <c r="A1641" s="594">
        <v>91160101</v>
      </c>
      <c r="B1641" s="594" t="s">
        <v>2394</v>
      </c>
      <c r="C1641" s="595">
        <v>75859068300</v>
      </c>
      <c r="D1641" s="596">
        <v>0</v>
      </c>
      <c r="E1641" s="595">
        <v>1088785680000</v>
      </c>
      <c r="F1641" s="595">
        <v>1085464940000</v>
      </c>
      <c r="G1641" s="595">
        <v>79179808300</v>
      </c>
      <c r="H1641" s="596">
        <v>0</v>
      </c>
      <c r="I1641" s="594" t="s">
        <v>2397</v>
      </c>
    </row>
    <row r="1642" spans="1:9">
      <c r="A1642" s="594">
        <v>9120</v>
      </c>
      <c r="B1642" s="594" t="s">
        <v>2398</v>
      </c>
      <c r="C1642" s="595">
        <v>2951220</v>
      </c>
      <c r="D1642" s="596">
        <v>0</v>
      </c>
      <c r="E1642" s="595">
        <v>1701285</v>
      </c>
      <c r="F1642" s="595">
        <v>1785453</v>
      </c>
      <c r="G1642" s="595">
        <v>2867052</v>
      </c>
      <c r="H1642" s="596">
        <v>0</v>
      </c>
      <c r="I1642" s="594" t="s">
        <v>2399</v>
      </c>
    </row>
    <row r="1643" spans="1:9">
      <c r="A1643" s="594">
        <v>912001</v>
      </c>
      <c r="B1643" s="594" t="s">
        <v>2398</v>
      </c>
      <c r="C1643" s="595">
        <v>2084457</v>
      </c>
      <c r="D1643" s="596">
        <v>0</v>
      </c>
      <c r="E1643" s="595">
        <v>862164</v>
      </c>
      <c r="F1643" s="595">
        <v>1007587</v>
      </c>
      <c r="G1643" s="595">
        <v>1939034</v>
      </c>
      <c r="H1643" s="596">
        <v>0</v>
      </c>
      <c r="I1643" s="594" t="s">
        <v>2400</v>
      </c>
    </row>
    <row r="1644" spans="1:9">
      <c r="A1644" s="594">
        <v>91200101</v>
      </c>
      <c r="B1644" s="594" t="s">
        <v>2401</v>
      </c>
      <c r="C1644" s="595">
        <v>2084457</v>
      </c>
      <c r="D1644" s="596">
        <v>0</v>
      </c>
      <c r="E1644" s="595">
        <v>862164</v>
      </c>
      <c r="F1644" s="595">
        <v>1007587</v>
      </c>
      <c r="G1644" s="595">
        <v>1939034</v>
      </c>
      <c r="H1644" s="596">
        <v>0</v>
      </c>
      <c r="I1644" s="594" t="s">
        <v>2402</v>
      </c>
    </row>
    <row r="1645" spans="1:9">
      <c r="A1645" s="594">
        <v>912002</v>
      </c>
      <c r="B1645" s="594" t="s">
        <v>2403</v>
      </c>
      <c r="C1645" s="595">
        <v>866763</v>
      </c>
      <c r="D1645" s="596">
        <v>0</v>
      </c>
      <c r="E1645" s="595">
        <v>839121</v>
      </c>
      <c r="F1645" s="595">
        <v>777866</v>
      </c>
      <c r="G1645" s="595">
        <v>928018</v>
      </c>
      <c r="H1645" s="596">
        <v>0</v>
      </c>
      <c r="I1645" s="594" t="s">
        <v>2404</v>
      </c>
    </row>
    <row r="1646" spans="1:9">
      <c r="A1646" s="594">
        <v>91200202</v>
      </c>
      <c r="B1646" s="594" t="s">
        <v>2405</v>
      </c>
      <c r="C1646" s="595">
        <v>861470</v>
      </c>
      <c r="D1646" s="596">
        <v>0</v>
      </c>
      <c r="E1646" s="595">
        <v>827204</v>
      </c>
      <c r="F1646" s="595">
        <v>765510</v>
      </c>
      <c r="G1646" s="595">
        <v>923164</v>
      </c>
      <c r="H1646" s="596">
        <v>0</v>
      </c>
      <c r="I1646" s="594" t="s">
        <v>2406</v>
      </c>
    </row>
    <row r="1647" spans="1:9">
      <c r="A1647" s="594">
        <v>91200204</v>
      </c>
      <c r="B1647" s="594" t="s">
        <v>2407</v>
      </c>
      <c r="C1647" s="595">
        <v>5293</v>
      </c>
      <c r="D1647" s="596">
        <v>0</v>
      </c>
      <c r="E1647" s="595">
        <v>11917</v>
      </c>
      <c r="F1647" s="595">
        <v>12356</v>
      </c>
      <c r="G1647" s="595">
        <v>4854</v>
      </c>
      <c r="H1647" s="596">
        <v>0</v>
      </c>
      <c r="I1647" s="594" t="s">
        <v>2408</v>
      </c>
    </row>
    <row r="1648" spans="1:9">
      <c r="A1648" s="594">
        <v>9121</v>
      </c>
      <c r="B1648" s="594" t="s">
        <v>2409</v>
      </c>
      <c r="C1648" s="595">
        <v>77466142.469999999</v>
      </c>
      <c r="D1648" s="596">
        <v>0</v>
      </c>
      <c r="E1648" s="596">
        <v>0</v>
      </c>
      <c r="F1648" s="596">
        <v>0</v>
      </c>
      <c r="G1648" s="595">
        <v>77466142.469999999</v>
      </c>
      <c r="H1648" s="596">
        <v>0</v>
      </c>
      <c r="I1648" s="594" t="s">
        <v>2410</v>
      </c>
    </row>
    <row r="1649" spans="1:9">
      <c r="A1649" s="594">
        <v>912101</v>
      </c>
      <c r="B1649" s="594" t="s">
        <v>2409</v>
      </c>
      <c r="C1649" s="595">
        <v>77466142.469999999</v>
      </c>
      <c r="D1649" s="596">
        <v>0</v>
      </c>
      <c r="E1649" s="596">
        <v>0</v>
      </c>
      <c r="F1649" s="596">
        <v>0</v>
      </c>
      <c r="G1649" s="595">
        <v>77466142.469999999</v>
      </c>
      <c r="H1649" s="596">
        <v>0</v>
      </c>
      <c r="I1649" s="594" t="s">
        <v>2411</v>
      </c>
    </row>
    <row r="1650" spans="1:9">
      <c r="A1650" s="594">
        <v>91210101</v>
      </c>
      <c r="B1650" s="594" t="s">
        <v>2412</v>
      </c>
      <c r="C1650" s="595">
        <v>77466142.469999999</v>
      </c>
      <c r="D1650" s="596">
        <v>0</v>
      </c>
      <c r="E1650" s="596">
        <v>0</v>
      </c>
      <c r="F1650" s="596">
        <v>0</v>
      </c>
      <c r="G1650" s="595">
        <v>77466142.469999999</v>
      </c>
      <c r="H1650" s="596">
        <v>0</v>
      </c>
      <c r="I1650" s="594" t="s">
        <v>2413</v>
      </c>
    </row>
    <row r="1651" spans="1:9">
      <c r="A1651" s="594">
        <v>9124</v>
      </c>
      <c r="B1651" s="594" t="s">
        <v>2414</v>
      </c>
      <c r="C1651" s="595">
        <v>10707.29</v>
      </c>
      <c r="D1651" s="596">
        <v>0</v>
      </c>
      <c r="E1651" s="596">
        <v>0</v>
      </c>
      <c r="F1651" s="596">
        <v>0</v>
      </c>
      <c r="G1651" s="595">
        <v>10707.29</v>
      </c>
      <c r="H1651" s="596">
        <v>0</v>
      </c>
      <c r="I1651" s="594" t="s">
        <v>2415</v>
      </c>
    </row>
    <row r="1652" spans="1:9">
      <c r="A1652" s="594">
        <v>912402</v>
      </c>
      <c r="B1652" s="594" t="s">
        <v>2416</v>
      </c>
      <c r="C1652" s="595">
        <v>10707.29</v>
      </c>
      <c r="D1652" s="596">
        <v>0</v>
      </c>
      <c r="E1652" s="596">
        <v>0</v>
      </c>
      <c r="F1652" s="596">
        <v>0</v>
      </c>
      <c r="G1652" s="595">
        <v>10707.29</v>
      </c>
      <c r="H1652" s="596">
        <v>0</v>
      </c>
      <c r="I1652" s="594" t="s">
        <v>2417</v>
      </c>
    </row>
    <row r="1653" spans="1:9">
      <c r="A1653" s="594">
        <v>91240201</v>
      </c>
      <c r="B1653" s="594" t="s">
        <v>2416</v>
      </c>
      <c r="C1653" s="595">
        <v>10707.29</v>
      </c>
      <c r="D1653" s="596">
        <v>0</v>
      </c>
      <c r="E1653" s="596">
        <v>0</v>
      </c>
      <c r="F1653" s="596">
        <v>0</v>
      </c>
      <c r="G1653" s="595">
        <v>10707.29</v>
      </c>
      <c r="H1653" s="596">
        <v>0</v>
      </c>
      <c r="I1653" s="594" t="s">
        <v>2418</v>
      </c>
    </row>
    <row r="1654" spans="1:9">
      <c r="A1654" s="594">
        <v>9125</v>
      </c>
      <c r="B1654" s="594" t="s">
        <v>2419</v>
      </c>
      <c r="C1654" s="595">
        <v>781373773990.90002</v>
      </c>
      <c r="D1654" s="596">
        <v>0</v>
      </c>
      <c r="E1654" s="595">
        <v>20151606186.209999</v>
      </c>
      <c r="F1654" s="595">
        <v>19424870037.799999</v>
      </c>
      <c r="G1654" s="595">
        <v>782100510139.31006</v>
      </c>
      <c r="H1654" s="596">
        <v>0</v>
      </c>
      <c r="I1654" s="594" t="s">
        <v>2420</v>
      </c>
    </row>
    <row r="1655" spans="1:9">
      <c r="A1655" s="594">
        <v>912501</v>
      </c>
      <c r="B1655" s="594" t="s">
        <v>2419</v>
      </c>
      <c r="C1655" s="595">
        <v>781373773990.90002</v>
      </c>
      <c r="D1655" s="596">
        <v>0</v>
      </c>
      <c r="E1655" s="595">
        <v>20151606186.209999</v>
      </c>
      <c r="F1655" s="595">
        <v>19424870037.799999</v>
      </c>
      <c r="G1655" s="595">
        <v>782100510139.31006</v>
      </c>
      <c r="H1655" s="596">
        <v>0</v>
      </c>
      <c r="I1655" s="594" t="s">
        <v>2421</v>
      </c>
    </row>
    <row r="1656" spans="1:9">
      <c r="A1656" s="594">
        <v>91250101</v>
      </c>
      <c r="B1656" s="594" t="s">
        <v>2419</v>
      </c>
      <c r="C1656" s="595">
        <v>781373773990.90002</v>
      </c>
      <c r="D1656" s="596">
        <v>0</v>
      </c>
      <c r="E1656" s="595">
        <v>20151606186.209999</v>
      </c>
      <c r="F1656" s="595">
        <v>19424870037.799999</v>
      </c>
      <c r="G1656" s="595">
        <v>782100510139.31006</v>
      </c>
      <c r="H1656" s="596">
        <v>0</v>
      </c>
      <c r="I1656" s="594" t="s">
        <v>2422</v>
      </c>
    </row>
    <row r="1657" spans="1:9">
      <c r="A1657" s="594">
        <v>9126</v>
      </c>
      <c r="B1657" s="594" t="s">
        <v>2423</v>
      </c>
      <c r="C1657" s="595">
        <v>20356074102.490002</v>
      </c>
      <c r="D1657" s="596">
        <v>0</v>
      </c>
      <c r="E1657" s="595">
        <v>3791881127.5</v>
      </c>
      <c r="F1657" s="595">
        <v>563787840.88999999</v>
      </c>
      <c r="G1657" s="595">
        <v>23584167389.099998</v>
      </c>
      <c r="H1657" s="596">
        <v>0</v>
      </c>
      <c r="I1657" s="594" t="s">
        <v>2424</v>
      </c>
    </row>
    <row r="1658" spans="1:9">
      <c r="A1658" s="320"/>
      <c r="B1658" s="320"/>
      <c r="C1658" s="320"/>
      <c r="D1658" s="557" t="s">
        <v>4198</v>
      </c>
      <c r="E1658" s="320" t="s">
        <v>3793</v>
      </c>
      <c r="F1658" s="320"/>
      <c r="G1658" s="320"/>
      <c r="H1658" s="320"/>
      <c r="I1658" s="320"/>
    </row>
    <row r="1659" spans="1:9">
      <c r="A1659" s="671"/>
      <c r="B1659" s="671"/>
      <c r="C1659" s="671"/>
      <c r="D1659" s="671"/>
      <c r="E1659" s="671"/>
      <c r="F1659" s="671"/>
      <c r="G1659" s="671"/>
      <c r="H1659" s="671"/>
      <c r="I1659" s="671"/>
    </row>
    <row r="1660" spans="1:9" ht="24.75">
      <c r="A1660" s="320"/>
      <c r="B1660" s="320"/>
      <c r="C1660" s="589" t="s">
        <v>3707</v>
      </c>
      <c r="D1660" s="320"/>
      <c r="E1660" s="320"/>
      <c r="F1660" s="671"/>
      <c r="G1660" s="671"/>
      <c r="H1660" s="671"/>
      <c r="I1660" s="671"/>
    </row>
    <row r="1661" spans="1:9" ht="17.25">
      <c r="A1661" s="590" t="s">
        <v>3708</v>
      </c>
      <c r="B1661" s="590"/>
      <c r="C1661" s="597">
        <v>42887</v>
      </c>
      <c r="D1661" s="590"/>
      <c r="E1661" s="557" t="s">
        <v>3709</v>
      </c>
      <c r="F1661" s="671"/>
      <c r="G1661" s="671"/>
      <c r="H1661" s="671"/>
      <c r="I1661" s="671"/>
    </row>
    <row r="1662" spans="1:9" ht="16.5">
      <c r="A1662" s="593" t="s">
        <v>596</v>
      </c>
      <c r="B1662" s="593" t="s">
        <v>597</v>
      </c>
      <c r="C1662" s="593" t="s">
        <v>3710</v>
      </c>
      <c r="D1662" s="593" t="s">
        <v>3711</v>
      </c>
      <c r="E1662" s="593" t="s">
        <v>3712</v>
      </c>
      <c r="F1662" s="593" t="s">
        <v>3713</v>
      </c>
      <c r="G1662" s="593" t="s">
        <v>3714</v>
      </c>
      <c r="H1662" s="593" t="s">
        <v>3715</v>
      </c>
      <c r="I1662" s="593" t="s">
        <v>596</v>
      </c>
    </row>
    <row r="1663" spans="1:9">
      <c r="A1663" s="594">
        <v>912601</v>
      </c>
      <c r="B1663" s="594" t="s">
        <v>2423</v>
      </c>
      <c r="C1663" s="595">
        <v>20356074102.490002</v>
      </c>
      <c r="D1663" s="596">
        <v>0</v>
      </c>
      <c r="E1663" s="595">
        <v>3791881127.5</v>
      </c>
      <c r="F1663" s="595">
        <v>563787840.88999999</v>
      </c>
      <c r="G1663" s="595">
        <v>23584167389.099998</v>
      </c>
      <c r="H1663" s="596">
        <v>0</v>
      </c>
      <c r="I1663" s="594" t="s">
        <v>2425</v>
      </c>
    </row>
    <row r="1664" spans="1:9">
      <c r="A1664" s="594">
        <v>91260101</v>
      </c>
      <c r="B1664" s="594" t="s">
        <v>2423</v>
      </c>
      <c r="C1664" s="595">
        <v>20356074102.490002</v>
      </c>
      <c r="D1664" s="596">
        <v>0</v>
      </c>
      <c r="E1664" s="595">
        <v>3791881127.5</v>
      </c>
      <c r="F1664" s="595">
        <v>563787840.88999999</v>
      </c>
      <c r="G1664" s="595">
        <v>23584167389.099998</v>
      </c>
      <c r="H1664" s="596">
        <v>0</v>
      </c>
      <c r="I1664" s="594" t="s">
        <v>2426</v>
      </c>
    </row>
    <row r="1665" spans="1:9">
      <c r="A1665" s="594">
        <v>9127</v>
      </c>
      <c r="B1665" s="594" t="s">
        <v>3383</v>
      </c>
      <c r="C1665" s="595">
        <v>4200000000</v>
      </c>
      <c r="D1665" s="596">
        <v>0</v>
      </c>
      <c r="E1665" s="595">
        <v>210000000</v>
      </c>
      <c r="F1665" s="595">
        <v>810000000</v>
      </c>
      <c r="G1665" s="595">
        <v>3600000000</v>
      </c>
      <c r="H1665" s="596">
        <v>0</v>
      </c>
      <c r="I1665" s="594" t="s">
        <v>3384</v>
      </c>
    </row>
    <row r="1666" spans="1:9">
      <c r="A1666" s="594">
        <v>912701</v>
      </c>
      <c r="B1666" s="594" t="s">
        <v>3385</v>
      </c>
      <c r="C1666" s="595">
        <v>2100000000</v>
      </c>
      <c r="D1666" s="596">
        <v>0</v>
      </c>
      <c r="E1666" s="596">
        <v>0</v>
      </c>
      <c r="F1666" s="595">
        <v>300000000</v>
      </c>
      <c r="G1666" s="595">
        <v>1800000000</v>
      </c>
      <c r="H1666" s="596">
        <v>0</v>
      </c>
      <c r="I1666" s="594" t="s">
        <v>3386</v>
      </c>
    </row>
    <row r="1667" spans="1:9">
      <c r="A1667" s="594">
        <v>91270101</v>
      </c>
      <c r="B1667" s="594" t="s">
        <v>3385</v>
      </c>
      <c r="C1667" s="595">
        <v>2100000000</v>
      </c>
      <c r="D1667" s="596">
        <v>0</v>
      </c>
      <c r="E1667" s="596">
        <v>0</v>
      </c>
      <c r="F1667" s="595">
        <v>300000000</v>
      </c>
      <c r="G1667" s="595">
        <v>1800000000</v>
      </c>
      <c r="H1667" s="596">
        <v>0</v>
      </c>
      <c r="I1667" s="594" t="s">
        <v>3387</v>
      </c>
    </row>
    <row r="1668" spans="1:9">
      <c r="A1668" s="594">
        <v>912702</v>
      </c>
      <c r="B1668" s="594" t="s">
        <v>4108</v>
      </c>
      <c r="C1668" s="596">
        <v>0</v>
      </c>
      <c r="D1668" s="596">
        <v>0</v>
      </c>
      <c r="E1668" s="595">
        <v>100000000</v>
      </c>
      <c r="F1668" s="595">
        <v>100000000</v>
      </c>
      <c r="G1668" s="596">
        <v>0</v>
      </c>
      <c r="H1668" s="596">
        <v>0</v>
      </c>
      <c r="I1668" s="594" t="s">
        <v>4109</v>
      </c>
    </row>
    <row r="1669" spans="1:9">
      <c r="A1669" s="594">
        <v>91270201</v>
      </c>
      <c r="B1669" s="594" t="s">
        <v>4110</v>
      </c>
      <c r="C1669" s="596">
        <v>0</v>
      </c>
      <c r="D1669" s="596">
        <v>0</v>
      </c>
      <c r="E1669" s="595">
        <v>100000000</v>
      </c>
      <c r="F1669" s="595">
        <v>100000000</v>
      </c>
      <c r="G1669" s="596">
        <v>0</v>
      </c>
      <c r="H1669" s="596">
        <v>0</v>
      </c>
      <c r="I1669" s="594" t="s">
        <v>4111</v>
      </c>
    </row>
    <row r="1670" spans="1:9">
      <c r="A1670" s="594">
        <v>912703</v>
      </c>
      <c r="B1670" s="594" t="s">
        <v>4112</v>
      </c>
      <c r="C1670" s="596">
        <v>0</v>
      </c>
      <c r="D1670" s="596">
        <v>0</v>
      </c>
      <c r="E1670" s="595">
        <v>110000000</v>
      </c>
      <c r="F1670" s="595">
        <v>110000000</v>
      </c>
      <c r="G1670" s="596">
        <v>0</v>
      </c>
      <c r="H1670" s="596">
        <v>0</v>
      </c>
      <c r="I1670" s="594" t="s">
        <v>4113</v>
      </c>
    </row>
    <row r="1671" spans="1:9">
      <c r="A1671" s="594">
        <v>91270301</v>
      </c>
      <c r="B1671" s="594" t="s">
        <v>4112</v>
      </c>
      <c r="C1671" s="596">
        <v>0</v>
      </c>
      <c r="D1671" s="596">
        <v>0</v>
      </c>
      <c r="E1671" s="595">
        <v>110000000</v>
      </c>
      <c r="F1671" s="595">
        <v>110000000</v>
      </c>
      <c r="G1671" s="596">
        <v>0</v>
      </c>
      <c r="H1671" s="596">
        <v>0</v>
      </c>
      <c r="I1671" s="594" t="s">
        <v>4114</v>
      </c>
    </row>
    <row r="1672" spans="1:9">
      <c r="A1672" s="594">
        <v>912704</v>
      </c>
      <c r="B1672" s="594" t="s">
        <v>3388</v>
      </c>
      <c r="C1672" s="595">
        <v>2100000000</v>
      </c>
      <c r="D1672" s="596">
        <v>0</v>
      </c>
      <c r="E1672" s="596">
        <v>0</v>
      </c>
      <c r="F1672" s="595">
        <v>300000000</v>
      </c>
      <c r="G1672" s="595">
        <v>1800000000</v>
      </c>
      <c r="H1672" s="596">
        <v>0</v>
      </c>
      <c r="I1672" s="594" t="s">
        <v>3389</v>
      </c>
    </row>
    <row r="1673" spans="1:9">
      <c r="A1673" s="594">
        <v>91270401</v>
      </c>
      <c r="B1673" s="594" t="s">
        <v>3388</v>
      </c>
      <c r="C1673" s="595">
        <v>2100000000</v>
      </c>
      <c r="D1673" s="596">
        <v>0</v>
      </c>
      <c r="E1673" s="596">
        <v>0</v>
      </c>
      <c r="F1673" s="595">
        <v>300000000</v>
      </c>
      <c r="G1673" s="595">
        <v>1800000000</v>
      </c>
      <c r="H1673" s="596">
        <v>0</v>
      </c>
      <c r="I1673" s="594" t="s">
        <v>3390</v>
      </c>
    </row>
    <row r="1674" spans="1:9">
      <c r="A1674" s="594">
        <v>9130</v>
      </c>
      <c r="B1674" s="594" t="s">
        <v>2427</v>
      </c>
      <c r="C1674" s="595">
        <v>14681567545.59</v>
      </c>
      <c r="D1674" s="596">
        <v>0</v>
      </c>
      <c r="E1674" s="595">
        <v>-650459928.36000001</v>
      </c>
      <c r="F1674" s="595">
        <v>87836295.480000004</v>
      </c>
      <c r="G1674" s="595">
        <v>13943271321.75</v>
      </c>
      <c r="H1674" s="596">
        <v>0</v>
      </c>
      <c r="I1674" s="594" t="s">
        <v>2428</v>
      </c>
    </row>
    <row r="1675" spans="1:9">
      <c r="A1675" s="594">
        <v>913001</v>
      </c>
      <c r="B1675" s="594" t="s">
        <v>2429</v>
      </c>
      <c r="C1675" s="595">
        <v>14458995954.85</v>
      </c>
      <c r="D1675" s="596">
        <v>0</v>
      </c>
      <c r="E1675" s="595">
        <v>-787817441.04999995</v>
      </c>
      <c r="F1675" s="595">
        <v>87300310.019999996</v>
      </c>
      <c r="G1675" s="595">
        <v>13583878203.780001</v>
      </c>
      <c r="H1675" s="596">
        <v>0</v>
      </c>
      <c r="I1675" s="594" t="s">
        <v>2430</v>
      </c>
    </row>
    <row r="1676" spans="1:9">
      <c r="A1676" s="594">
        <v>91300101</v>
      </c>
      <c r="B1676" s="594" t="s">
        <v>2431</v>
      </c>
      <c r="C1676" s="595">
        <v>11811951195.93</v>
      </c>
      <c r="D1676" s="596">
        <v>0</v>
      </c>
      <c r="E1676" s="595">
        <v>-961343620.75999999</v>
      </c>
      <c r="F1676" s="595">
        <v>79605145.609999999</v>
      </c>
      <c r="G1676" s="595">
        <v>10771002429.559999</v>
      </c>
      <c r="H1676" s="596">
        <v>0</v>
      </c>
      <c r="I1676" s="594" t="s">
        <v>2432</v>
      </c>
    </row>
    <row r="1677" spans="1:9">
      <c r="A1677" s="594">
        <v>91300103</v>
      </c>
      <c r="B1677" s="594" t="s">
        <v>2433</v>
      </c>
      <c r="C1677" s="595">
        <v>2588892640.9200001</v>
      </c>
      <c r="D1677" s="596">
        <v>0</v>
      </c>
      <c r="E1677" s="595">
        <v>168539235.55000001</v>
      </c>
      <c r="F1677" s="595">
        <v>7378076.8300000001</v>
      </c>
      <c r="G1677" s="595">
        <v>2750053799.6399999</v>
      </c>
      <c r="H1677" s="596">
        <v>0</v>
      </c>
      <c r="I1677" s="594" t="s">
        <v>2434</v>
      </c>
    </row>
    <row r="1678" spans="1:9">
      <c r="A1678" s="594">
        <v>91300105</v>
      </c>
      <c r="B1678" s="594" t="s">
        <v>2435</v>
      </c>
      <c r="C1678" s="595">
        <v>58152118</v>
      </c>
      <c r="D1678" s="596">
        <v>0</v>
      </c>
      <c r="E1678" s="595">
        <v>4986944.16</v>
      </c>
      <c r="F1678" s="595">
        <v>317087.58</v>
      </c>
      <c r="G1678" s="595">
        <v>62821974.579999998</v>
      </c>
      <c r="H1678" s="596">
        <v>0</v>
      </c>
      <c r="I1678" s="594" t="s">
        <v>2436</v>
      </c>
    </row>
    <row r="1679" spans="1:9">
      <c r="A1679" s="594">
        <v>913002</v>
      </c>
      <c r="B1679" s="594" t="s">
        <v>2437</v>
      </c>
      <c r="C1679" s="595">
        <v>222571590.74000001</v>
      </c>
      <c r="D1679" s="596">
        <v>0</v>
      </c>
      <c r="E1679" s="595">
        <v>137357512.69</v>
      </c>
      <c r="F1679" s="595">
        <v>535985.46</v>
      </c>
      <c r="G1679" s="595">
        <v>359393117.97000003</v>
      </c>
      <c r="H1679" s="596">
        <v>0</v>
      </c>
      <c r="I1679" s="594" t="s">
        <v>2438</v>
      </c>
    </row>
    <row r="1680" spans="1:9">
      <c r="A1680" s="594">
        <v>91300201</v>
      </c>
      <c r="B1680" s="594" t="s">
        <v>2439</v>
      </c>
      <c r="C1680" s="595">
        <v>222571590.74000001</v>
      </c>
      <c r="D1680" s="596">
        <v>0</v>
      </c>
      <c r="E1680" s="595">
        <v>137357512.69</v>
      </c>
      <c r="F1680" s="595">
        <v>535985.46</v>
      </c>
      <c r="G1680" s="595">
        <v>359393117.97000003</v>
      </c>
      <c r="H1680" s="596">
        <v>0</v>
      </c>
      <c r="I1680" s="594" t="s">
        <v>2440</v>
      </c>
    </row>
    <row r="1681" spans="1:9">
      <c r="A1681" s="594">
        <v>9131</v>
      </c>
      <c r="B1681" s="594" t="s">
        <v>2441</v>
      </c>
      <c r="C1681" s="595">
        <v>17897492225.970001</v>
      </c>
      <c r="D1681" s="596">
        <v>0</v>
      </c>
      <c r="E1681" s="595">
        <v>162012672.91999999</v>
      </c>
      <c r="F1681" s="595">
        <v>727865937.98000002</v>
      </c>
      <c r="G1681" s="595">
        <v>17331638960.91</v>
      </c>
      <c r="H1681" s="596">
        <v>0</v>
      </c>
      <c r="I1681" s="594" t="s">
        <v>2442</v>
      </c>
    </row>
    <row r="1682" spans="1:9">
      <c r="A1682" s="594">
        <v>913101</v>
      </c>
      <c r="B1682" s="594" t="s">
        <v>2443</v>
      </c>
      <c r="C1682" s="595">
        <v>16101999449</v>
      </c>
      <c r="D1682" s="596">
        <v>0</v>
      </c>
      <c r="E1682" s="595">
        <v>196874345.16</v>
      </c>
      <c r="F1682" s="595">
        <v>699213560.49000001</v>
      </c>
      <c r="G1682" s="595">
        <v>15599660233.67</v>
      </c>
      <c r="H1682" s="596">
        <v>0</v>
      </c>
      <c r="I1682" s="594" t="s">
        <v>2444</v>
      </c>
    </row>
    <row r="1683" spans="1:9">
      <c r="A1683" s="594">
        <v>91310101</v>
      </c>
      <c r="B1683" s="594" t="s">
        <v>2445</v>
      </c>
      <c r="C1683" s="595">
        <v>7486060815.8900003</v>
      </c>
      <c r="D1683" s="596">
        <v>0</v>
      </c>
      <c r="E1683" s="595">
        <v>165435084.41999999</v>
      </c>
      <c r="F1683" s="595">
        <v>697833310.77999997</v>
      </c>
      <c r="G1683" s="595">
        <v>6953662589.5299997</v>
      </c>
      <c r="H1683" s="596">
        <v>0</v>
      </c>
      <c r="I1683" s="594" t="s">
        <v>2446</v>
      </c>
    </row>
    <row r="1684" spans="1:9">
      <c r="A1684" s="594">
        <v>91310103</v>
      </c>
      <c r="B1684" s="594" t="s">
        <v>2447</v>
      </c>
      <c r="C1684" s="595">
        <v>8048649818.3599997</v>
      </c>
      <c r="D1684" s="596">
        <v>0</v>
      </c>
      <c r="E1684" s="595">
        <v>-128734.88</v>
      </c>
      <c r="F1684" s="595">
        <v>134383.43</v>
      </c>
      <c r="G1684" s="595">
        <v>8048386700.0500002</v>
      </c>
      <c r="H1684" s="596">
        <v>0</v>
      </c>
      <c r="I1684" s="594" t="s">
        <v>2448</v>
      </c>
    </row>
    <row r="1685" spans="1:9">
      <c r="A1685" s="594">
        <v>91310106</v>
      </c>
      <c r="B1685" s="594" t="s">
        <v>2449</v>
      </c>
      <c r="C1685" s="595">
        <v>102300076.11</v>
      </c>
      <c r="D1685" s="596">
        <v>0</v>
      </c>
      <c r="E1685" s="596">
        <v>0</v>
      </c>
      <c r="F1685" s="595">
        <v>555768.31999999995</v>
      </c>
      <c r="G1685" s="595">
        <v>101744307.79000001</v>
      </c>
      <c r="H1685" s="596">
        <v>0</v>
      </c>
      <c r="I1685" s="594" t="s">
        <v>2450</v>
      </c>
    </row>
    <row r="1686" spans="1:9">
      <c r="A1686" s="594">
        <v>91310108</v>
      </c>
      <c r="B1686" s="594" t="s">
        <v>2451</v>
      </c>
      <c r="C1686" s="595">
        <v>464988738.63999999</v>
      </c>
      <c r="D1686" s="596">
        <v>0</v>
      </c>
      <c r="E1686" s="595">
        <v>31567995.620000001</v>
      </c>
      <c r="F1686" s="595">
        <v>690097.96</v>
      </c>
      <c r="G1686" s="595">
        <v>495866636.30000001</v>
      </c>
      <c r="H1686" s="596">
        <v>0</v>
      </c>
      <c r="I1686" s="594" t="s">
        <v>2452</v>
      </c>
    </row>
    <row r="1687" spans="1:9">
      <c r="A1687" s="594">
        <v>913102</v>
      </c>
      <c r="B1687" s="594" t="s">
        <v>2453</v>
      </c>
      <c r="C1687" s="595">
        <v>1795492776.97</v>
      </c>
      <c r="D1687" s="596">
        <v>0</v>
      </c>
      <c r="E1687" s="595">
        <v>-34861672.240000002</v>
      </c>
      <c r="F1687" s="595">
        <v>28652377.489999998</v>
      </c>
      <c r="G1687" s="595">
        <v>1731978727.24</v>
      </c>
      <c r="H1687" s="596">
        <v>0</v>
      </c>
      <c r="I1687" s="594" t="s">
        <v>2454</v>
      </c>
    </row>
    <row r="1688" spans="1:9">
      <c r="A1688" s="594">
        <v>91310201</v>
      </c>
      <c r="B1688" s="594" t="s">
        <v>2455</v>
      </c>
      <c r="C1688" s="595">
        <v>1726871563.8099999</v>
      </c>
      <c r="D1688" s="596">
        <v>0</v>
      </c>
      <c r="E1688" s="595">
        <v>-37508589.32</v>
      </c>
      <c r="F1688" s="595">
        <v>28513745.98</v>
      </c>
      <c r="G1688" s="595">
        <v>1660849228.51</v>
      </c>
      <c r="H1688" s="596">
        <v>0</v>
      </c>
      <c r="I1688" s="594" t="s">
        <v>2456</v>
      </c>
    </row>
    <row r="1689" spans="1:9">
      <c r="A1689" s="594">
        <v>91310202</v>
      </c>
      <c r="B1689" s="594" t="s">
        <v>2457</v>
      </c>
      <c r="C1689" s="595">
        <v>68621213.159999996</v>
      </c>
      <c r="D1689" s="596">
        <v>0</v>
      </c>
      <c r="E1689" s="595">
        <v>2646917.08</v>
      </c>
      <c r="F1689" s="595">
        <v>138631.51</v>
      </c>
      <c r="G1689" s="595">
        <v>71129498.730000004</v>
      </c>
      <c r="H1689" s="596">
        <v>0</v>
      </c>
      <c r="I1689" s="594" t="s">
        <v>2458</v>
      </c>
    </row>
    <row r="1690" spans="1:9">
      <c r="A1690" s="594">
        <v>9132</v>
      </c>
      <c r="B1690" s="594" t="s">
        <v>2869</v>
      </c>
      <c r="C1690" s="595">
        <v>1237350044.8499999</v>
      </c>
      <c r="D1690" s="596">
        <v>0</v>
      </c>
      <c r="E1690" s="596">
        <v>0</v>
      </c>
      <c r="F1690" s="596">
        <v>0</v>
      </c>
      <c r="G1690" s="595">
        <v>1237350044.8499999</v>
      </c>
      <c r="H1690" s="596">
        <v>0</v>
      </c>
      <c r="I1690" s="594" t="s">
        <v>2459</v>
      </c>
    </row>
    <row r="1691" spans="1:9">
      <c r="A1691" s="594">
        <v>913201</v>
      </c>
      <c r="B1691" s="594" t="s">
        <v>2460</v>
      </c>
      <c r="C1691" s="595">
        <v>1236557794.8499999</v>
      </c>
      <c r="D1691" s="596">
        <v>0</v>
      </c>
      <c r="E1691" s="596">
        <v>0</v>
      </c>
      <c r="F1691" s="596">
        <v>0</v>
      </c>
      <c r="G1691" s="595">
        <v>1236557794.8499999</v>
      </c>
      <c r="H1691" s="596">
        <v>0</v>
      </c>
      <c r="I1691" s="594" t="s">
        <v>2461</v>
      </c>
    </row>
    <row r="1692" spans="1:9">
      <c r="A1692" s="594">
        <v>91320101</v>
      </c>
      <c r="B1692" s="594" t="s">
        <v>2462</v>
      </c>
      <c r="C1692" s="595">
        <v>1236557794.8499999</v>
      </c>
      <c r="D1692" s="596">
        <v>0</v>
      </c>
      <c r="E1692" s="596">
        <v>0</v>
      </c>
      <c r="F1692" s="596">
        <v>0</v>
      </c>
      <c r="G1692" s="595">
        <v>1236557794.8499999</v>
      </c>
      <c r="H1692" s="596">
        <v>0</v>
      </c>
      <c r="I1692" s="594" t="s">
        <v>2463</v>
      </c>
    </row>
    <row r="1693" spans="1:9">
      <c r="A1693" s="594">
        <v>913202</v>
      </c>
      <c r="B1693" s="594" t="s">
        <v>2464</v>
      </c>
      <c r="C1693" s="595">
        <v>792250</v>
      </c>
      <c r="D1693" s="596">
        <v>0</v>
      </c>
      <c r="E1693" s="596">
        <v>0</v>
      </c>
      <c r="F1693" s="596">
        <v>0</v>
      </c>
      <c r="G1693" s="595">
        <v>792250</v>
      </c>
      <c r="H1693" s="596">
        <v>0</v>
      </c>
      <c r="I1693" s="594" t="s">
        <v>2465</v>
      </c>
    </row>
    <row r="1694" spans="1:9">
      <c r="A1694" s="594">
        <v>91320201</v>
      </c>
      <c r="B1694" s="594" t="s">
        <v>2464</v>
      </c>
      <c r="C1694" s="595">
        <v>792250</v>
      </c>
      <c r="D1694" s="596">
        <v>0</v>
      </c>
      <c r="E1694" s="596">
        <v>0</v>
      </c>
      <c r="F1694" s="596">
        <v>0</v>
      </c>
      <c r="G1694" s="595">
        <v>792250</v>
      </c>
      <c r="H1694" s="596">
        <v>0</v>
      </c>
      <c r="I1694" s="594" t="s">
        <v>2466</v>
      </c>
    </row>
    <row r="1695" spans="1:9">
      <c r="A1695" s="594">
        <v>9133</v>
      </c>
      <c r="B1695" s="594" t="s">
        <v>2467</v>
      </c>
      <c r="C1695" s="595">
        <v>1729312.36</v>
      </c>
      <c r="D1695" s="596">
        <v>0</v>
      </c>
      <c r="E1695" s="596">
        <v>0</v>
      </c>
      <c r="F1695" s="596">
        <v>0</v>
      </c>
      <c r="G1695" s="595">
        <v>1729312.36</v>
      </c>
      <c r="H1695" s="596">
        <v>0</v>
      </c>
      <c r="I1695" s="594" t="s">
        <v>2468</v>
      </c>
    </row>
    <row r="1696" spans="1:9">
      <c r="A1696" s="594">
        <v>913301</v>
      </c>
      <c r="B1696" s="594" t="s">
        <v>2467</v>
      </c>
      <c r="C1696" s="595">
        <v>1729312.36</v>
      </c>
      <c r="D1696" s="596">
        <v>0</v>
      </c>
      <c r="E1696" s="596">
        <v>0</v>
      </c>
      <c r="F1696" s="596">
        <v>0</v>
      </c>
      <c r="G1696" s="595">
        <v>1729312.36</v>
      </c>
      <c r="H1696" s="596">
        <v>0</v>
      </c>
      <c r="I1696" s="594" t="s">
        <v>2469</v>
      </c>
    </row>
    <row r="1697" spans="1:9">
      <c r="A1697" s="320"/>
      <c r="B1697" s="320"/>
      <c r="C1697" s="320"/>
      <c r="D1697" s="557" t="s">
        <v>4198</v>
      </c>
      <c r="E1697" s="320" t="s">
        <v>4115</v>
      </c>
      <c r="F1697" s="320"/>
      <c r="G1697" s="320"/>
      <c r="H1697" s="320"/>
      <c r="I1697" s="320"/>
    </row>
    <row r="1698" spans="1:9">
      <c r="A1698" s="671"/>
      <c r="B1698" s="671"/>
      <c r="C1698" s="671"/>
      <c r="D1698" s="671"/>
      <c r="E1698" s="671"/>
      <c r="F1698" s="671"/>
      <c r="G1698" s="671"/>
      <c r="H1698" s="671"/>
      <c r="I1698" s="671"/>
    </row>
    <row r="1699" spans="1:9" ht="24.75">
      <c r="A1699" s="320"/>
      <c r="B1699" s="320"/>
      <c r="C1699" s="589" t="s">
        <v>3707</v>
      </c>
      <c r="D1699" s="320"/>
      <c r="E1699" s="320"/>
      <c r="F1699" s="671"/>
      <c r="G1699" s="671"/>
      <c r="H1699" s="671"/>
      <c r="I1699" s="671"/>
    </row>
    <row r="1700" spans="1:9" ht="17.25">
      <c r="A1700" s="590" t="s">
        <v>3708</v>
      </c>
      <c r="B1700" s="590"/>
      <c r="C1700" s="597">
        <v>42887</v>
      </c>
      <c r="D1700" s="590"/>
      <c r="E1700" s="557" t="s">
        <v>3709</v>
      </c>
      <c r="F1700" s="671"/>
      <c r="G1700" s="671"/>
      <c r="H1700" s="671"/>
      <c r="I1700" s="671"/>
    </row>
    <row r="1701" spans="1:9" ht="16.5">
      <c r="A1701" s="593" t="s">
        <v>596</v>
      </c>
      <c r="B1701" s="593" t="s">
        <v>597</v>
      </c>
      <c r="C1701" s="593" t="s">
        <v>3710</v>
      </c>
      <c r="D1701" s="593" t="s">
        <v>3711</v>
      </c>
      <c r="E1701" s="593" t="s">
        <v>3712</v>
      </c>
      <c r="F1701" s="593" t="s">
        <v>3713</v>
      </c>
      <c r="G1701" s="593" t="s">
        <v>3714</v>
      </c>
      <c r="H1701" s="593" t="s">
        <v>3715</v>
      </c>
      <c r="I1701" s="593" t="s">
        <v>596</v>
      </c>
    </row>
    <row r="1702" spans="1:9">
      <c r="A1702" s="594">
        <v>91330101</v>
      </c>
      <c r="B1702" s="594" t="s">
        <v>2467</v>
      </c>
      <c r="C1702" s="595">
        <v>1729312.36</v>
      </c>
      <c r="D1702" s="596">
        <v>0</v>
      </c>
      <c r="E1702" s="596">
        <v>0</v>
      </c>
      <c r="F1702" s="596">
        <v>0</v>
      </c>
      <c r="G1702" s="595">
        <v>1729312.36</v>
      </c>
      <c r="H1702" s="596">
        <v>0</v>
      </c>
      <c r="I1702" s="594" t="s">
        <v>2470</v>
      </c>
    </row>
    <row r="1703" spans="1:9">
      <c r="A1703" s="594">
        <v>9134</v>
      </c>
      <c r="B1703" s="594" t="s">
        <v>2471</v>
      </c>
      <c r="C1703" s="595">
        <v>3748488</v>
      </c>
      <c r="D1703" s="596">
        <v>0</v>
      </c>
      <c r="E1703" s="596">
        <v>0</v>
      </c>
      <c r="F1703" s="596">
        <v>0</v>
      </c>
      <c r="G1703" s="595">
        <v>3748488</v>
      </c>
      <c r="H1703" s="596">
        <v>0</v>
      </c>
      <c r="I1703" s="594" t="s">
        <v>2472</v>
      </c>
    </row>
    <row r="1704" spans="1:9">
      <c r="A1704" s="594">
        <v>913401</v>
      </c>
      <c r="B1704" s="594" t="s">
        <v>2471</v>
      </c>
      <c r="C1704" s="595">
        <v>3748488</v>
      </c>
      <c r="D1704" s="596">
        <v>0</v>
      </c>
      <c r="E1704" s="596">
        <v>0</v>
      </c>
      <c r="F1704" s="596">
        <v>0</v>
      </c>
      <c r="G1704" s="595">
        <v>3748488</v>
      </c>
      <c r="H1704" s="596">
        <v>0</v>
      </c>
      <c r="I1704" s="594" t="s">
        <v>2473</v>
      </c>
    </row>
    <row r="1705" spans="1:9">
      <c r="A1705" s="594">
        <v>91340101</v>
      </c>
      <c r="B1705" s="594" t="s">
        <v>2471</v>
      </c>
      <c r="C1705" s="595">
        <v>3748488</v>
      </c>
      <c r="D1705" s="596">
        <v>0</v>
      </c>
      <c r="E1705" s="596">
        <v>0</v>
      </c>
      <c r="F1705" s="596">
        <v>0</v>
      </c>
      <c r="G1705" s="595">
        <v>3748488</v>
      </c>
      <c r="H1705" s="596">
        <v>0</v>
      </c>
      <c r="I1705" s="594" t="s">
        <v>2474</v>
      </c>
    </row>
    <row r="1706" spans="1:9">
      <c r="A1706" s="594">
        <v>9140</v>
      </c>
      <c r="B1706" s="594" t="s">
        <v>2475</v>
      </c>
      <c r="C1706" s="595">
        <v>149786510.71000001</v>
      </c>
      <c r="D1706" s="596">
        <v>0</v>
      </c>
      <c r="E1706" s="595">
        <v>966702.27</v>
      </c>
      <c r="F1706" s="595">
        <v>914073.27</v>
      </c>
      <c r="G1706" s="595">
        <v>149839139.71000001</v>
      </c>
      <c r="H1706" s="596">
        <v>0</v>
      </c>
      <c r="I1706" s="594" t="s">
        <v>2476</v>
      </c>
    </row>
    <row r="1707" spans="1:9">
      <c r="A1707" s="594">
        <v>914001</v>
      </c>
      <c r="B1707" s="594" t="s">
        <v>2475</v>
      </c>
      <c r="C1707" s="595">
        <v>149786510.71000001</v>
      </c>
      <c r="D1707" s="596">
        <v>0</v>
      </c>
      <c r="E1707" s="595">
        <v>966702.27</v>
      </c>
      <c r="F1707" s="595">
        <v>914073.27</v>
      </c>
      <c r="G1707" s="595">
        <v>149839139.71000001</v>
      </c>
      <c r="H1707" s="596">
        <v>0</v>
      </c>
      <c r="I1707" s="594" t="s">
        <v>2477</v>
      </c>
    </row>
    <row r="1708" spans="1:9">
      <c r="A1708" s="594">
        <v>91400101</v>
      </c>
      <c r="B1708" s="594" t="s">
        <v>2475</v>
      </c>
      <c r="C1708" s="595">
        <v>149786510.71000001</v>
      </c>
      <c r="D1708" s="596">
        <v>0</v>
      </c>
      <c r="E1708" s="595">
        <v>966702.27</v>
      </c>
      <c r="F1708" s="595">
        <v>914073.27</v>
      </c>
      <c r="G1708" s="595">
        <v>149839139.71000001</v>
      </c>
      <c r="H1708" s="596">
        <v>0</v>
      </c>
      <c r="I1708" s="594" t="s">
        <v>2478</v>
      </c>
    </row>
    <row r="1709" spans="1:9">
      <c r="A1709" s="594">
        <v>9601</v>
      </c>
      <c r="B1709" s="594" t="s">
        <v>2479</v>
      </c>
      <c r="C1709" s="595">
        <v>680575.7</v>
      </c>
      <c r="D1709" s="596">
        <v>0</v>
      </c>
      <c r="E1709" s="596">
        <v>0</v>
      </c>
      <c r="F1709" s="596">
        <v>0</v>
      </c>
      <c r="G1709" s="595">
        <v>680575.7</v>
      </c>
      <c r="H1709" s="596">
        <v>0</v>
      </c>
      <c r="I1709" s="594" t="s">
        <v>2480</v>
      </c>
    </row>
    <row r="1710" spans="1:9">
      <c r="A1710" s="594">
        <v>960101</v>
      </c>
      <c r="B1710" s="594" t="s">
        <v>2479</v>
      </c>
      <c r="C1710" s="595">
        <v>680575.7</v>
      </c>
      <c r="D1710" s="596">
        <v>0</v>
      </c>
      <c r="E1710" s="596">
        <v>0</v>
      </c>
      <c r="F1710" s="596">
        <v>0</v>
      </c>
      <c r="G1710" s="595">
        <v>680575.7</v>
      </c>
      <c r="H1710" s="596">
        <v>0</v>
      </c>
      <c r="I1710" s="594" t="s">
        <v>2481</v>
      </c>
    </row>
    <row r="1711" spans="1:9">
      <c r="A1711" s="594">
        <v>96010101</v>
      </c>
      <c r="B1711" s="594" t="s">
        <v>2479</v>
      </c>
      <c r="C1711" s="595">
        <v>680575.7</v>
      </c>
      <c r="D1711" s="596">
        <v>0</v>
      </c>
      <c r="E1711" s="596">
        <v>0</v>
      </c>
      <c r="F1711" s="596">
        <v>0</v>
      </c>
      <c r="G1711" s="595">
        <v>680575.7</v>
      </c>
      <c r="H1711" s="596">
        <v>0</v>
      </c>
      <c r="I1711" s="594" t="s">
        <v>2482</v>
      </c>
    </row>
    <row r="1712" spans="1:9">
      <c r="A1712" s="594">
        <v>9606</v>
      </c>
      <c r="B1712" s="594" t="s">
        <v>2483</v>
      </c>
      <c r="C1712" s="595">
        <v>299887500</v>
      </c>
      <c r="D1712" s="596">
        <v>0</v>
      </c>
      <c r="E1712" s="596">
        <v>0</v>
      </c>
      <c r="F1712" s="596">
        <v>0</v>
      </c>
      <c r="G1712" s="595">
        <v>299887500</v>
      </c>
      <c r="H1712" s="596">
        <v>0</v>
      </c>
      <c r="I1712" s="594" t="s">
        <v>2484</v>
      </c>
    </row>
    <row r="1713" spans="1:9">
      <c r="A1713" s="594">
        <v>960601</v>
      </c>
      <c r="B1713" s="594" t="s">
        <v>2483</v>
      </c>
      <c r="C1713" s="595">
        <v>299887500</v>
      </c>
      <c r="D1713" s="596">
        <v>0</v>
      </c>
      <c r="E1713" s="596">
        <v>0</v>
      </c>
      <c r="F1713" s="596">
        <v>0</v>
      </c>
      <c r="G1713" s="595">
        <v>299887500</v>
      </c>
      <c r="H1713" s="596">
        <v>0</v>
      </c>
      <c r="I1713" s="594" t="s">
        <v>2485</v>
      </c>
    </row>
    <row r="1714" spans="1:9">
      <c r="A1714" s="594">
        <v>96060102</v>
      </c>
      <c r="B1714" s="594" t="s">
        <v>2486</v>
      </c>
      <c r="C1714" s="595">
        <v>299887500</v>
      </c>
      <c r="D1714" s="596">
        <v>0</v>
      </c>
      <c r="E1714" s="596">
        <v>0</v>
      </c>
      <c r="F1714" s="596">
        <v>0</v>
      </c>
      <c r="G1714" s="595">
        <v>299887500</v>
      </c>
      <c r="H1714" s="596">
        <v>0</v>
      </c>
      <c r="I1714" s="594" t="s">
        <v>2487</v>
      </c>
    </row>
    <row r="1715" spans="1:9">
      <c r="A1715" s="594">
        <v>9609</v>
      </c>
      <c r="B1715" s="594" t="s">
        <v>2488</v>
      </c>
      <c r="C1715" s="595">
        <v>2250308966.0799999</v>
      </c>
      <c r="D1715" s="596">
        <v>0</v>
      </c>
      <c r="E1715" s="595">
        <v>-61655035.32</v>
      </c>
      <c r="F1715" s="595">
        <v>32745845.809999999</v>
      </c>
      <c r="G1715" s="595">
        <v>2155908084.9499998</v>
      </c>
      <c r="H1715" s="596">
        <v>0</v>
      </c>
      <c r="I1715" s="594" t="s">
        <v>2489</v>
      </c>
    </row>
    <row r="1716" spans="1:9">
      <c r="A1716" s="594">
        <v>960903</v>
      </c>
      <c r="B1716" s="594" t="s">
        <v>2490</v>
      </c>
      <c r="C1716" s="595">
        <v>2244809705.02</v>
      </c>
      <c r="D1716" s="596">
        <v>0</v>
      </c>
      <c r="E1716" s="595">
        <v>-61655035.32</v>
      </c>
      <c r="F1716" s="595">
        <v>32745845.809999999</v>
      </c>
      <c r="G1716" s="595">
        <v>2150408823.8899999</v>
      </c>
      <c r="H1716" s="596">
        <v>0</v>
      </c>
      <c r="I1716" s="594" t="s">
        <v>2491</v>
      </c>
    </row>
    <row r="1717" spans="1:9">
      <c r="A1717" s="594">
        <v>96090301</v>
      </c>
      <c r="B1717" s="594" t="s">
        <v>2490</v>
      </c>
      <c r="C1717" s="595">
        <v>2244809705.02</v>
      </c>
      <c r="D1717" s="596">
        <v>0</v>
      </c>
      <c r="E1717" s="595">
        <v>-61655035.32</v>
      </c>
      <c r="F1717" s="595">
        <v>32745845.809999999</v>
      </c>
      <c r="G1717" s="595">
        <v>2150408823.8899999</v>
      </c>
      <c r="H1717" s="596">
        <v>0</v>
      </c>
      <c r="I1717" s="594" t="s">
        <v>2492</v>
      </c>
    </row>
    <row r="1718" spans="1:9">
      <c r="A1718" s="594">
        <v>960904</v>
      </c>
      <c r="B1718" s="594" t="s">
        <v>2493</v>
      </c>
      <c r="C1718" s="595">
        <v>5499261.0599999996</v>
      </c>
      <c r="D1718" s="596">
        <v>0</v>
      </c>
      <c r="E1718" s="596">
        <v>0</v>
      </c>
      <c r="F1718" s="596">
        <v>0</v>
      </c>
      <c r="G1718" s="595">
        <v>5499261.0599999996</v>
      </c>
      <c r="H1718" s="596">
        <v>0</v>
      </c>
      <c r="I1718" s="594" t="s">
        <v>2494</v>
      </c>
    </row>
    <row r="1719" spans="1:9">
      <c r="A1719" s="594">
        <v>96090401</v>
      </c>
      <c r="B1719" s="594" t="s">
        <v>2493</v>
      </c>
      <c r="C1719" s="595">
        <v>5499261.0599999996</v>
      </c>
      <c r="D1719" s="596">
        <v>0</v>
      </c>
      <c r="E1719" s="596">
        <v>0</v>
      </c>
      <c r="F1719" s="596">
        <v>0</v>
      </c>
      <c r="G1719" s="595">
        <v>5499261.0599999996</v>
      </c>
      <c r="H1719" s="596">
        <v>0</v>
      </c>
      <c r="I1719" s="594" t="s">
        <v>2495</v>
      </c>
    </row>
    <row r="1720" spans="1:9">
      <c r="A1720" s="594">
        <v>9610</v>
      </c>
      <c r="B1720" s="594" t="s">
        <v>2496</v>
      </c>
      <c r="C1720" s="595">
        <v>374005773.95999998</v>
      </c>
      <c r="D1720" s="596">
        <v>0</v>
      </c>
      <c r="E1720" s="596">
        <v>0</v>
      </c>
      <c r="F1720" s="595">
        <v>9953446.5899999999</v>
      </c>
      <c r="G1720" s="595">
        <v>364052327.37</v>
      </c>
      <c r="H1720" s="596">
        <v>0</v>
      </c>
      <c r="I1720" s="594" t="s">
        <v>2497</v>
      </c>
    </row>
    <row r="1721" spans="1:9">
      <c r="A1721" s="594">
        <v>961001</v>
      </c>
      <c r="B1721" s="594" t="s">
        <v>2496</v>
      </c>
      <c r="C1721" s="595">
        <v>374005773.95999998</v>
      </c>
      <c r="D1721" s="596">
        <v>0</v>
      </c>
      <c r="E1721" s="596">
        <v>0</v>
      </c>
      <c r="F1721" s="595">
        <v>9953446.5899999999</v>
      </c>
      <c r="G1721" s="595">
        <v>364052327.37</v>
      </c>
      <c r="H1721" s="596">
        <v>0</v>
      </c>
      <c r="I1721" s="594" t="s">
        <v>2498</v>
      </c>
    </row>
    <row r="1722" spans="1:9">
      <c r="A1722" s="594">
        <v>96100101</v>
      </c>
      <c r="B1722" s="594" t="s">
        <v>2496</v>
      </c>
      <c r="C1722" s="595">
        <v>374005773.95999998</v>
      </c>
      <c r="D1722" s="596">
        <v>0</v>
      </c>
      <c r="E1722" s="596">
        <v>0</v>
      </c>
      <c r="F1722" s="595">
        <v>9953446.5899999999</v>
      </c>
      <c r="G1722" s="595">
        <v>364052327.37</v>
      </c>
      <c r="H1722" s="596">
        <v>0</v>
      </c>
      <c r="I1722" s="594" t="s">
        <v>2499</v>
      </c>
    </row>
    <row r="1723" spans="1:9">
      <c r="A1723" s="594">
        <v>9611</v>
      </c>
      <c r="B1723" s="594" t="s">
        <v>2500</v>
      </c>
      <c r="C1723" s="595">
        <v>15251969342.110001</v>
      </c>
      <c r="D1723" s="596">
        <v>0</v>
      </c>
      <c r="E1723" s="595">
        <v>49093394.75</v>
      </c>
      <c r="F1723" s="595">
        <v>30210732.789999999</v>
      </c>
      <c r="G1723" s="595">
        <v>15270852004.07</v>
      </c>
      <c r="H1723" s="596">
        <v>0</v>
      </c>
      <c r="I1723" s="594" t="s">
        <v>2501</v>
      </c>
    </row>
    <row r="1724" spans="1:9">
      <c r="A1724" s="594">
        <v>961102</v>
      </c>
      <c r="B1724" s="594" t="s">
        <v>2502</v>
      </c>
      <c r="C1724" s="595">
        <v>15251969342.110001</v>
      </c>
      <c r="D1724" s="596">
        <v>0</v>
      </c>
      <c r="E1724" s="595">
        <v>49093394.75</v>
      </c>
      <c r="F1724" s="595">
        <v>30210732.789999999</v>
      </c>
      <c r="G1724" s="595">
        <v>15270852004.07</v>
      </c>
      <c r="H1724" s="596">
        <v>0</v>
      </c>
      <c r="I1724" s="594" t="s">
        <v>2503</v>
      </c>
    </row>
    <row r="1725" spans="1:9">
      <c r="A1725" s="594">
        <v>96110201</v>
      </c>
      <c r="B1725" s="594" t="s">
        <v>2502</v>
      </c>
      <c r="C1725" s="595">
        <v>15251969342.110001</v>
      </c>
      <c r="D1725" s="596">
        <v>0</v>
      </c>
      <c r="E1725" s="595">
        <v>49093394.75</v>
      </c>
      <c r="F1725" s="595">
        <v>30210732.789999999</v>
      </c>
      <c r="G1725" s="595">
        <v>15270852004.07</v>
      </c>
      <c r="H1725" s="596">
        <v>0</v>
      </c>
      <c r="I1725" s="594" t="s">
        <v>2504</v>
      </c>
    </row>
    <row r="1726" spans="1:9">
      <c r="A1726" s="594">
        <v>9612</v>
      </c>
      <c r="B1726" s="594" t="s">
        <v>2505</v>
      </c>
      <c r="C1726" s="595">
        <v>9881837.8399999999</v>
      </c>
      <c r="D1726" s="596">
        <v>0</v>
      </c>
      <c r="E1726" s="596">
        <v>0</v>
      </c>
      <c r="F1726" s="596">
        <v>0</v>
      </c>
      <c r="G1726" s="595">
        <v>9881837.8399999999</v>
      </c>
      <c r="H1726" s="596">
        <v>0</v>
      </c>
      <c r="I1726" s="594" t="s">
        <v>2506</v>
      </c>
    </row>
    <row r="1727" spans="1:9">
      <c r="A1727" s="594">
        <v>961201</v>
      </c>
      <c r="B1727" s="594" t="s">
        <v>2505</v>
      </c>
      <c r="C1727" s="595">
        <v>9881837.8399999999</v>
      </c>
      <c r="D1727" s="596">
        <v>0</v>
      </c>
      <c r="E1727" s="596">
        <v>0</v>
      </c>
      <c r="F1727" s="596">
        <v>0</v>
      </c>
      <c r="G1727" s="595">
        <v>9881837.8399999999</v>
      </c>
      <c r="H1727" s="596">
        <v>0</v>
      </c>
      <c r="I1727" s="594" t="s">
        <v>2507</v>
      </c>
    </row>
    <row r="1728" spans="1:9">
      <c r="A1728" s="594">
        <v>96120101</v>
      </c>
      <c r="B1728" s="594" t="s">
        <v>2505</v>
      </c>
      <c r="C1728" s="595">
        <v>9881837.8399999999</v>
      </c>
      <c r="D1728" s="596">
        <v>0</v>
      </c>
      <c r="E1728" s="596">
        <v>0</v>
      </c>
      <c r="F1728" s="596">
        <v>0</v>
      </c>
      <c r="G1728" s="595">
        <v>9881837.8399999999</v>
      </c>
      <c r="H1728" s="596">
        <v>0</v>
      </c>
      <c r="I1728" s="594" t="s">
        <v>2508</v>
      </c>
    </row>
    <row r="1729" spans="1:9">
      <c r="A1729" s="594">
        <v>9616</v>
      </c>
      <c r="B1729" s="594" t="s">
        <v>2513</v>
      </c>
      <c r="C1729" s="595">
        <v>1481951191.1400001</v>
      </c>
      <c r="D1729" s="596">
        <v>0</v>
      </c>
      <c r="E1729" s="596">
        <v>0</v>
      </c>
      <c r="F1729" s="596">
        <v>0</v>
      </c>
      <c r="G1729" s="595">
        <v>1481951191.1400001</v>
      </c>
      <c r="H1729" s="596">
        <v>0</v>
      </c>
      <c r="I1729" s="594" t="s">
        <v>2514</v>
      </c>
    </row>
    <row r="1730" spans="1:9">
      <c r="A1730" s="594">
        <v>961601</v>
      </c>
      <c r="B1730" s="594" t="s">
        <v>2513</v>
      </c>
      <c r="C1730" s="595">
        <v>1481951191.1400001</v>
      </c>
      <c r="D1730" s="596">
        <v>0</v>
      </c>
      <c r="E1730" s="596">
        <v>0</v>
      </c>
      <c r="F1730" s="596">
        <v>0</v>
      </c>
      <c r="G1730" s="595">
        <v>1481951191.1400001</v>
      </c>
      <c r="H1730" s="596">
        <v>0</v>
      </c>
      <c r="I1730" s="594" t="s">
        <v>2515</v>
      </c>
    </row>
    <row r="1731" spans="1:9">
      <c r="A1731" s="594">
        <v>96160101</v>
      </c>
      <c r="B1731" s="594" t="s">
        <v>2516</v>
      </c>
      <c r="C1731" s="595">
        <v>655203.30000000005</v>
      </c>
      <c r="D1731" s="596">
        <v>0</v>
      </c>
      <c r="E1731" s="596">
        <v>0</v>
      </c>
      <c r="F1731" s="596">
        <v>0</v>
      </c>
      <c r="G1731" s="595">
        <v>655203.30000000005</v>
      </c>
      <c r="H1731" s="596">
        <v>0</v>
      </c>
      <c r="I1731" s="594" t="s">
        <v>2517</v>
      </c>
    </row>
    <row r="1732" spans="1:9">
      <c r="A1732" s="594">
        <v>96160102</v>
      </c>
      <c r="B1732" s="594" t="s">
        <v>2518</v>
      </c>
      <c r="C1732" s="595">
        <v>1481295987.8399999</v>
      </c>
      <c r="D1732" s="596">
        <v>0</v>
      </c>
      <c r="E1732" s="596">
        <v>0</v>
      </c>
      <c r="F1732" s="596">
        <v>0</v>
      </c>
      <c r="G1732" s="595">
        <v>1481295987.8399999</v>
      </c>
      <c r="H1732" s="596">
        <v>0</v>
      </c>
      <c r="I1732" s="594" t="s">
        <v>2519</v>
      </c>
    </row>
    <row r="1733" spans="1:9">
      <c r="A1733" s="594">
        <v>9617</v>
      </c>
      <c r="B1733" s="594" t="s">
        <v>3507</v>
      </c>
      <c r="C1733" s="595">
        <v>3653060000</v>
      </c>
      <c r="D1733" s="596">
        <v>0</v>
      </c>
      <c r="E1733" s="595">
        <v>300000000</v>
      </c>
      <c r="F1733" s="595">
        <v>300000000</v>
      </c>
      <c r="G1733" s="595">
        <v>3653060000</v>
      </c>
      <c r="H1733" s="596">
        <v>0</v>
      </c>
      <c r="I1733" s="594" t="s">
        <v>3508</v>
      </c>
    </row>
    <row r="1734" spans="1:9">
      <c r="A1734" s="594">
        <v>961701</v>
      </c>
      <c r="B1734" s="594" t="s">
        <v>3507</v>
      </c>
      <c r="C1734" s="595">
        <v>3653060000</v>
      </c>
      <c r="D1734" s="596">
        <v>0</v>
      </c>
      <c r="E1734" s="595">
        <v>300000000</v>
      </c>
      <c r="F1734" s="595">
        <v>300000000</v>
      </c>
      <c r="G1734" s="595">
        <v>3653060000</v>
      </c>
      <c r="H1734" s="596">
        <v>0</v>
      </c>
      <c r="I1734" s="594" t="s">
        <v>3509</v>
      </c>
    </row>
    <row r="1735" spans="1:9">
      <c r="A1735" s="594">
        <v>96170101</v>
      </c>
      <c r="B1735" s="594" t="s">
        <v>3507</v>
      </c>
      <c r="C1735" s="595">
        <v>3653060000</v>
      </c>
      <c r="D1735" s="596">
        <v>0</v>
      </c>
      <c r="E1735" s="595">
        <v>300000000</v>
      </c>
      <c r="F1735" s="595">
        <v>300000000</v>
      </c>
      <c r="G1735" s="595">
        <v>3653060000</v>
      </c>
      <c r="H1735" s="596">
        <v>0</v>
      </c>
      <c r="I1735" s="594" t="s">
        <v>3510</v>
      </c>
    </row>
    <row r="1736" spans="1:9">
      <c r="A1736" s="320"/>
      <c r="B1736" s="320"/>
      <c r="C1736" s="320"/>
      <c r="D1736" s="557" t="s">
        <v>4198</v>
      </c>
      <c r="E1736" s="320" t="s">
        <v>4313</v>
      </c>
      <c r="F1736" s="320"/>
      <c r="G1736" s="320"/>
      <c r="H1736" s="320"/>
      <c r="I1736" s="320"/>
    </row>
    <row r="1737" spans="1:9">
      <c r="A1737" s="671"/>
      <c r="B1737" s="671"/>
      <c r="C1737" s="671"/>
      <c r="D1737" s="671"/>
      <c r="E1737" s="671"/>
      <c r="F1737" s="671"/>
      <c r="G1737" s="671"/>
      <c r="H1737" s="671"/>
      <c r="I1737" s="671"/>
    </row>
    <row r="1738" spans="1:9" ht="24.75">
      <c r="A1738" s="320"/>
      <c r="B1738" s="320"/>
      <c r="C1738" s="589" t="s">
        <v>3707</v>
      </c>
      <c r="D1738" s="320"/>
      <c r="E1738" s="320"/>
      <c r="F1738" s="671"/>
      <c r="G1738" s="671"/>
      <c r="H1738" s="671"/>
      <c r="I1738" s="671"/>
    </row>
    <row r="1739" spans="1:9" ht="17.25">
      <c r="A1739" s="590" t="s">
        <v>3708</v>
      </c>
      <c r="B1739" s="590"/>
      <c r="C1739" s="597">
        <v>42887</v>
      </c>
      <c r="D1739" s="590"/>
      <c r="E1739" s="557" t="s">
        <v>3709</v>
      </c>
      <c r="F1739" s="671"/>
      <c r="G1739" s="671"/>
      <c r="H1739" s="671"/>
      <c r="I1739" s="671"/>
    </row>
    <row r="1740" spans="1:9" ht="16.5">
      <c r="A1740" s="593" t="s">
        <v>596</v>
      </c>
      <c r="B1740" s="593" t="s">
        <v>597</v>
      </c>
      <c r="C1740" s="593" t="s">
        <v>3710</v>
      </c>
      <c r="D1740" s="593" t="s">
        <v>3711</v>
      </c>
      <c r="E1740" s="593" t="s">
        <v>3712</v>
      </c>
      <c r="F1740" s="593" t="s">
        <v>3713</v>
      </c>
      <c r="G1740" s="593" t="s">
        <v>3714</v>
      </c>
      <c r="H1740" s="593" t="s">
        <v>3715</v>
      </c>
      <c r="I1740" s="593" t="s">
        <v>596</v>
      </c>
    </row>
    <row r="1741" spans="1:9">
      <c r="A1741" s="594">
        <v>9999</v>
      </c>
      <c r="B1741" s="594" t="s">
        <v>2520</v>
      </c>
      <c r="C1741" s="596">
        <v>0</v>
      </c>
      <c r="D1741" s="595">
        <v>976033659119.22998</v>
      </c>
      <c r="E1741" s="595">
        <v>1110121533277.78</v>
      </c>
      <c r="F1741" s="595">
        <v>1116056214346.6899</v>
      </c>
      <c r="G1741" s="596">
        <v>0</v>
      </c>
      <c r="H1741" s="595">
        <v>981968340188.14001</v>
      </c>
      <c r="I1741" s="594" t="s">
        <v>2521</v>
      </c>
    </row>
    <row r="1742" spans="1:9">
      <c r="A1742" s="594">
        <v>999901</v>
      </c>
      <c r="B1742" s="594" t="s">
        <v>2520</v>
      </c>
      <c r="C1742" s="596">
        <v>0</v>
      </c>
      <c r="D1742" s="595">
        <v>976033659119.22998</v>
      </c>
      <c r="E1742" s="595">
        <v>1110121533277.78</v>
      </c>
      <c r="F1742" s="595">
        <v>1116056214346.6899</v>
      </c>
      <c r="G1742" s="596">
        <v>0</v>
      </c>
      <c r="H1742" s="595">
        <v>981968340188.14001</v>
      </c>
      <c r="I1742" s="594" t="s">
        <v>2522</v>
      </c>
    </row>
    <row r="1743" spans="1:9">
      <c r="A1743" s="594">
        <v>99990101</v>
      </c>
      <c r="B1743" s="594" t="s">
        <v>2520</v>
      </c>
      <c r="C1743" s="596">
        <v>0</v>
      </c>
      <c r="D1743" s="595">
        <v>976033659119.22998</v>
      </c>
      <c r="E1743" s="595">
        <v>1110121533277.78</v>
      </c>
      <c r="F1743" s="595">
        <v>1116056214346.6899</v>
      </c>
      <c r="G1743" s="596">
        <v>0</v>
      </c>
      <c r="H1743" s="595">
        <v>981968340188.14001</v>
      </c>
      <c r="I1743" s="594" t="s">
        <v>2523</v>
      </c>
    </row>
    <row r="1744" spans="1:9">
      <c r="A1744" s="594" t="s">
        <v>2524</v>
      </c>
      <c r="B1744" s="594" t="s">
        <v>2525</v>
      </c>
      <c r="C1744" s="596">
        <v>0</v>
      </c>
      <c r="D1744" s="595">
        <v>149786510.71000001</v>
      </c>
      <c r="E1744" s="595">
        <v>914073.27</v>
      </c>
      <c r="F1744" s="595">
        <v>966702.27</v>
      </c>
      <c r="G1744" s="596">
        <v>0</v>
      </c>
      <c r="H1744" s="595">
        <v>149839139.71000001</v>
      </c>
      <c r="I1744" s="594" t="s">
        <v>2526</v>
      </c>
    </row>
    <row r="1745" spans="1:9">
      <c r="A1745" s="594" t="s">
        <v>2527</v>
      </c>
      <c r="B1745" s="594" t="s">
        <v>2525</v>
      </c>
      <c r="C1745" s="595">
        <v>-149786510.71000001</v>
      </c>
      <c r="D1745" s="596">
        <v>0</v>
      </c>
      <c r="E1745" s="595">
        <v>914073.27</v>
      </c>
      <c r="F1745" s="595">
        <v>966702.27</v>
      </c>
      <c r="G1745" s="595">
        <v>-149839139.71000001</v>
      </c>
      <c r="H1745" s="596">
        <v>0</v>
      </c>
      <c r="I1745" s="594" t="s">
        <v>2528</v>
      </c>
    </row>
    <row r="1746" spans="1:9">
      <c r="A1746" s="594" t="s">
        <v>2529</v>
      </c>
      <c r="B1746" s="594" t="s">
        <v>2525</v>
      </c>
      <c r="C1746" s="596">
        <v>0</v>
      </c>
      <c r="D1746" s="595">
        <v>149786510.71000001</v>
      </c>
      <c r="E1746" s="595">
        <v>914073.27</v>
      </c>
      <c r="F1746" s="595">
        <v>966702.27</v>
      </c>
      <c r="G1746" s="596">
        <v>0</v>
      </c>
      <c r="H1746" s="595">
        <v>149839139.71000001</v>
      </c>
      <c r="I1746" s="594" t="s">
        <v>2530</v>
      </c>
    </row>
    <row r="1747" spans="1:9">
      <c r="A1747" s="594" t="s">
        <v>2531</v>
      </c>
      <c r="B1747" s="594" t="s">
        <v>2532</v>
      </c>
      <c r="C1747" s="596">
        <v>0</v>
      </c>
      <c r="D1747" s="595">
        <v>78953048</v>
      </c>
      <c r="E1747" s="595">
        <v>142596</v>
      </c>
      <c r="F1747" s="596">
        <v>0</v>
      </c>
      <c r="G1747" s="596">
        <v>0</v>
      </c>
      <c r="H1747" s="595">
        <v>78810452</v>
      </c>
      <c r="I1747" s="594" t="s">
        <v>2533</v>
      </c>
    </row>
    <row r="1748" spans="1:9">
      <c r="A1748" s="594" t="s">
        <v>2534</v>
      </c>
      <c r="B1748" s="594" t="s">
        <v>2532</v>
      </c>
      <c r="C1748" s="596">
        <v>0</v>
      </c>
      <c r="D1748" s="595">
        <v>78953048</v>
      </c>
      <c r="E1748" s="595">
        <v>142596</v>
      </c>
      <c r="F1748" s="596">
        <v>0</v>
      </c>
      <c r="G1748" s="596">
        <v>0</v>
      </c>
      <c r="H1748" s="595">
        <v>78810452</v>
      </c>
      <c r="I1748" s="594" t="s">
        <v>2535</v>
      </c>
    </row>
    <row r="1749" spans="1:9">
      <c r="A1749" s="594" t="s">
        <v>2536</v>
      </c>
      <c r="B1749" s="594" t="s">
        <v>2532</v>
      </c>
      <c r="C1749" s="596">
        <v>0</v>
      </c>
      <c r="D1749" s="595">
        <v>78953048</v>
      </c>
      <c r="E1749" s="595">
        <v>142596</v>
      </c>
      <c r="F1749" s="596">
        <v>0</v>
      </c>
      <c r="G1749" s="596">
        <v>0</v>
      </c>
      <c r="H1749" s="595">
        <v>78810452</v>
      </c>
      <c r="I1749" s="594" t="s">
        <v>2537</v>
      </c>
    </row>
    <row r="1750" spans="1:9">
      <c r="A1750" s="594"/>
      <c r="B1750" s="598" t="s">
        <v>3794</v>
      </c>
      <c r="C1750" s="595">
        <v>976262398677.93994</v>
      </c>
      <c r="D1750" s="595">
        <v>976262398677.93994</v>
      </c>
      <c r="E1750" s="595">
        <v>2226179695400.0098</v>
      </c>
      <c r="F1750" s="595">
        <v>2226179695400.0098</v>
      </c>
      <c r="G1750" s="595">
        <v>982196989779.84998</v>
      </c>
      <c r="H1750" s="595">
        <v>982196989779.84998</v>
      </c>
      <c r="I1750" s="594" t="s">
        <v>1125</v>
      </c>
    </row>
    <row r="1751" spans="1:9">
      <c r="A1751" s="594"/>
      <c r="B1751" s="598" t="s">
        <v>3795</v>
      </c>
      <c r="C1751" s="595">
        <v>976112612167.22998</v>
      </c>
      <c r="D1751" s="595">
        <v>976112612167.22998</v>
      </c>
      <c r="E1751" s="595">
        <v>2226179695400.0098</v>
      </c>
      <c r="F1751" s="595">
        <v>2226179695400.0098</v>
      </c>
      <c r="G1751" s="595">
        <v>982047150640.14001</v>
      </c>
      <c r="H1751" s="595">
        <v>982047150640.14001</v>
      </c>
      <c r="I1751" s="594" t="s">
        <v>1125</v>
      </c>
    </row>
    <row r="1752" spans="1:9" ht="16.5">
      <c r="A1752" s="590" t="s">
        <v>3796</v>
      </c>
      <c r="B1752" s="590" t="s">
        <v>3797</v>
      </c>
      <c r="C1752" s="590" t="s">
        <v>3798</v>
      </c>
      <c r="D1752" s="590"/>
      <c r="E1752" s="557" t="s">
        <v>4314</v>
      </c>
      <c r="F1752" s="671"/>
      <c r="G1752" s="671"/>
      <c r="H1752" s="671"/>
      <c r="I1752" s="671"/>
    </row>
    <row r="1753" spans="1:9">
      <c r="A1753" s="320"/>
      <c r="B1753" s="558" t="s">
        <v>4315</v>
      </c>
      <c r="C1753" s="320"/>
      <c r="D1753" s="671"/>
      <c r="E1753" s="671"/>
      <c r="F1753" s="671"/>
      <c r="G1753" s="671"/>
      <c r="H1753" s="671"/>
      <c r="I1753" s="671"/>
    </row>
    <row r="1754" spans="1:9">
      <c r="A1754" s="671"/>
      <c r="B1754" s="671"/>
      <c r="C1754" s="671"/>
      <c r="D1754" s="671"/>
      <c r="E1754" s="671"/>
      <c r="F1754" s="671"/>
      <c r="G1754" s="671"/>
      <c r="H1754" s="671"/>
      <c r="I1754" s="671"/>
    </row>
    <row r="1755" spans="1:9">
      <c r="A1755" s="671"/>
      <c r="B1755" s="671"/>
      <c r="C1755" s="671"/>
      <c r="D1755" s="671"/>
      <c r="E1755" s="671"/>
      <c r="F1755" s="671"/>
      <c r="G1755" s="671"/>
      <c r="H1755" s="671"/>
      <c r="I1755" s="671"/>
    </row>
    <row r="1756" spans="1:9">
      <c r="A1756" s="671"/>
      <c r="B1756" s="671"/>
      <c r="C1756" s="671"/>
      <c r="D1756" s="671"/>
      <c r="E1756" s="671"/>
      <c r="F1756" s="671"/>
      <c r="G1756" s="671"/>
      <c r="H1756" s="671"/>
      <c r="I1756" s="671"/>
    </row>
    <row r="1757" spans="1:9">
      <c r="A1757" s="671"/>
      <c r="B1757" s="671"/>
      <c r="C1757" s="671"/>
      <c r="D1757" s="671"/>
      <c r="E1757" s="671"/>
      <c r="F1757" s="671"/>
      <c r="G1757" s="671"/>
      <c r="H1757" s="671"/>
      <c r="I1757" s="671"/>
    </row>
    <row r="1758" spans="1:9">
      <c r="A1758" s="671"/>
      <c r="B1758" s="671"/>
      <c r="C1758" s="671"/>
      <c r="D1758" s="671"/>
      <c r="E1758" s="671"/>
      <c r="F1758" s="671"/>
      <c r="G1758" s="671"/>
      <c r="H1758" s="671"/>
      <c r="I1758" s="671"/>
    </row>
    <row r="1759" spans="1:9">
      <c r="A1759" s="671"/>
      <c r="B1759" s="671"/>
      <c r="C1759" s="671"/>
      <c r="D1759" s="671"/>
      <c r="E1759" s="671"/>
      <c r="F1759" s="671"/>
      <c r="G1759" s="671"/>
      <c r="H1759" s="671"/>
      <c r="I1759" s="671"/>
    </row>
    <row r="1760" spans="1:9">
      <c r="A1760" s="671"/>
      <c r="B1760" s="671"/>
      <c r="C1760" s="671"/>
      <c r="D1760" s="671"/>
      <c r="E1760" s="671"/>
      <c r="F1760" s="671"/>
      <c r="G1760" s="671"/>
      <c r="H1760" s="671"/>
      <c r="I1760" s="671"/>
    </row>
    <row r="1761" spans="1:9">
      <c r="A1761" s="671"/>
      <c r="B1761" s="671"/>
      <c r="C1761" s="671"/>
      <c r="D1761" s="671"/>
      <c r="E1761" s="671"/>
      <c r="F1761" s="671"/>
      <c r="G1761" s="671"/>
      <c r="H1761" s="671"/>
      <c r="I1761" s="671"/>
    </row>
    <row r="1762" spans="1:9">
      <c r="A1762" s="671"/>
      <c r="B1762" s="671"/>
      <c r="C1762" s="671"/>
      <c r="D1762" s="671"/>
      <c r="E1762" s="671"/>
      <c r="F1762" s="671"/>
      <c r="G1762" s="671"/>
      <c r="H1762" s="671"/>
      <c r="I1762" s="671"/>
    </row>
    <row r="1763" spans="1:9">
      <c r="A1763" s="671"/>
      <c r="B1763" s="671"/>
      <c r="C1763" s="671"/>
      <c r="D1763" s="671"/>
      <c r="E1763" s="671"/>
      <c r="F1763" s="671"/>
      <c r="G1763" s="671"/>
      <c r="H1763" s="671"/>
      <c r="I1763" s="671"/>
    </row>
    <row r="1764" spans="1:9">
      <c r="A1764" s="671"/>
      <c r="B1764" s="671"/>
      <c r="C1764" s="671"/>
      <c r="D1764" s="671"/>
      <c r="E1764" s="671"/>
      <c r="F1764" s="671"/>
      <c r="G1764" s="671"/>
      <c r="H1764" s="671"/>
      <c r="I1764" s="671"/>
    </row>
    <row r="1765" spans="1:9">
      <c r="A1765" s="671"/>
      <c r="B1765" s="671"/>
      <c r="C1765" s="671"/>
      <c r="D1765" s="671"/>
      <c r="E1765" s="671"/>
      <c r="F1765" s="671"/>
      <c r="G1765" s="671"/>
      <c r="H1765" s="671"/>
      <c r="I1765" s="671"/>
    </row>
    <row r="1766" spans="1:9">
      <c r="A1766" s="671"/>
      <c r="B1766" s="671"/>
      <c r="C1766" s="671"/>
      <c r="D1766" s="671"/>
      <c r="E1766" s="671"/>
      <c r="F1766" s="671"/>
      <c r="G1766" s="671"/>
      <c r="H1766" s="671"/>
      <c r="I1766" s="671"/>
    </row>
    <row r="1767" spans="1:9">
      <c r="A1767" s="671"/>
      <c r="B1767" s="671"/>
      <c r="C1767" s="671"/>
      <c r="D1767" s="671"/>
      <c r="E1767" s="671"/>
      <c r="F1767" s="671"/>
      <c r="G1767" s="671"/>
      <c r="H1767" s="671"/>
      <c r="I1767" s="671"/>
    </row>
    <row r="1768" spans="1:9">
      <c r="A1768" s="671"/>
      <c r="B1768" s="671"/>
      <c r="C1768" s="671"/>
      <c r="D1768" s="671"/>
      <c r="E1768" s="671"/>
      <c r="F1768" s="671"/>
      <c r="G1768" s="671"/>
      <c r="H1768" s="671"/>
      <c r="I1768" s="671"/>
    </row>
    <row r="1769" spans="1:9">
      <c r="A1769" s="671"/>
      <c r="B1769" s="671"/>
      <c r="C1769" s="671"/>
      <c r="D1769" s="671"/>
      <c r="E1769" s="671"/>
      <c r="F1769" s="671"/>
      <c r="G1769" s="671"/>
      <c r="H1769" s="671"/>
      <c r="I1769" s="671"/>
    </row>
    <row r="1770" spans="1:9">
      <c r="A1770" s="671"/>
      <c r="B1770" s="671"/>
      <c r="C1770" s="671"/>
      <c r="D1770" s="671"/>
      <c r="E1770" s="671"/>
      <c r="F1770" s="671"/>
      <c r="G1770" s="671"/>
      <c r="H1770" s="671"/>
      <c r="I1770" s="671"/>
    </row>
  </sheetData>
  <phoneticPr fontId="1" type="noConversion"/>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workbookViewId="0">
      <selection activeCell="C70" sqref="C70"/>
    </sheetView>
  </sheetViews>
  <sheetFormatPr defaultRowHeight="14.25"/>
  <cols>
    <col min="1" max="1" width="10.5" style="430" customWidth="1"/>
    <col min="2" max="2" width="40.5" style="430" customWidth="1"/>
    <col min="3" max="4" width="30.625" style="430" customWidth="1"/>
    <col min="5" max="5" width="16.875" style="367" bestFit="1" customWidth="1"/>
    <col min="6" max="6" width="15" style="367" bestFit="1" customWidth="1"/>
    <col min="7" max="256" width="8.875" style="367"/>
    <col min="257" max="257" width="10.5" style="367" customWidth="1"/>
    <col min="258" max="258" width="40.5" style="367" customWidth="1"/>
    <col min="259" max="260" width="30.625" style="367" customWidth="1"/>
    <col min="261" max="261" width="16.875" style="367" bestFit="1" customWidth="1"/>
    <col min="262" max="512" width="8.875" style="367"/>
    <col min="513" max="513" width="10.5" style="367" customWidth="1"/>
    <col min="514" max="514" width="40.5" style="367" customWidth="1"/>
    <col min="515" max="516" width="30.625" style="367" customWidth="1"/>
    <col min="517" max="517" width="16.875" style="367" bestFit="1" customWidth="1"/>
    <col min="518" max="768" width="8.875" style="367"/>
    <col min="769" max="769" width="10.5" style="367" customWidth="1"/>
    <col min="770" max="770" width="40.5" style="367" customWidth="1"/>
    <col min="771" max="772" width="30.625" style="367" customWidth="1"/>
    <col min="773" max="773" width="16.875" style="367" bestFit="1" customWidth="1"/>
    <col min="774" max="1024" width="8.875" style="367"/>
    <col min="1025" max="1025" width="10.5" style="367" customWidth="1"/>
    <col min="1026" max="1026" width="40.5" style="367" customWidth="1"/>
    <col min="1027" max="1028" width="30.625" style="367" customWidth="1"/>
    <col min="1029" max="1029" width="16.875" style="367" bestFit="1" customWidth="1"/>
    <col min="1030" max="1280" width="8.875" style="367"/>
    <col min="1281" max="1281" width="10.5" style="367" customWidth="1"/>
    <col min="1282" max="1282" width="40.5" style="367" customWidth="1"/>
    <col min="1283" max="1284" width="30.625" style="367" customWidth="1"/>
    <col min="1285" max="1285" width="16.875" style="367" bestFit="1" customWidth="1"/>
    <col min="1286" max="1536" width="8.875" style="367"/>
    <col min="1537" max="1537" width="10.5" style="367" customWidth="1"/>
    <col min="1538" max="1538" width="40.5" style="367" customWidth="1"/>
    <col min="1539" max="1540" width="30.625" style="367" customWidth="1"/>
    <col min="1541" max="1541" width="16.875" style="367" bestFit="1" customWidth="1"/>
    <col min="1542" max="1792" width="8.875" style="367"/>
    <col min="1793" max="1793" width="10.5" style="367" customWidth="1"/>
    <col min="1794" max="1794" width="40.5" style="367" customWidth="1"/>
    <col min="1795" max="1796" width="30.625" style="367" customWidth="1"/>
    <col min="1797" max="1797" width="16.875" style="367" bestFit="1" customWidth="1"/>
    <col min="1798" max="2048" width="8.875" style="367"/>
    <col min="2049" max="2049" width="10.5" style="367" customWidth="1"/>
    <col min="2050" max="2050" width="40.5" style="367" customWidth="1"/>
    <col min="2051" max="2052" width="30.625" style="367" customWidth="1"/>
    <col min="2053" max="2053" width="16.875" style="367" bestFit="1" customWidth="1"/>
    <col min="2054" max="2304" width="8.875" style="367"/>
    <col min="2305" max="2305" width="10.5" style="367" customWidth="1"/>
    <col min="2306" max="2306" width="40.5" style="367" customWidth="1"/>
    <col min="2307" max="2308" width="30.625" style="367" customWidth="1"/>
    <col min="2309" max="2309" width="16.875" style="367" bestFit="1" customWidth="1"/>
    <col min="2310" max="2560" width="8.875" style="367"/>
    <col min="2561" max="2561" width="10.5" style="367" customWidth="1"/>
    <col min="2562" max="2562" width="40.5" style="367" customWidth="1"/>
    <col min="2563" max="2564" width="30.625" style="367" customWidth="1"/>
    <col min="2565" max="2565" width="16.875" style="367" bestFit="1" customWidth="1"/>
    <col min="2566" max="2816" width="8.875" style="367"/>
    <col min="2817" max="2817" width="10.5" style="367" customWidth="1"/>
    <col min="2818" max="2818" width="40.5" style="367" customWidth="1"/>
    <col min="2819" max="2820" width="30.625" style="367" customWidth="1"/>
    <col min="2821" max="2821" width="16.875" style="367" bestFit="1" customWidth="1"/>
    <col min="2822" max="3072" width="8.875" style="367"/>
    <col min="3073" max="3073" width="10.5" style="367" customWidth="1"/>
    <col min="3074" max="3074" width="40.5" style="367" customWidth="1"/>
    <col min="3075" max="3076" width="30.625" style="367" customWidth="1"/>
    <col min="3077" max="3077" width="16.875" style="367" bestFit="1" customWidth="1"/>
    <col min="3078" max="3328" width="8.875" style="367"/>
    <col min="3329" max="3329" width="10.5" style="367" customWidth="1"/>
    <col min="3330" max="3330" width="40.5" style="367" customWidth="1"/>
    <col min="3331" max="3332" width="30.625" style="367" customWidth="1"/>
    <col min="3333" max="3333" width="16.875" style="367" bestFit="1" customWidth="1"/>
    <col min="3334" max="3584" width="8.875" style="367"/>
    <col min="3585" max="3585" width="10.5" style="367" customWidth="1"/>
    <col min="3586" max="3586" width="40.5" style="367" customWidth="1"/>
    <col min="3587" max="3588" width="30.625" style="367" customWidth="1"/>
    <col min="3589" max="3589" width="16.875" style="367" bestFit="1" customWidth="1"/>
    <col min="3590" max="3840" width="8.875" style="367"/>
    <col min="3841" max="3841" width="10.5" style="367" customWidth="1"/>
    <col min="3842" max="3842" width="40.5" style="367" customWidth="1"/>
    <col min="3843" max="3844" width="30.625" style="367" customWidth="1"/>
    <col min="3845" max="3845" width="16.875" style="367" bestFit="1" customWidth="1"/>
    <col min="3846" max="4096" width="8.875" style="367"/>
    <col min="4097" max="4097" width="10.5" style="367" customWidth="1"/>
    <col min="4098" max="4098" width="40.5" style="367" customWidth="1"/>
    <col min="4099" max="4100" width="30.625" style="367" customWidth="1"/>
    <col min="4101" max="4101" width="16.875" style="367" bestFit="1" customWidth="1"/>
    <col min="4102" max="4352" width="8.875" style="367"/>
    <col min="4353" max="4353" width="10.5" style="367" customWidth="1"/>
    <col min="4354" max="4354" width="40.5" style="367" customWidth="1"/>
    <col min="4355" max="4356" width="30.625" style="367" customWidth="1"/>
    <col min="4357" max="4357" width="16.875" style="367" bestFit="1" customWidth="1"/>
    <col min="4358" max="4608" width="8.875" style="367"/>
    <col min="4609" max="4609" width="10.5" style="367" customWidth="1"/>
    <col min="4610" max="4610" width="40.5" style="367" customWidth="1"/>
    <col min="4611" max="4612" width="30.625" style="367" customWidth="1"/>
    <col min="4613" max="4613" width="16.875" style="367" bestFit="1" customWidth="1"/>
    <col min="4614" max="4864" width="8.875" style="367"/>
    <col min="4865" max="4865" width="10.5" style="367" customWidth="1"/>
    <col min="4866" max="4866" width="40.5" style="367" customWidth="1"/>
    <col min="4867" max="4868" width="30.625" style="367" customWidth="1"/>
    <col min="4869" max="4869" width="16.875" style="367" bestFit="1" customWidth="1"/>
    <col min="4870" max="5120" width="8.875" style="367"/>
    <col min="5121" max="5121" width="10.5" style="367" customWidth="1"/>
    <col min="5122" max="5122" width="40.5" style="367" customWidth="1"/>
    <col min="5123" max="5124" width="30.625" style="367" customWidth="1"/>
    <col min="5125" max="5125" width="16.875" style="367" bestFit="1" customWidth="1"/>
    <col min="5126" max="5376" width="8.875" style="367"/>
    <col min="5377" max="5377" width="10.5" style="367" customWidth="1"/>
    <col min="5378" max="5378" width="40.5" style="367" customWidth="1"/>
    <col min="5379" max="5380" width="30.625" style="367" customWidth="1"/>
    <col min="5381" max="5381" width="16.875" style="367" bestFit="1" customWidth="1"/>
    <col min="5382" max="5632" width="8.875" style="367"/>
    <col min="5633" max="5633" width="10.5" style="367" customWidth="1"/>
    <col min="5634" max="5634" width="40.5" style="367" customWidth="1"/>
    <col min="5635" max="5636" width="30.625" style="367" customWidth="1"/>
    <col min="5637" max="5637" width="16.875" style="367" bestFit="1" customWidth="1"/>
    <col min="5638" max="5888" width="8.875" style="367"/>
    <col min="5889" max="5889" width="10.5" style="367" customWidth="1"/>
    <col min="5890" max="5890" width="40.5" style="367" customWidth="1"/>
    <col min="5891" max="5892" width="30.625" style="367" customWidth="1"/>
    <col min="5893" max="5893" width="16.875" style="367" bestFit="1" customWidth="1"/>
    <col min="5894" max="6144" width="8.875" style="367"/>
    <col min="6145" max="6145" width="10.5" style="367" customWidth="1"/>
    <col min="6146" max="6146" width="40.5" style="367" customWidth="1"/>
    <col min="6147" max="6148" width="30.625" style="367" customWidth="1"/>
    <col min="6149" max="6149" width="16.875" style="367" bestFit="1" customWidth="1"/>
    <col min="6150" max="6400" width="8.875" style="367"/>
    <col min="6401" max="6401" width="10.5" style="367" customWidth="1"/>
    <col min="6402" max="6402" width="40.5" style="367" customWidth="1"/>
    <col min="6403" max="6404" width="30.625" style="367" customWidth="1"/>
    <col min="6405" max="6405" width="16.875" style="367" bestFit="1" customWidth="1"/>
    <col min="6406" max="6656" width="8.875" style="367"/>
    <col min="6657" max="6657" width="10.5" style="367" customWidth="1"/>
    <col min="6658" max="6658" width="40.5" style="367" customWidth="1"/>
    <col min="6659" max="6660" width="30.625" style="367" customWidth="1"/>
    <col min="6661" max="6661" width="16.875" style="367" bestFit="1" customWidth="1"/>
    <col min="6662" max="6912" width="8.875" style="367"/>
    <col min="6913" max="6913" width="10.5" style="367" customWidth="1"/>
    <col min="6914" max="6914" width="40.5" style="367" customWidth="1"/>
    <col min="6915" max="6916" width="30.625" style="367" customWidth="1"/>
    <col min="6917" max="6917" width="16.875" style="367" bestFit="1" customWidth="1"/>
    <col min="6918" max="7168" width="8.875" style="367"/>
    <col min="7169" max="7169" width="10.5" style="367" customWidth="1"/>
    <col min="7170" max="7170" width="40.5" style="367" customWidth="1"/>
    <col min="7171" max="7172" width="30.625" style="367" customWidth="1"/>
    <col min="7173" max="7173" width="16.875" style="367" bestFit="1" customWidth="1"/>
    <col min="7174" max="7424" width="8.875" style="367"/>
    <col min="7425" max="7425" width="10.5" style="367" customWidth="1"/>
    <col min="7426" max="7426" width="40.5" style="367" customWidth="1"/>
    <col min="7427" max="7428" width="30.625" style="367" customWidth="1"/>
    <col min="7429" max="7429" width="16.875" style="367" bestFit="1" customWidth="1"/>
    <col min="7430" max="7680" width="8.875" style="367"/>
    <col min="7681" max="7681" width="10.5" style="367" customWidth="1"/>
    <col min="7682" max="7682" width="40.5" style="367" customWidth="1"/>
    <col min="7683" max="7684" width="30.625" style="367" customWidth="1"/>
    <col min="7685" max="7685" width="16.875" style="367" bestFit="1" customWidth="1"/>
    <col min="7686" max="7936" width="8.875" style="367"/>
    <col min="7937" max="7937" width="10.5" style="367" customWidth="1"/>
    <col min="7938" max="7938" width="40.5" style="367" customWidth="1"/>
    <col min="7939" max="7940" width="30.625" style="367" customWidth="1"/>
    <col min="7941" max="7941" width="16.875" style="367" bestFit="1" customWidth="1"/>
    <col min="7942" max="8192" width="8.875" style="367"/>
    <col min="8193" max="8193" width="10.5" style="367" customWidth="1"/>
    <col min="8194" max="8194" width="40.5" style="367" customWidth="1"/>
    <col min="8195" max="8196" width="30.625" style="367" customWidth="1"/>
    <col min="8197" max="8197" width="16.875" style="367" bestFit="1" customWidth="1"/>
    <col min="8198" max="8448" width="8.875" style="367"/>
    <col min="8449" max="8449" width="10.5" style="367" customWidth="1"/>
    <col min="8450" max="8450" width="40.5" style="367" customWidth="1"/>
    <col min="8451" max="8452" width="30.625" style="367" customWidth="1"/>
    <col min="8453" max="8453" width="16.875" style="367" bestFit="1" customWidth="1"/>
    <col min="8454" max="8704" width="8.875" style="367"/>
    <col min="8705" max="8705" width="10.5" style="367" customWidth="1"/>
    <col min="8706" max="8706" width="40.5" style="367" customWidth="1"/>
    <col min="8707" max="8708" width="30.625" style="367" customWidth="1"/>
    <col min="8709" max="8709" width="16.875" style="367" bestFit="1" customWidth="1"/>
    <col min="8710" max="8960" width="8.875" style="367"/>
    <col min="8961" max="8961" width="10.5" style="367" customWidth="1"/>
    <col min="8962" max="8962" width="40.5" style="367" customWidth="1"/>
    <col min="8963" max="8964" width="30.625" style="367" customWidth="1"/>
    <col min="8965" max="8965" width="16.875" style="367" bestFit="1" customWidth="1"/>
    <col min="8966" max="9216" width="8.875" style="367"/>
    <col min="9217" max="9217" width="10.5" style="367" customWidth="1"/>
    <col min="9218" max="9218" width="40.5" style="367" customWidth="1"/>
    <col min="9219" max="9220" width="30.625" style="367" customWidth="1"/>
    <col min="9221" max="9221" width="16.875" style="367" bestFit="1" customWidth="1"/>
    <col min="9222" max="9472" width="8.875" style="367"/>
    <col min="9473" max="9473" width="10.5" style="367" customWidth="1"/>
    <col min="9474" max="9474" width="40.5" style="367" customWidth="1"/>
    <col min="9475" max="9476" width="30.625" style="367" customWidth="1"/>
    <col min="9477" max="9477" width="16.875" style="367" bestFit="1" customWidth="1"/>
    <col min="9478" max="9728" width="8.875" style="367"/>
    <col min="9729" max="9729" width="10.5" style="367" customWidth="1"/>
    <col min="9730" max="9730" width="40.5" style="367" customWidth="1"/>
    <col min="9731" max="9732" width="30.625" style="367" customWidth="1"/>
    <col min="9733" max="9733" width="16.875" style="367" bestFit="1" customWidth="1"/>
    <col min="9734" max="9984" width="8.875" style="367"/>
    <col min="9985" max="9985" width="10.5" style="367" customWidth="1"/>
    <col min="9986" max="9986" width="40.5" style="367" customWidth="1"/>
    <col min="9987" max="9988" width="30.625" style="367" customWidth="1"/>
    <col min="9989" max="9989" width="16.875" style="367" bestFit="1" customWidth="1"/>
    <col min="9990" max="10240" width="8.875" style="367"/>
    <col min="10241" max="10241" width="10.5" style="367" customWidth="1"/>
    <col min="10242" max="10242" width="40.5" style="367" customWidth="1"/>
    <col min="10243" max="10244" width="30.625" style="367" customWidth="1"/>
    <col min="10245" max="10245" width="16.875" style="367" bestFit="1" customWidth="1"/>
    <col min="10246" max="10496" width="8.875" style="367"/>
    <col min="10497" max="10497" width="10.5" style="367" customWidth="1"/>
    <col min="10498" max="10498" width="40.5" style="367" customWidth="1"/>
    <col min="10499" max="10500" width="30.625" style="367" customWidth="1"/>
    <col min="10501" max="10501" width="16.875" style="367" bestFit="1" customWidth="1"/>
    <col min="10502" max="10752" width="8.875" style="367"/>
    <col min="10753" max="10753" width="10.5" style="367" customWidth="1"/>
    <col min="10754" max="10754" width="40.5" style="367" customWidth="1"/>
    <col min="10755" max="10756" width="30.625" style="367" customWidth="1"/>
    <col min="10757" max="10757" width="16.875" style="367" bestFit="1" customWidth="1"/>
    <col min="10758" max="11008" width="8.875" style="367"/>
    <col min="11009" max="11009" width="10.5" style="367" customWidth="1"/>
    <col min="11010" max="11010" width="40.5" style="367" customWidth="1"/>
    <col min="11011" max="11012" width="30.625" style="367" customWidth="1"/>
    <col min="11013" max="11013" width="16.875" style="367" bestFit="1" customWidth="1"/>
    <col min="11014" max="11264" width="8.875" style="367"/>
    <col min="11265" max="11265" width="10.5" style="367" customWidth="1"/>
    <col min="11266" max="11266" width="40.5" style="367" customWidth="1"/>
    <col min="11267" max="11268" width="30.625" style="367" customWidth="1"/>
    <col min="11269" max="11269" width="16.875" style="367" bestFit="1" customWidth="1"/>
    <col min="11270" max="11520" width="8.875" style="367"/>
    <col min="11521" max="11521" width="10.5" style="367" customWidth="1"/>
    <col min="11522" max="11522" width="40.5" style="367" customWidth="1"/>
    <col min="11523" max="11524" width="30.625" style="367" customWidth="1"/>
    <col min="11525" max="11525" width="16.875" style="367" bestFit="1" customWidth="1"/>
    <col min="11526" max="11776" width="8.875" style="367"/>
    <col min="11777" max="11777" width="10.5" style="367" customWidth="1"/>
    <col min="11778" max="11778" width="40.5" style="367" customWidth="1"/>
    <col min="11779" max="11780" width="30.625" style="367" customWidth="1"/>
    <col min="11781" max="11781" width="16.875" style="367" bestFit="1" customWidth="1"/>
    <col min="11782" max="12032" width="8.875" style="367"/>
    <col min="12033" max="12033" width="10.5" style="367" customWidth="1"/>
    <col min="12034" max="12034" width="40.5" style="367" customWidth="1"/>
    <col min="12035" max="12036" width="30.625" style="367" customWidth="1"/>
    <col min="12037" max="12037" width="16.875" style="367" bestFit="1" customWidth="1"/>
    <col min="12038" max="12288" width="8.875" style="367"/>
    <col min="12289" max="12289" width="10.5" style="367" customWidth="1"/>
    <col min="12290" max="12290" width="40.5" style="367" customWidth="1"/>
    <col min="12291" max="12292" width="30.625" style="367" customWidth="1"/>
    <col min="12293" max="12293" width="16.875" style="367" bestFit="1" customWidth="1"/>
    <col min="12294" max="12544" width="8.875" style="367"/>
    <col min="12545" max="12545" width="10.5" style="367" customWidth="1"/>
    <col min="12546" max="12546" width="40.5" style="367" customWidth="1"/>
    <col min="12547" max="12548" width="30.625" style="367" customWidth="1"/>
    <col min="12549" max="12549" width="16.875" style="367" bestFit="1" customWidth="1"/>
    <col min="12550" max="12800" width="8.875" style="367"/>
    <col min="12801" max="12801" width="10.5" style="367" customWidth="1"/>
    <col min="12802" max="12802" width="40.5" style="367" customWidth="1"/>
    <col min="12803" max="12804" width="30.625" style="367" customWidth="1"/>
    <col min="12805" max="12805" width="16.875" style="367" bestFit="1" customWidth="1"/>
    <col min="12806" max="13056" width="8.875" style="367"/>
    <col min="13057" max="13057" width="10.5" style="367" customWidth="1"/>
    <col min="13058" max="13058" width="40.5" style="367" customWidth="1"/>
    <col min="13059" max="13060" width="30.625" style="367" customWidth="1"/>
    <col min="13061" max="13061" width="16.875" style="367" bestFit="1" customWidth="1"/>
    <col min="13062" max="13312" width="8.875" style="367"/>
    <col min="13313" max="13313" width="10.5" style="367" customWidth="1"/>
    <col min="13314" max="13314" width="40.5" style="367" customWidth="1"/>
    <col min="13315" max="13316" width="30.625" style="367" customWidth="1"/>
    <col min="13317" max="13317" width="16.875" style="367" bestFit="1" customWidth="1"/>
    <col min="13318" max="13568" width="8.875" style="367"/>
    <col min="13569" max="13569" width="10.5" style="367" customWidth="1"/>
    <col min="13570" max="13570" width="40.5" style="367" customWidth="1"/>
    <col min="13571" max="13572" width="30.625" style="367" customWidth="1"/>
    <col min="13573" max="13573" width="16.875" style="367" bestFit="1" customWidth="1"/>
    <col min="13574" max="13824" width="8.875" style="367"/>
    <col min="13825" max="13825" width="10.5" style="367" customWidth="1"/>
    <col min="13826" max="13826" width="40.5" style="367" customWidth="1"/>
    <col min="13827" max="13828" width="30.625" style="367" customWidth="1"/>
    <col min="13829" max="13829" width="16.875" style="367" bestFit="1" customWidth="1"/>
    <col min="13830" max="14080" width="8.875" style="367"/>
    <col min="14081" max="14081" width="10.5" style="367" customWidth="1"/>
    <col min="14082" max="14082" width="40.5" style="367" customWidth="1"/>
    <col min="14083" max="14084" width="30.625" style="367" customWidth="1"/>
    <col min="14085" max="14085" width="16.875" style="367" bestFit="1" customWidth="1"/>
    <col min="14086" max="14336" width="8.875" style="367"/>
    <col min="14337" max="14337" width="10.5" style="367" customWidth="1"/>
    <col min="14338" max="14338" width="40.5" style="367" customWidth="1"/>
    <col min="14339" max="14340" width="30.625" style="367" customWidth="1"/>
    <col min="14341" max="14341" width="16.875" style="367" bestFit="1" customWidth="1"/>
    <col min="14342" max="14592" width="8.875" style="367"/>
    <col min="14593" max="14593" width="10.5" style="367" customWidth="1"/>
    <col min="14594" max="14594" width="40.5" style="367" customWidth="1"/>
    <col min="14595" max="14596" width="30.625" style="367" customWidth="1"/>
    <col min="14597" max="14597" width="16.875" style="367" bestFit="1" customWidth="1"/>
    <col min="14598" max="14848" width="8.875" style="367"/>
    <col min="14849" max="14849" width="10.5" style="367" customWidth="1"/>
    <col min="14850" max="14850" width="40.5" style="367" customWidth="1"/>
    <col min="14851" max="14852" width="30.625" style="367" customWidth="1"/>
    <col min="14853" max="14853" width="16.875" style="367" bestFit="1" customWidth="1"/>
    <col min="14854" max="15104" width="8.875" style="367"/>
    <col min="15105" max="15105" width="10.5" style="367" customWidth="1"/>
    <col min="15106" max="15106" width="40.5" style="367" customWidth="1"/>
    <col min="15107" max="15108" width="30.625" style="367" customWidth="1"/>
    <col min="15109" max="15109" width="16.875" style="367" bestFit="1" customWidth="1"/>
    <col min="15110" max="15360" width="8.875" style="367"/>
    <col min="15361" max="15361" width="10.5" style="367" customWidth="1"/>
    <col min="15362" max="15362" width="40.5" style="367" customWidth="1"/>
    <col min="15363" max="15364" width="30.625" style="367" customWidth="1"/>
    <col min="15365" max="15365" width="16.875" style="367" bestFit="1" customWidth="1"/>
    <col min="15366" max="15616" width="8.875" style="367"/>
    <col min="15617" max="15617" width="10.5" style="367" customWidth="1"/>
    <col min="15618" max="15618" width="40.5" style="367" customWidth="1"/>
    <col min="15619" max="15620" width="30.625" style="367" customWidth="1"/>
    <col min="15621" max="15621" width="16.875" style="367" bestFit="1" customWidth="1"/>
    <col min="15622" max="15872" width="8.875" style="367"/>
    <col min="15873" max="15873" width="10.5" style="367" customWidth="1"/>
    <col min="15874" max="15874" width="40.5" style="367" customWidth="1"/>
    <col min="15875" max="15876" width="30.625" style="367" customWidth="1"/>
    <col min="15877" max="15877" width="16.875" style="367" bestFit="1" customWidth="1"/>
    <col min="15878" max="16128" width="8.875" style="367"/>
    <col min="16129" max="16129" width="10.5" style="367" customWidth="1"/>
    <col min="16130" max="16130" width="40.5" style="367" customWidth="1"/>
    <col min="16131" max="16132" width="30.625" style="367" customWidth="1"/>
    <col min="16133" max="16133" width="16.875" style="367" bestFit="1" customWidth="1"/>
    <col min="16134" max="16384" width="8.875" style="367"/>
  </cols>
  <sheetData>
    <row r="1" spans="1:6" ht="50.1" customHeight="1">
      <c r="A1" s="946" t="s">
        <v>3810</v>
      </c>
      <c r="B1" s="947"/>
      <c r="C1" s="947"/>
      <c r="D1" s="947"/>
    </row>
    <row r="2" spans="1:6" ht="18" customHeight="1">
      <c r="A2" s="580" t="s">
        <v>3811</v>
      </c>
      <c r="B2" s="581" t="s">
        <v>3812</v>
      </c>
      <c r="C2" s="948" t="s">
        <v>4197</v>
      </c>
      <c r="D2" s="948"/>
    </row>
    <row r="3" spans="1:6" ht="18" customHeight="1">
      <c r="A3" s="582" t="s">
        <v>2878</v>
      </c>
      <c r="B3" s="582" t="s">
        <v>597</v>
      </c>
      <c r="C3" s="582" t="s">
        <v>2879</v>
      </c>
      <c r="D3" s="582" t="s">
        <v>2880</v>
      </c>
      <c r="E3" s="620">
        <v>42916</v>
      </c>
      <c r="F3" s="620">
        <v>42551</v>
      </c>
    </row>
    <row r="4" spans="1:6" ht="18" customHeight="1">
      <c r="A4" s="583" t="s">
        <v>2881</v>
      </c>
      <c r="B4" s="584" t="s">
        <v>2882</v>
      </c>
      <c r="C4" s="299">
        <v>12496754174.209999</v>
      </c>
      <c r="D4" s="299">
        <v>13073871472.709999</v>
      </c>
      <c r="E4" s="639" t="s">
        <v>4088</v>
      </c>
      <c r="F4" s="639" t="s">
        <v>4088</v>
      </c>
    </row>
    <row r="5" spans="1:6" ht="18" customHeight="1">
      <c r="A5" s="583" t="s">
        <v>2883</v>
      </c>
      <c r="B5" s="584" t="s">
        <v>2884</v>
      </c>
      <c r="C5" s="299">
        <v>5522646451.5</v>
      </c>
      <c r="D5" s="299">
        <v>5766199173.5</v>
      </c>
      <c r="E5" s="368">
        <f>D5+E26-D11</f>
        <v>6035195144.2399998</v>
      </c>
      <c r="F5" s="369">
        <f>C5+F26</f>
        <v>5976210010.1800003</v>
      </c>
    </row>
    <row r="6" spans="1:6" ht="18" customHeight="1">
      <c r="A6" s="583" t="s">
        <v>2885</v>
      </c>
      <c r="B6" s="429" t="s">
        <v>2886</v>
      </c>
      <c r="C6" s="299">
        <v>277711764.79000002</v>
      </c>
      <c r="D6" s="299">
        <v>238098041.55000001</v>
      </c>
    </row>
    <row r="7" spans="1:6" ht="18" customHeight="1">
      <c r="A7" s="583" t="s">
        <v>2887</v>
      </c>
      <c r="B7" s="429" t="s">
        <v>2888</v>
      </c>
      <c r="C7" s="299">
        <v>83799.75</v>
      </c>
      <c r="D7" s="299">
        <v>0</v>
      </c>
      <c r="E7" s="369"/>
    </row>
    <row r="8" spans="1:6" ht="18" customHeight="1">
      <c r="A8" s="583" t="s">
        <v>2889</v>
      </c>
      <c r="B8" s="429" t="s">
        <v>2890</v>
      </c>
      <c r="C8" s="299">
        <v>111134108.61</v>
      </c>
      <c r="D8" s="299">
        <v>179742361.03</v>
      </c>
    </row>
    <row r="9" spans="1:6" ht="18" customHeight="1">
      <c r="A9" s="583" t="s">
        <v>2891</v>
      </c>
      <c r="B9" s="429" t="s">
        <v>2892</v>
      </c>
      <c r="C9" s="299">
        <v>4972066856.3100004</v>
      </c>
      <c r="D9" s="299">
        <v>5204940572.8900003</v>
      </c>
    </row>
    <row r="10" spans="1:6" ht="18" customHeight="1">
      <c r="A10" s="583" t="s">
        <v>2893</v>
      </c>
      <c r="B10" s="429" t="s">
        <v>2894</v>
      </c>
      <c r="C10" s="299">
        <v>86449162.379999995</v>
      </c>
      <c r="D10" s="299">
        <v>99224702.870000005</v>
      </c>
    </row>
    <row r="11" spans="1:6" ht="18" customHeight="1">
      <c r="A11" s="583" t="s">
        <v>2895</v>
      </c>
      <c r="B11" s="429" t="s">
        <v>2896</v>
      </c>
      <c r="C11" s="299">
        <v>0</v>
      </c>
      <c r="D11" s="299">
        <v>8489.5499999999993</v>
      </c>
    </row>
    <row r="12" spans="1:6" ht="18" customHeight="1">
      <c r="A12" s="583" t="s">
        <v>2897</v>
      </c>
      <c r="B12" s="429" t="s">
        <v>2898</v>
      </c>
      <c r="C12" s="299">
        <v>84682.3</v>
      </c>
      <c r="D12" s="299">
        <v>6131122.9500000002</v>
      </c>
    </row>
    <row r="13" spans="1:6" ht="18" customHeight="1">
      <c r="A13" s="583" t="s">
        <v>2899</v>
      </c>
      <c r="B13" s="429" t="s">
        <v>2900</v>
      </c>
      <c r="C13" s="299">
        <v>3149028.71</v>
      </c>
      <c r="D13" s="299">
        <v>5832381.7800000003</v>
      </c>
    </row>
    <row r="14" spans="1:6" ht="18" customHeight="1">
      <c r="A14" s="583" t="s">
        <v>2901</v>
      </c>
      <c r="B14" s="429" t="s">
        <v>2902</v>
      </c>
      <c r="C14" s="299">
        <v>71436639.959999993</v>
      </c>
      <c r="D14" s="299">
        <v>32209568.129999999</v>
      </c>
    </row>
    <row r="15" spans="1:6" ht="18" customHeight="1">
      <c r="A15" s="583" t="s">
        <v>2903</v>
      </c>
      <c r="B15" s="429" t="s">
        <v>2904</v>
      </c>
      <c r="C15" s="299">
        <v>0</v>
      </c>
      <c r="D15" s="299">
        <v>0</v>
      </c>
    </row>
    <row r="16" spans="1:6" ht="18" customHeight="1">
      <c r="A16" s="583" t="s">
        <v>2905</v>
      </c>
      <c r="B16" s="429" t="s">
        <v>3362</v>
      </c>
      <c r="C16" s="299">
        <v>530408.68999999994</v>
      </c>
      <c r="D16" s="299">
        <v>11932.75</v>
      </c>
    </row>
    <row r="17" spans="1:6" ht="18" customHeight="1">
      <c r="A17" s="583" t="s">
        <v>2906</v>
      </c>
      <c r="B17" s="585"/>
      <c r="C17" s="299">
        <v>0</v>
      </c>
      <c r="D17" s="299">
        <v>0</v>
      </c>
    </row>
    <row r="18" spans="1:6" ht="18" customHeight="1">
      <c r="A18" s="583" t="s">
        <v>2907</v>
      </c>
      <c r="B18" s="429" t="s">
        <v>2908</v>
      </c>
      <c r="C18" s="299">
        <v>1544891803.5699999</v>
      </c>
      <c r="D18" s="299">
        <v>1733749758.01</v>
      </c>
    </row>
    <row r="19" spans="1:6" ht="18" customHeight="1">
      <c r="A19" s="583" t="s">
        <v>2909</v>
      </c>
      <c r="B19" s="429" t="s">
        <v>2910</v>
      </c>
      <c r="C19" s="299">
        <v>429822930.81</v>
      </c>
      <c r="D19" s="299">
        <v>495415836.14999998</v>
      </c>
    </row>
    <row r="20" spans="1:6" ht="18" customHeight="1">
      <c r="A20" s="583" t="s">
        <v>2911</v>
      </c>
      <c r="B20" s="429" t="s">
        <v>2912</v>
      </c>
      <c r="C20" s="299">
        <v>252048714.58000001</v>
      </c>
      <c r="D20" s="299">
        <v>84701861.689999998</v>
      </c>
    </row>
    <row r="21" spans="1:6" ht="18" customHeight="1">
      <c r="A21" s="583" t="s">
        <v>2913</v>
      </c>
      <c r="B21" s="429" t="s">
        <v>2914</v>
      </c>
      <c r="C21" s="299">
        <v>1785976.08</v>
      </c>
      <c r="D21" s="299">
        <v>2143460.4500000002</v>
      </c>
    </row>
    <row r="22" spans="1:6" ht="18" customHeight="1">
      <c r="A22" s="583" t="s">
        <v>2915</v>
      </c>
      <c r="B22" s="429" t="s">
        <v>2916</v>
      </c>
      <c r="C22" s="299">
        <v>26294895.559999999</v>
      </c>
      <c r="D22" s="299">
        <v>98943774.540000007</v>
      </c>
    </row>
    <row r="23" spans="1:6" ht="18" customHeight="1">
      <c r="A23" s="583" t="s">
        <v>2917</v>
      </c>
      <c r="B23" s="429" t="s">
        <v>2918</v>
      </c>
      <c r="C23" s="299">
        <v>21754.03</v>
      </c>
      <c r="D23" s="299">
        <v>6629.92</v>
      </c>
    </row>
    <row r="24" spans="1:6" ht="18" customHeight="1">
      <c r="A24" s="583" t="s">
        <v>2919</v>
      </c>
      <c r="B24" s="429" t="s">
        <v>2920</v>
      </c>
      <c r="C24" s="299">
        <v>6777</v>
      </c>
      <c r="D24" s="299">
        <v>4863.0600000000004</v>
      </c>
      <c r="E24" s="620">
        <f>E3</f>
        <v>42916</v>
      </c>
      <c r="F24" s="620">
        <f>F3</f>
        <v>42551</v>
      </c>
    </row>
    <row r="25" spans="1:6" ht="18" customHeight="1">
      <c r="A25" s="583" t="s">
        <v>2921</v>
      </c>
      <c r="B25" s="429" t="s">
        <v>2922</v>
      </c>
      <c r="C25" s="299">
        <v>376743954.31999999</v>
      </c>
      <c r="D25" s="299">
        <v>674893962.11000001</v>
      </c>
      <c r="E25" s="639" t="s">
        <v>4087</v>
      </c>
      <c r="F25" s="639" t="s">
        <v>4087</v>
      </c>
    </row>
    <row r="26" spans="1:6" ht="18" customHeight="1">
      <c r="A26" s="583" t="s">
        <v>2923</v>
      </c>
      <c r="B26" s="429" t="s">
        <v>2924</v>
      </c>
      <c r="C26" s="299">
        <v>437196298.83999997</v>
      </c>
      <c r="D26" s="299">
        <v>302803595.66000003</v>
      </c>
      <c r="E26" s="369">
        <f>D26+D27-D84-D85+D11</f>
        <v>269004460.29000008</v>
      </c>
      <c r="F26" s="369">
        <f>C26+C27-C84-C85</f>
        <v>453563558.68000001</v>
      </c>
    </row>
    <row r="27" spans="1:6" ht="18" customHeight="1">
      <c r="A27" s="583" t="s">
        <v>2925</v>
      </c>
      <c r="B27" s="429" t="s">
        <v>2926</v>
      </c>
      <c r="C27" s="299">
        <v>20970502.350000001</v>
      </c>
      <c r="D27" s="299">
        <v>74835774.430000007</v>
      </c>
    </row>
    <row r="28" spans="1:6" ht="18" customHeight="1">
      <c r="A28" s="583" t="s">
        <v>2927</v>
      </c>
      <c r="B28" s="429" t="s">
        <v>2928</v>
      </c>
      <c r="C28" s="299">
        <v>0</v>
      </c>
      <c r="D28" s="299">
        <v>0</v>
      </c>
    </row>
    <row r="29" spans="1:6" ht="18" customHeight="1">
      <c r="A29" s="583" t="s">
        <v>2929</v>
      </c>
      <c r="B29" s="585"/>
      <c r="C29" s="299">
        <v>0</v>
      </c>
      <c r="D29" s="299">
        <v>0</v>
      </c>
    </row>
    <row r="30" spans="1:6" ht="18" customHeight="1">
      <c r="A30" s="583" t="s">
        <v>2930</v>
      </c>
      <c r="B30" s="429" t="s">
        <v>2931</v>
      </c>
      <c r="C30" s="299">
        <v>1319730123.4300001</v>
      </c>
      <c r="D30" s="299">
        <v>1219543129.29</v>
      </c>
    </row>
    <row r="31" spans="1:6" ht="18" customHeight="1">
      <c r="A31" s="583" t="s">
        <v>2932</v>
      </c>
      <c r="B31" s="429" t="s">
        <v>2933</v>
      </c>
      <c r="C31" s="299">
        <v>222497518.38</v>
      </c>
      <c r="D31" s="299">
        <v>276512562.62</v>
      </c>
    </row>
    <row r="32" spans="1:6" ht="18" customHeight="1">
      <c r="A32" s="583" t="s">
        <v>2934</v>
      </c>
      <c r="B32" s="429" t="s">
        <v>2935</v>
      </c>
      <c r="C32" s="299">
        <v>16593129.640000001</v>
      </c>
      <c r="D32" s="299">
        <v>14801080.16</v>
      </c>
    </row>
    <row r="33" spans="1:4" ht="18" customHeight="1">
      <c r="A33" s="583" t="s">
        <v>2936</v>
      </c>
      <c r="B33" s="429" t="s">
        <v>2937</v>
      </c>
      <c r="C33" s="299">
        <v>23705860.359999999</v>
      </c>
      <c r="D33" s="299">
        <v>60053140.689999998</v>
      </c>
    </row>
    <row r="34" spans="1:4" ht="18" customHeight="1">
      <c r="A34" s="583" t="s">
        <v>2938</v>
      </c>
      <c r="B34" s="429" t="s">
        <v>2939</v>
      </c>
      <c r="C34" s="299">
        <v>183122430.27000001</v>
      </c>
      <c r="D34" s="299">
        <v>129443072.95</v>
      </c>
    </row>
    <row r="35" spans="1:4" ht="18" customHeight="1">
      <c r="A35" s="583" t="s">
        <v>2940</v>
      </c>
      <c r="B35" s="429" t="s">
        <v>2941</v>
      </c>
      <c r="C35" s="299">
        <v>936957.93</v>
      </c>
      <c r="D35" s="299">
        <v>1529714.54</v>
      </c>
    </row>
    <row r="36" spans="1:4" ht="18" customHeight="1">
      <c r="A36" s="583" t="s">
        <v>2942</v>
      </c>
      <c r="B36" s="429" t="s">
        <v>2943</v>
      </c>
      <c r="C36" s="299">
        <v>5690073.1799999997</v>
      </c>
      <c r="D36" s="299">
        <v>4949419.4000000004</v>
      </c>
    </row>
    <row r="37" spans="1:4" ht="18" customHeight="1">
      <c r="A37" s="583" t="s">
        <v>2944</v>
      </c>
      <c r="B37" s="429" t="s">
        <v>2945</v>
      </c>
      <c r="C37" s="299">
        <v>867184153.66999996</v>
      </c>
      <c r="D37" s="299">
        <v>732254138.92999995</v>
      </c>
    </row>
    <row r="38" spans="1:4" ht="18" customHeight="1">
      <c r="A38" s="583" t="s">
        <v>2946</v>
      </c>
      <c r="B38" s="585"/>
      <c r="C38" s="299">
        <v>0</v>
      </c>
      <c r="D38" s="299">
        <v>0</v>
      </c>
    </row>
    <row r="39" spans="1:4" ht="18" customHeight="1">
      <c r="A39" s="583" t="s">
        <v>2947</v>
      </c>
      <c r="B39" s="429" t="s">
        <v>2948</v>
      </c>
      <c r="C39" s="299">
        <v>18915637.640000001</v>
      </c>
      <c r="D39" s="299">
        <v>20371664.780000001</v>
      </c>
    </row>
    <row r="40" spans="1:4" ht="18" customHeight="1">
      <c r="A40" s="583" t="s">
        <v>2949</v>
      </c>
      <c r="B40" s="429" t="s">
        <v>2950</v>
      </c>
      <c r="C40" s="299">
        <v>6346227.0599999996</v>
      </c>
      <c r="D40" s="299">
        <v>6308017.0700000003</v>
      </c>
    </row>
    <row r="41" spans="1:4" ht="18" customHeight="1">
      <c r="A41" s="583" t="s">
        <v>2951</v>
      </c>
      <c r="B41" s="429" t="s">
        <v>2952</v>
      </c>
      <c r="C41" s="299">
        <v>6780378.8099999996</v>
      </c>
      <c r="D41" s="299">
        <v>5756220.6100000003</v>
      </c>
    </row>
    <row r="42" spans="1:4" ht="18" customHeight="1">
      <c r="A42" s="583" t="s">
        <v>2953</v>
      </c>
      <c r="B42" s="429" t="s">
        <v>2954</v>
      </c>
      <c r="C42" s="299">
        <v>0</v>
      </c>
      <c r="D42" s="299">
        <v>0</v>
      </c>
    </row>
    <row r="43" spans="1:4" ht="18" customHeight="1">
      <c r="A43" s="583" t="s">
        <v>2955</v>
      </c>
      <c r="B43" s="429" t="s">
        <v>2956</v>
      </c>
      <c r="C43" s="299">
        <v>5789031.7699999996</v>
      </c>
      <c r="D43" s="299">
        <v>8307427.0999999996</v>
      </c>
    </row>
    <row r="44" spans="1:4" ht="18" customHeight="1">
      <c r="A44" s="583" t="s">
        <v>2957</v>
      </c>
      <c r="B44" s="585"/>
      <c r="C44" s="299">
        <v>0</v>
      </c>
      <c r="D44" s="299">
        <v>0</v>
      </c>
    </row>
    <row r="45" spans="1:4" ht="18" customHeight="1">
      <c r="A45" s="583" t="s">
        <v>2958</v>
      </c>
      <c r="B45" s="429" t="s">
        <v>2959</v>
      </c>
      <c r="C45" s="299">
        <v>13305418.460000001</v>
      </c>
      <c r="D45" s="299">
        <v>-53135746.600000001</v>
      </c>
    </row>
    <row r="46" spans="1:4" ht="18" customHeight="1">
      <c r="A46" s="583" t="s">
        <v>2960</v>
      </c>
      <c r="B46" s="429" t="s">
        <v>2961</v>
      </c>
      <c r="C46" s="299">
        <v>215764.23</v>
      </c>
      <c r="D46" s="299">
        <v>7092460.5800000001</v>
      </c>
    </row>
    <row r="47" spans="1:4" ht="18" customHeight="1">
      <c r="A47" s="583" t="s">
        <v>2962</v>
      </c>
      <c r="B47" s="429" t="s">
        <v>2963</v>
      </c>
      <c r="C47" s="299">
        <v>2805.8</v>
      </c>
      <c r="D47" s="299">
        <v>-38083517.060000002</v>
      </c>
    </row>
    <row r="48" spans="1:4" ht="18" customHeight="1">
      <c r="A48" s="583" t="s">
        <v>2964</v>
      </c>
      <c r="B48" s="429" t="s">
        <v>2965</v>
      </c>
      <c r="C48" s="299">
        <v>13086848.43</v>
      </c>
      <c r="D48" s="299">
        <v>-22144690.120000001</v>
      </c>
    </row>
    <row r="49" spans="1:4" ht="18" customHeight="1">
      <c r="A49" s="583" t="s">
        <v>2966</v>
      </c>
      <c r="B49" s="585"/>
      <c r="C49" s="299">
        <v>0</v>
      </c>
      <c r="D49" s="299">
        <v>0</v>
      </c>
    </row>
    <row r="50" spans="1:4" ht="18" customHeight="1">
      <c r="A50" s="583" t="s">
        <v>2967</v>
      </c>
      <c r="B50" s="429" t="s">
        <v>2968</v>
      </c>
      <c r="C50" s="299">
        <v>-331844145.11000001</v>
      </c>
      <c r="D50" s="299">
        <v>42390050.700000003</v>
      </c>
    </row>
    <row r="51" spans="1:4" ht="18" customHeight="1">
      <c r="A51" s="583" t="s">
        <v>2969</v>
      </c>
      <c r="B51" s="429" t="s">
        <v>2970</v>
      </c>
      <c r="C51" s="299">
        <v>-331844145.11000001</v>
      </c>
      <c r="D51" s="299">
        <v>42390050.700000003</v>
      </c>
    </row>
    <row r="52" spans="1:4" ht="18" customHeight="1">
      <c r="A52" s="583" t="s">
        <v>2971</v>
      </c>
      <c r="B52" s="429" t="s">
        <v>2972</v>
      </c>
      <c r="C52" s="299">
        <v>0</v>
      </c>
      <c r="D52" s="299">
        <v>0</v>
      </c>
    </row>
    <row r="53" spans="1:4" ht="18" customHeight="1">
      <c r="A53" s="583" t="s">
        <v>2973</v>
      </c>
      <c r="B53" s="429" t="s">
        <v>2974</v>
      </c>
      <c r="C53" s="299">
        <v>0</v>
      </c>
      <c r="D53" s="299">
        <v>0</v>
      </c>
    </row>
    <row r="54" spans="1:4" ht="18" customHeight="1">
      <c r="A54" s="583" t="s">
        <v>2975</v>
      </c>
      <c r="B54" s="429" t="s">
        <v>2976</v>
      </c>
      <c r="C54" s="299">
        <v>0</v>
      </c>
      <c r="D54" s="299">
        <v>0</v>
      </c>
    </row>
    <row r="55" spans="1:4" ht="18" customHeight="1">
      <c r="A55" s="583" t="s">
        <v>2977</v>
      </c>
      <c r="B55" s="429" t="s">
        <v>2978</v>
      </c>
      <c r="C55" s="299">
        <v>0</v>
      </c>
      <c r="D55" s="299">
        <v>0</v>
      </c>
    </row>
    <row r="56" spans="1:4" ht="18" customHeight="1">
      <c r="A56" s="583" t="s">
        <v>2979</v>
      </c>
      <c r="B56" s="585"/>
      <c r="C56" s="299">
        <v>0</v>
      </c>
      <c r="D56" s="299">
        <v>0</v>
      </c>
    </row>
    <row r="57" spans="1:4" ht="18" customHeight="1">
      <c r="A57" s="583" t="s">
        <v>2980</v>
      </c>
      <c r="B57" s="429" t="s">
        <v>2981</v>
      </c>
      <c r="C57" s="299">
        <v>4409108884.7200003</v>
      </c>
      <c r="D57" s="299">
        <v>4344753443.0299997</v>
      </c>
    </row>
    <row r="58" spans="1:4" ht="18" customHeight="1">
      <c r="A58" s="583" t="s">
        <v>2982</v>
      </c>
      <c r="B58" s="429" t="s">
        <v>2983</v>
      </c>
      <c r="C58" s="299">
        <v>4225477814.3400002</v>
      </c>
      <c r="D58" s="299">
        <v>4480421662.8999996</v>
      </c>
    </row>
    <row r="59" spans="1:4" ht="18" customHeight="1">
      <c r="A59" s="583" t="s">
        <v>2984</v>
      </c>
      <c r="B59" s="429" t="s">
        <v>2985</v>
      </c>
      <c r="C59" s="299">
        <v>30938054.280000001</v>
      </c>
      <c r="D59" s="299">
        <v>-141278219.87</v>
      </c>
    </row>
    <row r="60" spans="1:4" ht="18" customHeight="1">
      <c r="A60" s="583" t="s">
        <v>2986</v>
      </c>
      <c r="B60" s="429" t="s">
        <v>2987</v>
      </c>
      <c r="C60" s="299">
        <v>0</v>
      </c>
      <c r="D60" s="299">
        <v>1530000</v>
      </c>
    </row>
    <row r="61" spans="1:4" ht="18" customHeight="1">
      <c r="A61" s="583" t="s">
        <v>2988</v>
      </c>
      <c r="B61" s="429" t="s">
        <v>2989</v>
      </c>
      <c r="C61" s="299">
        <v>0</v>
      </c>
      <c r="D61" s="299">
        <v>4080000</v>
      </c>
    </row>
    <row r="62" spans="1:4" ht="18" customHeight="1">
      <c r="A62" s="583" t="s">
        <v>2990</v>
      </c>
      <c r="B62" s="429" t="s">
        <v>2991</v>
      </c>
      <c r="C62" s="299">
        <v>203165290.08000001</v>
      </c>
      <c r="D62" s="299">
        <v>0</v>
      </c>
    </row>
    <row r="63" spans="1:4" ht="18" customHeight="1">
      <c r="A63" s="583" t="s">
        <v>2992</v>
      </c>
      <c r="B63" s="429" t="s">
        <v>2993</v>
      </c>
      <c r="C63" s="299">
        <v>-50472273.979999997</v>
      </c>
      <c r="D63" s="299">
        <v>0</v>
      </c>
    </row>
    <row r="64" spans="1:4" ht="18" customHeight="1">
      <c r="A64" s="583" t="s">
        <v>2994</v>
      </c>
      <c r="B64" s="585"/>
      <c r="C64" s="299">
        <v>0</v>
      </c>
      <c r="D64" s="299">
        <v>0</v>
      </c>
    </row>
    <row r="65" spans="1:4" ht="18" customHeight="1">
      <c r="A65" s="583" t="s">
        <v>2995</v>
      </c>
      <c r="B65" s="429" t="s">
        <v>2996</v>
      </c>
      <c r="C65" s="299">
        <v>9051473713.6100006</v>
      </c>
      <c r="D65" s="299">
        <v>8958103807.8299999</v>
      </c>
    </row>
    <row r="66" spans="1:4" ht="18" customHeight="1">
      <c r="A66" s="583" t="s">
        <v>2997</v>
      </c>
      <c r="B66" s="429" t="s">
        <v>2998</v>
      </c>
      <c r="C66" s="299">
        <v>4016477237.75</v>
      </c>
      <c r="D66" s="299">
        <v>3916167684.96</v>
      </c>
    </row>
    <row r="67" spans="1:4" ht="18" customHeight="1">
      <c r="A67" s="583" t="s">
        <v>2999</v>
      </c>
      <c r="B67" s="429" t="s">
        <v>3000</v>
      </c>
      <c r="C67" s="299">
        <v>141519358.06999999</v>
      </c>
      <c r="D67" s="299">
        <v>181555184.96000001</v>
      </c>
    </row>
    <row r="68" spans="1:4" ht="18" customHeight="1">
      <c r="A68" s="583" t="s">
        <v>3001</v>
      </c>
      <c r="B68" s="429" t="s">
        <v>3002</v>
      </c>
      <c r="C68" s="299">
        <v>1345622640.47</v>
      </c>
      <c r="D68" s="299">
        <v>1311157394.47</v>
      </c>
    </row>
    <row r="69" spans="1:4" ht="18" customHeight="1">
      <c r="A69" s="583" t="s">
        <v>3003</v>
      </c>
      <c r="B69" s="429" t="s">
        <v>3004</v>
      </c>
      <c r="C69" s="299">
        <v>110107960.95999999</v>
      </c>
      <c r="D69" s="299">
        <v>124190383.98</v>
      </c>
    </row>
    <row r="70" spans="1:4" ht="18" customHeight="1">
      <c r="A70" s="583" t="s">
        <v>3005</v>
      </c>
      <c r="B70" s="429" t="s">
        <v>3006</v>
      </c>
      <c r="C70" s="299">
        <v>1441896006.6800001</v>
      </c>
      <c r="D70" s="299">
        <v>1253185301.27</v>
      </c>
    </row>
    <row r="71" spans="1:4" ht="18" customHeight="1">
      <c r="A71" s="583" t="s">
        <v>3007</v>
      </c>
      <c r="B71" s="429" t="s">
        <v>3008</v>
      </c>
      <c r="C71" s="299">
        <v>0</v>
      </c>
      <c r="D71" s="299">
        <v>0</v>
      </c>
    </row>
    <row r="72" spans="1:4" ht="18" customHeight="1">
      <c r="A72" s="583" t="s">
        <v>3009</v>
      </c>
      <c r="B72" s="429" t="s">
        <v>3010</v>
      </c>
      <c r="C72" s="299">
        <v>590831.11</v>
      </c>
      <c r="D72" s="299">
        <v>1291127.8400000001</v>
      </c>
    </row>
    <row r="73" spans="1:4" ht="18" customHeight="1">
      <c r="A73" s="583" t="s">
        <v>3011</v>
      </c>
      <c r="B73" s="429" t="s">
        <v>3012</v>
      </c>
      <c r="C73" s="299">
        <v>120010878.88</v>
      </c>
      <c r="D73" s="299">
        <v>66546238.990000002</v>
      </c>
    </row>
    <row r="74" spans="1:4" ht="18" customHeight="1">
      <c r="A74" s="583" t="s">
        <v>3013</v>
      </c>
      <c r="B74" s="429" t="s">
        <v>3014</v>
      </c>
      <c r="C74" s="299">
        <v>579048356.72000003</v>
      </c>
      <c r="D74" s="299">
        <v>692360310.59000003</v>
      </c>
    </row>
    <row r="75" spans="1:4" ht="18" customHeight="1">
      <c r="A75" s="583" t="s">
        <v>3015</v>
      </c>
      <c r="B75" s="429" t="s">
        <v>3016</v>
      </c>
      <c r="C75" s="299">
        <v>277681204.86000001</v>
      </c>
      <c r="D75" s="299">
        <v>285881742.86000001</v>
      </c>
    </row>
    <row r="76" spans="1:4" ht="18" customHeight="1">
      <c r="A76" s="583" t="s">
        <v>3017</v>
      </c>
      <c r="B76" s="585"/>
      <c r="C76" s="299">
        <v>0</v>
      </c>
      <c r="D76" s="299">
        <v>0</v>
      </c>
    </row>
    <row r="77" spans="1:4" ht="18" customHeight="1">
      <c r="A77" s="583" t="s">
        <v>3018</v>
      </c>
      <c r="B77" s="429" t="s">
        <v>3019</v>
      </c>
      <c r="C77" s="299">
        <v>1998329446.3399999</v>
      </c>
      <c r="D77" s="299">
        <v>2920894103.5700002</v>
      </c>
    </row>
    <row r="78" spans="1:4" ht="18" customHeight="1">
      <c r="A78" s="583" t="s">
        <v>3020</v>
      </c>
      <c r="B78" s="429" t="s">
        <v>3021</v>
      </c>
      <c r="C78" s="299">
        <v>0</v>
      </c>
      <c r="D78" s="299">
        <v>0</v>
      </c>
    </row>
    <row r="79" spans="1:4" ht="18" customHeight="1">
      <c r="A79" s="583" t="s">
        <v>3022</v>
      </c>
      <c r="B79" s="429" t="s">
        <v>3023</v>
      </c>
      <c r="C79" s="299">
        <v>0.03</v>
      </c>
      <c r="D79" s="299">
        <v>0.04</v>
      </c>
    </row>
    <row r="80" spans="1:4" ht="18" customHeight="1">
      <c r="A80" s="583" t="s">
        <v>3024</v>
      </c>
      <c r="B80" s="429" t="s">
        <v>3025</v>
      </c>
      <c r="C80" s="299">
        <v>0</v>
      </c>
      <c r="D80" s="299">
        <v>0</v>
      </c>
    </row>
    <row r="81" spans="1:4" ht="18" customHeight="1">
      <c r="A81" s="583" t="s">
        <v>3026</v>
      </c>
      <c r="B81" s="429" t="s">
        <v>3027</v>
      </c>
      <c r="C81" s="299">
        <v>1101174263.1800001</v>
      </c>
      <c r="D81" s="299">
        <v>260409102.08000001</v>
      </c>
    </row>
    <row r="82" spans="1:4" ht="18" customHeight="1">
      <c r="A82" s="583" t="s">
        <v>3028</v>
      </c>
      <c r="B82" s="584" t="s">
        <v>3029</v>
      </c>
      <c r="C82" s="299">
        <v>53169880.649999999</v>
      </c>
      <c r="D82" s="299">
        <v>71032511.060000002</v>
      </c>
    </row>
    <row r="83" spans="1:4" ht="18" customHeight="1">
      <c r="A83" s="583" t="s">
        <v>3030</v>
      </c>
      <c r="B83" s="584" t="s">
        <v>3031</v>
      </c>
      <c r="C83" s="299">
        <v>224962581.59</v>
      </c>
      <c r="D83" s="299">
        <v>308860348.99000001</v>
      </c>
    </row>
    <row r="84" spans="1:4" ht="18" customHeight="1">
      <c r="A84" s="583" t="s">
        <v>3032</v>
      </c>
      <c r="B84" s="584" t="s">
        <v>3033</v>
      </c>
      <c r="C84" s="299">
        <v>4591492.51</v>
      </c>
      <c r="D84" s="299">
        <v>107971743.76000001</v>
      </c>
    </row>
    <row r="85" spans="1:4" ht="18" customHeight="1">
      <c r="A85" s="583" t="s">
        <v>3034</v>
      </c>
      <c r="B85" s="584" t="s">
        <v>3035</v>
      </c>
      <c r="C85" s="299">
        <v>11750</v>
      </c>
      <c r="D85" s="299">
        <v>671655.59</v>
      </c>
    </row>
    <row r="86" spans="1:4" ht="18" customHeight="1">
      <c r="A86" s="583" t="s">
        <v>3036</v>
      </c>
      <c r="B86" s="584" t="s">
        <v>3037</v>
      </c>
      <c r="C86" s="299">
        <v>614419478.38</v>
      </c>
      <c r="D86" s="299">
        <v>2171948742.0500002</v>
      </c>
    </row>
    <row r="87" spans="1:4" ht="18" customHeight="1">
      <c r="A87" s="583" t="s">
        <v>3038</v>
      </c>
      <c r="B87" s="584" t="s">
        <v>3039</v>
      </c>
      <c r="C87" s="299">
        <v>0</v>
      </c>
      <c r="D87" s="299">
        <v>0</v>
      </c>
    </row>
    <row r="88" spans="1:4" ht="18" customHeight="1">
      <c r="A88" s="583" t="s">
        <v>3040</v>
      </c>
      <c r="B88" s="586"/>
      <c r="C88" s="299">
        <v>0</v>
      </c>
      <c r="D88" s="299">
        <v>0</v>
      </c>
    </row>
    <row r="89" spans="1:4" ht="18" customHeight="1">
      <c r="A89" s="583" t="s">
        <v>3041</v>
      </c>
      <c r="B89" s="584" t="s">
        <v>3042</v>
      </c>
      <c r="C89" s="299">
        <v>68286251.900000006</v>
      </c>
      <c r="D89" s="299">
        <v>99151499.010000005</v>
      </c>
    </row>
    <row r="90" spans="1:4" ht="18" customHeight="1">
      <c r="A90" s="583" t="s">
        <v>3043</v>
      </c>
      <c r="B90" s="584" t="s">
        <v>3044</v>
      </c>
      <c r="C90" s="299">
        <v>15516609.66</v>
      </c>
      <c r="D90" s="299">
        <v>11799750.84</v>
      </c>
    </row>
    <row r="91" spans="1:4" ht="18" customHeight="1">
      <c r="A91" s="583" t="s">
        <v>3045</v>
      </c>
      <c r="B91" s="584" t="s">
        <v>3046</v>
      </c>
      <c r="C91" s="299">
        <v>12242983.17</v>
      </c>
      <c r="D91" s="299">
        <v>7823157.8200000003</v>
      </c>
    </row>
    <row r="92" spans="1:4" ht="18" customHeight="1">
      <c r="A92" s="583" t="s">
        <v>3047</v>
      </c>
      <c r="B92" s="584" t="s">
        <v>3048</v>
      </c>
      <c r="C92" s="299">
        <v>3488350.12</v>
      </c>
      <c r="D92" s="299">
        <v>5412975.0999999996</v>
      </c>
    </row>
    <row r="93" spans="1:4" ht="18" customHeight="1">
      <c r="A93" s="583" t="s">
        <v>3049</v>
      </c>
      <c r="B93" s="584" t="s">
        <v>3050</v>
      </c>
      <c r="C93" s="299">
        <v>0</v>
      </c>
      <c r="D93" s="299">
        <v>0</v>
      </c>
    </row>
    <row r="94" spans="1:4" ht="18" customHeight="1">
      <c r="A94" s="583" t="s">
        <v>3051</v>
      </c>
      <c r="B94" s="587" t="s">
        <v>3052</v>
      </c>
      <c r="C94" s="299">
        <v>2136.86</v>
      </c>
      <c r="D94" s="299">
        <v>96495.66</v>
      </c>
    </row>
    <row r="95" spans="1:4" ht="18" customHeight="1">
      <c r="A95" s="583" t="s">
        <v>3053</v>
      </c>
      <c r="B95" s="587" t="s">
        <v>3054</v>
      </c>
      <c r="C95" s="299">
        <v>37036172.090000004</v>
      </c>
      <c r="D95" s="299">
        <v>74019119.590000004</v>
      </c>
    </row>
    <row r="96" spans="1:4" ht="18" customHeight="1">
      <c r="A96" s="583" t="s">
        <v>3055</v>
      </c>
      <c r="B96" s="587" t="s">
        <v>3056</v>
      </c>
      <c r="C96" s="299">
        <v>0</v>
      </c>
      <c r="D96" s="299">
        <v>0</v>
      </c>
    </row>
    <row r="97" spans="1:4" ht="18" customHeight="1">
      <c r="A97" s="583" t="s">
        <v>3057</v>
      </c>
      <c r="B97" s="586"/>
      <c r="C97" s="299">
        <v>0</v>
      </c>
      <c r="D97" s="299">
        <v>0</v>
      </c>
    </row>
    <row r="98" spans="1:4" ht="18" customHeight="1">
      <c r="A98" s="583" t="s">
        <v>3058</v>
      </c>
      <c r="B98" s="584" t="s">
        <v>3059</v>
      </c>
      <c r="C98" s="299">
        <v>1682579200.1199999</v>
      </c>
      <c r="D98" s="299">
        <v>1957352737.51</v>
      </c>
    </row>
    <row r="99" spans="1:4" ht="18" customHeight="1">
      <c r="A99" s="583" t="s">
        <v>3060</v>
      </c>
      <c r="B99" s="584" t="s">
        <v>3061</v>
      </c>
      <c r="C99" s="299">
        <v>36438322.43</v>
      </c>
      <c r="D99" s="299">
        <v>45731944.200000003</v>
      </c>
    </row>
    <row r="100" spans="1:4" ht="18" customHeight="1">
      <c r="A100" s="583" t="s">
        <v>3062</v>
      </c>
      <c r="B100" s="584" t="s">
        <v>3063</v>
      </c>
      <c r="C100" s="299">
        <v>2918924.07</v>
      </c>
      <c r="D100" s="299">
        <v>1969384.71</v>
      </c>
    </row>
    <row r="101" spans="1:4" ht="18" customHeight="1">
      <c r="A101" s="583" t="s">
        <v>3064</v>
      </c>
      <c r="B101" s="584" t="s">
        <v>3065</v>
      </c>
      <c r="C101" s="299">
        <v>18792224.510000002</v>
      </c>
      <c r="D101" s="299">
        <v>20930531.199999999</v>
      </c>
    </row>
    <row r="102" spans="1:4" ht="18" customHeight="1">
      <c r="A102" s="583" t="s">
        <v>3066</v>
      </c>
      <c r="B102" s="584" t="s">
        <v>3067</v>
      </c>
      <c r="C102" s="299">
        <v>2872926.35</v>
      </c>
      <c r="D102" s="299">
        <v>2037907.41</v>
      </c>
    </row>
    <row r="103" spans="1:4" ht="18" customHeight="1">
      <c r="A103" s="583" t="s">
        <v>3068</v>
      </c>
      <c r="B103" s="584" t="s">
        <v>3069</v>
      </c>
      <c r="C103" s="299">
        <v>25550774.120000001</v>
      </c>
      <c r="D103" s="299">
        <v>42545612</v>
      </c>
    </row>
    <row r="104" spans="1:4" ht="18" customHeight="1">
      <c r="A104" s="583" t="s">
        <v>3070</v>
      </c>
      <c r="B104" s="584" t="s">
        <v>3071</v>
      </c>
      <c r="C104" s="299">
        <v>237753.88</v>
      </c>
      <c r="D104" s="299">
        <v>1219312.3700000001</v>
      </c>
    </row>
    <row r="105" spans="1:4" ht="18" customHeight="1">
      <c r="A105" s="583" t="s">
        <v>3072</v>
      </c>
      <c r="B105" s="584" t="s">
        <v>3073</v>
      </c>
      <c r="C105" s="299">
        <v>28633005.68</v>
      </c>
      <c r="D105" s="299">
        <v>47697236.810000002</v>
      </c>
    </row>
    <row r="106" spans="1:4" ht="18" customHeight="1">
      <c r="A106" s="583" t="s">
        <v>3074</v>
      </c>
      <c r="B106" s="584" t="s">
        <v>3075</v>
      </c>
      <c r="C106" s="299">
        <v>21474120.539999999</v>
      </c>
      <c r="D106" s="299">
        <v>19085892.34</v>
      </c>
    </row>
    <row r="107" spans="1:4" ht="18" customHeight="1">
      <c r="A107" s="583" t="s">
        <v>3076</v>
      </c>
      <c r="B107" s="584" t="s">
        <v>3077</v>
      </c>
      <c r="C107" s="299">
        <v>347488</v>
      </c>
      <c r="D107" s="299">
        <v>503009.42</v>
      </c>
    </row>
    <row r="108" spans="1:4" ht="18" customHeight="1">
      <c r="A108" s="583" t="s">
        <v>3078</v>
      </c>
      <c r="B108" s="584" t="s">
        <v>3079</v>
      </c>
      <c r="C108" s="299">
        <v>4730</v>
      </c>
      <c r="D108" s="299">
        <v>9357.5499999999993</v>
      </c>
    </row>
    <row r="109" spans="1:4" ht="18" customHeight="1">
      <c r="A109" s="583" t="s">
        <v>3080</v>
      </c>
      <c r="B109" s="584" t="s">
        <v>3081</v>
      </c>
      <c r="C109" s="299">
        <v>7967894.1299999999</v>
      </c>
      <c r="D109" s="299">
        <v>13999422.550000001</v>
      </c>
    </row>
    <row r="110" spans="1:4" ht="18" customHeight="1">
      <c r="A110" s="583" t="s">
        <v>3082</v>
      </c>
      <c r="B110" s="584" t="s">
        <v>3083</v>
      </c>
      <c r="C110" s="299">
        <v>1101000</v>
      </c>
      <c r="D110" s="299">
        <v>2229348.0499999998</v>
      </c>
    </row>
    <row r="111" spans="1:4" ht="18" customHeight="1">
      <c r="A111" s="583" t="s">
        <v>3084</v>
      </c>
      <c r="B111" s="584" t="s">
        <v>3085</v>
      </c>
      <c r="C111" s="299">
        <v>0</v>
      </c>
      <c r="D111" s="299">
        <v>0</v>
      </c>
    </row>
    <row r="112" spans="1:4" ht="18" customHeight="1">
      <c r="A112" s="583" t="s">
        <v>3086</v>
      </c>
      <c r="B112" s="584" t="s">
        <v>3087</v>
      </c>
      <c r="C112" s="299">
        <v>0</v>
      </c>
      <c r="D112" s="299">
        <v>0</v>
      </c>
    </row>
    <row r="113" spans="1:4" ht="18" customHeight="1">
      <c r="A113" s="583" t="s">
        <v>3088</v>
      </c>
      <c r="B113" s="584" t="s">
        <v>3089</v>
      </c>
      <c r="C113" s="299">
        <v>0</v>
      </c>
      <c r="D113" s="299">
        <v>0</v>
      </c>
    </row>
    <row r="114" spans="1:4" ht="18" customHeight="1">
      <c r="A114" s="583" t="s">
        <v>3090</v>
      </c>
      <c r="B114" s="584" t="s">
        <v>3091</v>
      </c>
      <c r="C114" s="299">
        <v>240</v>
      </c>
      <c r="D114" s="299">
        <v>42567</v>
      </c>
    </row>
    <row r="115" spans="1:4" ht="18" customHeight="1">
      <c r="A115" s="583" t="s">
        <v>3092</v>
      </c>
      <c r="B115" s="584" t="s">
        <v>3093</v>
      </c>
      <c r="C115" s="299">
        <v>10265119.939999999</v>
      </c>
      <c r="D115" s="299">
        <v>10757722.82</v>
      </c>
    </row>
    <row r="116" spans="1:4" ht="18" customHeight="1">
      <c r="A116" s="583" t="s">
        <v>3094</v>
      </c>
      <c r="B116" s="584" t="s">
        <v>3095</v>
      </c>
      <c r="C116" s="299">
        <v>2312590.36</v>
      </c>
      <c r="D116" s="299">
        <v>3201495.12</v>
      </c>
    </row>
    <row r="117" spans="1:4" ht="18" customHeight="1">
      <c r="A117" s="583" t="s">
        <v>3096</v>
      </c>
      <c r="B117" s="584" t="s">
        <v>3097</v>
      </c>
      <c r="C117" s="299">
        <v>17262463.489999998</v>
      </c>
      <c r="D117" s="299">
        <v>20848153.050000001</v>
      </c>
    </row>
    <row r="118" spans="1:4" ht="18" customHeight="1">
      <c r="A118" s="583" t="s">
        <v>3098</v>
      </c>
      <c r="B118" s="584" t="s">
        <v>3099</v>
      </c>
      <c r="C118" s="299">
        <v>1109755.57</v>
      </c>
      <c r="D118" s="299">
        <v>1220707.1299999999</v>
      </c>
    </row>
    <row r="119" spans="1:4" ht="18" customHeight="1">
      <c r="A119" s="583" t="s">
        <v>3100</v>
      </c>
      <c r="B119" s="584" t="s">
        <v>3101</v>
      </c>
      <c r="C119" s="299">
        <v>1445961.72</v>
      </c>
      <c r="D119" s="299">
        <v>1653542.57</v>
      </c>
    </row>
    <row r="120" spans="1:4" ht="18" customHeight="1">
      <c r="A120" s="583" t="s">
        <v>3102</v>
      </c>
      <c r="B120" s="584" t="s">
        <v>3103</v>
      </c>
      <c r="C120" s="299">
        <v>2168859.0099999998</v>
      </c>
      <c r="D120" s="299">
        <v>2187330.2599999998</v>
      </c>
    </row>
    <row r="121" spans="1:4" ht="18" customHeight="1">
      <c r="A121" s="583" t="s">
        <v>3104</v>
      </c>
      <c r="B121" s="584" t="s">
        <v>3105</v>
      </c>
      <c r="C121" s="299">
        <v>1146500</v>
      </c>
      <c r="D121" s="299">
        <v>357500</v>
      </c>
    </row>
    <row r="122" spans="1:4" ht="18" customHeight="1">
      <c r="A122" s="583" t="s">
        <v>3106</v>
      </c>
      <c r="B122" s="584" t="s">
        <v>3107</v>
      </c>
      <c r="C122" s="299">
        <v>3205105.97</v>
      </c>
      <c r="D122" s="299">
        <v>0</v>
      </c>
    </row>
    <row r="123" spans="1:4" ht="18" customHeight="1">
      <c r="A123" s="583" t="s">
        <v>3108</v>
      </c>
      <c r="B123" s="584" t="s">
        <v>3109</v>
      </c>
      <c r="C123" s="299">
        <v>2024681.89</v>
      </c>
      <c r="D123" s="299">
        <v>2895441.23</v>
      </c>
    </row>
    <row r="124" spans="1:4" ht="18" customHeight="1">
      <c r="A124" s="583" t="s">
        <v>3110</v>
      </c>
      <c r="B124" s="584" t="s">
        <v>3111</v>
      </c>
      <c r="C124" s="299">
        <v>0</v>
      </c>
      <c r="D124" s="299">
        <v>0</v>
      </c>
    </row>
    <row r="125" spans="1:4" ht="18" customHeight="1">
      <c r="A125" s="583" t="s">
        <v>3112</v>
      </c>
      <c r="B125" s="584" t="s">
        <v>3113</v>
      </c>
      <c r="C125" s="299">
        <v>0</v>
      </c>
      <c r="D125" s="299">
        <v>0</v>
      </c>
    </row>
    <row r="126" spans="1:4" ht="18" customHeight="1">
      <c r="A126" s="583" t="s">
        <v>3114</v>
      </c>
      <c r="B126" s="584" t="s">
        <v>3115</v>
      </c>
      <c r="C126" s="299">
        <v>11589320.57</v>
      </c>
      <c r="D126" s="299">
        <v>11311656.23</v>
      </c>
    </row>
    <row r="127" spans="1:4" ht="18" customHeight="1">
      <c r="A127" s="583" t="s">
        <v>3116</v>
      </c>
      <c r="B127" s="584" t="s">
        <v>3117</v>
      </c>
      <c r="C127" s="299">
        <v>577478256.5</v>
      </c>
      <c r="D127" s="299">
        <v>784478127.07000005</v>
      </c>
    </row>
    <row r="128" spans="1:4" ht="18" customHeight="1">
      <c r="A128" s="583" t="s">
        <v>3118</v>
      </c>
      <c r="B128" s="584" t="s">
        <v>3119</v>
      </c>
      <c r="C128" s="299">
        <v>41467871.880000003</v>
      </c>
      <c r="D128" s="299">
        <v>44606493.590000004</v>
      </c>
    </row>
    <row r="129" spans="1:4" ht="18" customHeight="1">
      <c r="A129" s="583" t="s">
        <v>3120</v>
      </c>
      <c r="B129" s="584" t="s">
        <v>3121</v>
      </c>
      <c r="C129" s="299">
        <v>2096595.78</v>
      </c>
      <c r="D129" s="299">
        <v>15464925.48</v>
      </c>
    </row>
    <row r="130" spans="1:4" ht="18" customHeight="1">
      <c r="A130" s="583" t="s">
        <v>3122</v>
      </c>
      <c r="B130" s="584" t="s">
        <v>3123</v>
      </c>
      <c r="C130" s="299">
        <v>11549565.130000001</v>
      </c>
      <c r="D130" s="299">
        <v>17585316.300000001</v>
      </c>
    </row>
    <row r="131" spans="1:4" ht="18" customHeight="1">
      <c r="A131" s="583" t="s">
        <v>3124</v>
      </c>
      <c r="B131" s="584" t="s">
        <v>3125</v>
      </c>
      <c r="C131" s="299">
        <v>0</v>
      </c>
      <c r="D131" s="299">
        <v>124871.79</v>
      </c>
    </row>
    <row r="132" spans="1:4" ht="18" customHeight="1">
      <c r="A132" s="583" t="s">
        <v>3126</v>
      </c>
      <c r="B132" s="584" t="s">
        <v>3127</v>
      </c>
      <c r="C132" s="299">
        <v>75522375.230000004</v>
      </c>
      <c r="D132" s="299">
        <v>82712015.430000007</v>
      </c>
    </row>
    <row r="133" spans="1:4" ht="18" customHeight="1">
      <c r="A133" s="583" t="s">
        <v>3128</v>
      </c>
      <c r="B133" s="584" t="s">
        <v>3129</v>
      </c>
      <c r="C133" s="299">
        <v>43647685.950000003</v>
      </c>
      <c r="D133" s="299">
        <v>41690456.609999999</v>
      </c>
    </row>
    <row r="134" spans="1:4" ht="18" customHeight="1">
      <c r="A134" s="583" t="s">
        <v>3130</v>
      </c>
      <c r="B134" s="584" t="s">
        <v>3131</v>
      </c>
      <c r="C134" s="299">
        <v>1522645.04</v>
      </c>
      <c r="D134" s="299">
        <v>832274.21</v>
      </c>
    </row>
    <row r="135" spans="1:4" ht="18" customHeight="1">
      <c r="A135" s="583" t="s">
        <v>3132</v>
      </c>
      <c r="B135" s="584" t="s">
        <v>3133</v>
      </c>
      <c r="C135" s="299">
        <v>4627874.3899999997</v>
      </c>
      <c r="D135" s="299">
        <v>5047378.54</v>
      </c>
    </row>
    <row r="136" spans="1:4" ht="18" customHeight="1">
      <c r="A136" s="583" t="s">
        <v>3134</v>
      </c>
      <c r="B136" s="584" t="s">
        <v>3135</v>
      </c>
      <c r="C136" s="299">
        <v>3420012.39</v>
      </c>
      <c r="D136" s="299">
        <v>2893892.96</v>
      </c>
    </row>
    <row r="137" spans="1:4" ht="18" customHeight="1">
      <c r="A137" s="583" t="s">
        <v>3136</v>
      </c>
      <c r="B137" s="584" t="s">
        <v>3137</v>
      </c>
      <c r="C137" s="299">
        <v>55965550</v>
      </c>
      <c r="D137" s="299">
        <v>70251070</v>
      </c>
    </row>
    <row r="138" spans="1:4" ht="18" customHeight="1">
      <c r="A138" s="583" t="s">
        <v>3138</v>
      </c>
      <c r="B138" s="584" t="s">
        <v>3139</v>
      </c>
      <c r="C138" s="299">
        <v>1926366.23</v>
      </c>
      <c r="D138" s="299">
        <v>30644819.550000001</v>
      </c>
    </row>
    <row r="139" spans="1:4" ht="18" customHeight="1">
      <c r="A139" s="583" t="s">
        <v>3140</v>
      </c>
      <c r="B139" s="584" t="s">
        <v>3141</v>
      </c>
      <c r="C139" s="299">
        <v>658639.37</v>
      </c>
      <c r="D139" s="299">
        <v>725027.12</v>
      </c>
    </row>
    <row r="140" spans="1:4" ht="18" customHeight="1">
      <c r="A140" s="583" t="s">
        <v>3142</v>
      </c>
      <c r="B140" s="584" t="s">
        <v>3143</v>
      </c>
      <c r="C140" s="299">
        <v>0</v>
      </c>
      <c r="D140" s="299">
        <v>0</v>
      </c>
    </row>
    <row r="141" spans="1:4" ht="18" customHeight="1">
      <c r="A141" s="583" t="s">
        <v>3144</v>
      </c>
      <c r="B141" s="584" t="s">
        <v>3145</v>
      </c>
      <c r="C141" s="299">
        <v>30056185.219999999</v>
      </c>
      <c r="D141" s="299">
        <v>45030266.170000002</v>
      </c>
    </row>
    <row r="142" spans="1:4" ht="18" customHeight="1">
      <c r="A142" s="583" t="s">
        <v>3146</v>
      </c>
      <c r="B142" s="584" t="s">
        <v>3147</v>
      </c>
      <c r="C142" s="299">
        <v>0</v>
      </c>
      <c r="D142" s="299">
        <v>0</v>
      </c>
    </row>
    <row r="143" spans="1:4" ht="18" customHeight="1">
      <c r="A143" s="583" t="s">
        <v>3148</v>
      </c>
      <c r="B143" s="584" t="s">
        <v>3149</v>
      </c>
      <c r="C143" s="299">
        <v>123575842.2</v>
      </c>
      <c r="D143" s="299">
        <v>81253674.200000003</v>
      </c>
    </row>
    <row r="144" spans="1:4" ht="18" customHeight="1">
      <c r="A144" s="583" t="s">
        <v>3150</v>
      </c>
      <c r="B144" s="584" t="s">
        <v>3151</v>
      </c>
      <c r="C144" s="299">
        <v>91183711.359999999</v>
      </c>
      <c r="D144" s="299">
        <v>62491333.799999997</v>
      </c>
    </row>
    <row r="145" spans="1:4" ht="18" customHeight="1">
      <c r="A145" s="583" t="s">
        <v>3152</v>
      </c>
      <c r="B145" s="584" t="s">
        <v>3153</v>
      </c>
      <c r="C145" s="299">
        <v>111751586.09999999</v>
      </c>
      <c r="D145" s="299">
        <v>111173398.54000001</v>
      </c>
    </row>
    <row r="146" spans="1:4" ht="18" customHeight="1">
      <c r="A146" s="583" t="s">
        <v>3154</v>
      </c>
      <c r="B146" s="584" t="s">
        <v>3155</v>
      </c>
      <c r="C146" s="299">
        <v>8440892.5899999999</v>
      </c>
      <c r="D146" s="299">
        <v>16451733.210000001</v>
      </c>
    </row>
    <row r="147" spans="1:4" ht="18" customHeight="1">
      <c r="A147" s="583" t="s">
        <v>3156</v>
      </c>
      <c r="B147" s="584" t="s">
        <v>3157</v>
      </c>
      <c r="C147" s="299">
        <v>5627205.4299999997</v>
      </c>
      <c r="D147" s="299">
        <v>3516984.19</v>
      </c>
    </row>
    <row r="148" spans="1:4" ht="18" customHeight="1">
      <c r="A148" s="583" t="s">
        <v>3158</v>
      </c>
      <c r="B148" s="584" t="s">
        <v>3159</v>
      </c>
      <c r="C148" s="299">
        <v>26789258.829999998</v>
      </c>
      <c r="D148" s="299">
        <v>26536887.18</v>
      </c>
    </row>
    <row r="149" spans="1:4" ht="18" customHeight="1">
      <c r="A149" s="583" t="s">
        <v>3160</v>
      </c>
      <c r="B149" s="584" t="s">
        <v>3161</v>
      </c>
      <c r="C149" s="299">
        <v>22056844.550000001</v>
      </c>
      <c r="D149" s="299">
        <v>26103836.789999999</v>
      </c>
    </row>
    <row r="150" spans="1:4" ht="18" customHeight="1">
      <c r="A150" s="583" t="s">
        <v>3162</v>
      </c>
      <c r="B150" s="584" t="s">
        <v>3163</v>
      </c>
      <c r="C150" s="299">
        <v>171596720.31</v>
      </c>
      <c r="D150" s="299">
        <v>164495501.33000001</v>
      </c>
    </row>
    <row r="151" spans="1:4" ht="18" customHeight="1">
      <c r="A151" s="583" t="s">
        <v>3164</v>
      </c>
      <c r="B151" s="584" t="s">
        <v>3165</v>
      </c>
      <c r="C151" s="299">
        <v>0</v>
      </c>
      <c r="D151" s="299">
        <v>0</v>
      </c>
    </row>
    <row r="152" spans="1:4" ht="18" customHeight="1">
      <c r="A152" s="583" t="s">
        <v>3166</v>
      </c>
      <c r="B152" s="584" t="s">
        <v>3167</v>
      </c>
      <c r="C152" s="299">
        <v>72747753.409999996</v>
      </c>
      <c r="D152" s="299">
        <v>70807379.430000007</v>
      </c>
    </row>
    <row r="153" spans="1:4" ht="18" customHeight="1">
      <c r="A153" s="583" t="s">
        <v>3168</v>
      </c>
      <c r="B153" s="586"/>
      <c r="C153" s="299">
        <v>0</v>
      </c>
      <c r="D153" s="299">
        <v>0</v>
      </c>
    </row>
    <row r="154" spans="1:4" ht="18" customHeight="1">
      <c r="A154" s="583" t="s">
        <v>3169</v>
      </c>
      <c r="B154" s="584" t="s">
        <v>3170</v>
      </c>
      <c r="C154" s="299">
        <v>14058667.890000001</v>
      </c>
      <c r="D154" s="299">
        <v>17053356.109999999</v>
      </c>
    </row>
    <row r="155" spans="1:4" ht="18" customHeight="1">
      <c r="A155" s="583" t="s">
        <v>3171</v>
      </c>
      <c r="B155" s="584" t="s">
        <v>3172</v>
      </c>
      <c r="C155" s="299">
        <v>545686.16</v>
      </c>
      <c r="D155" s="299">
        <v>980199.49</v>
      </c>
    </row>
    <row r="156" spans="1:4" ht="18" customHeight="1">
      <c r="A156" s="583" t="s">
        <v>3173</v>
      </c>
      <c r="B156" s="584" t="s">
        <v>3174</v>
      </c>
      <c r="C156" s="299">
        <v>11027776.109999999</v>
      </c>
      <c r="D156" s="299">
        <v>13377455.560000001</v>
      </c>
    </row>
    <row r="157" spans="1:4" ht="18" customHeight="1">
      <c r="A157" s="583" t="s">
        <v>3175</v>
      </c>
      <c r="B157" s="584" t="s">
        <v>3176</v>
      </c>
      <c r="C157" s="299">
        <v>0</v>
      </c>
      <c r="D157" s="299">
        <v>0</v>
      </c>
    </row>
    <row r="158" spans="1:4" ht="18" customHeight="1">
      <c r="A158" s="583" t="s">
        <v>3177</v>
      </c>
      <c r="B158" s="584" t="s">
        <v>3178</v>
      </c>
      <c r="C158" s="299">
        <v>0</v>
      </c>
      <c r="D158" s="299">
        <v>0</v>
      </c>
    </row>
    <row r="159" spans="1:4" ht="18" customHeight="1">
      <c r="A159" s="583" t="s">
        <v>3179</v>
      </c>
      <c r="B159" s="584" t="s">
        <v>3180</v>
      </c>
      <c r="C159" s="299">
        <v>371192.12</v>
      </c>
      <c r="D159" s="299">
        <v>574034.43999999994</v>
      </c>
    </row>
    <row r="160" spans="1:4" ht="18" customHeight="1">
      <c r="A160" s="583" t="s">
        <v>3181</v>
      </c>
      <c r="B160" s="584" t="s">
        <v>3182</v>
      </c>
      <c r="C160" s="299">
        <v>2114013.5</v>
      </c>
      <c r="D160" s="299">
        <v>2121666.62</v>
      </c>
    </row>
    <row r="161" spans="1:4" ht="18" customHeight="1">
      <c r="A161" s="583" t="s">
        <v>3183</v>
      </c>
      <c r="B161" s="586"/>
      <c r="C161" s="299">
        <v>0</v>
      </c>
      <c r="D161" s="299">
        <v>0</v>
      </c>
    </row>
    <row r="162" spans="1:4" ht="18" customHeight="1">
      <c r="A162" s="583" t="s">
        <v>3184</v>
      </c>
      <c r="B162" s="584" t="s">
        <v>4122</v>
      </c>
      <c r="C162" s="299">
        <v>333026104.97000003</v>
      </c>
      <c r="D162" s="299">
        <v>28414366.670000002</v>
      </c>
    </row>
    <row r="163" spans="1:4" ht="18" customHeight="1">
      <c r="A163" s="583" t="s">
        <v>3185</v>
      </c>
      <c r="B163" s="584" t="s">
        <v>3186</v>
      </c>
      <c r="C163" s="299">
        <v>297386256.26999998</v>
      </c>
      <c r="D163" s="299">
        <v>0</v>
      </c>
    </row>
    <row r="164" spans="1:4" ht="18" customHeight="1">
      <c r="A164" s="583" t="s">
        <v>3187</v>
      </c>
      <c r="B164" s="584" t="s">
        <v>3188</v>
      </c>
      <c r="C164" s="299">
        <v>35639848.700000003</v>
      </c>
      <c r="D164" s="299">
        <v>28414366.670000002</v>
      </c>
    </row>
    <row r="165" spans="1:4" ht="18" customHeight="1">
      <c r="A165" s="583" t="s">
        <v>3189</v>
      </c>
      <c r="B165" s="586"/>
      <c r="C165" s="299">
        <v>0</v>
      </c>
      <c r="D165" s="299">
        <v>0</v>
      </c>
    </row>
    <row r="166" spans="1:4" ht="18" customHeight="1">
      <c r="A166" s="583" t="s">
        <v>3190</v>
      </c>
      <c r="B166" s="584" t="s">
        <v>3191</v>
      </c>
      <c r="C166" s="299">
        <v>938716804.63999999</v>
      </c>
      <c r="D166" s="299">
        <v>19070060</v>
      </c>
    </row>
    <row r="167" spans="1:4" ht="18" customHeight="1">
      <c r="A167" s="583" t="s">
        <v>3192</v>
      </c>
      <c r="B167" s="584" t="s">
        <v>3193</v>
      </c>
      <c r="C167" s="299">
        <v>0</v>
      </c>
      <c r="D167" s="299">
        <v>0</v>
      </c>
    </row>
    <row r="168" spans="1:4" ht="18" customHeight="1">
      <c r="A168" s="583" t="s">
        <v>3194</v>
      </c>
      <c r="B168" s="584" t="s">
        <v>3195</v>
      </c>
      <c r="C168" s="299">
        <v>0</v>
      </c>
      <c r="D168" s="299">
        <v>0</v>
      </c>
    </row>
    <row r="169" spans="1:4" ht="18" customHeight="1">
      <c r="A169" s="583" t="s">
        <v>3196</v>
      </c>
      <c r="B169" s="584" t="s">
        <v>3197</v>
      </c>
      <c r="C169" s="299">
        <v>16454371</v>
      </c>
      <c r="D169" s="299">
        <v>-3412847.26</v>
      </c>
    </row>
    <row r="170" spans="1:4" ht="18" customHeight="1">
      <c r="A170" s="583" t="s">
        <v>3198</v>
      </c>
      <c r="B170" s="584" t="s">
        <v>3199</v>
      </c>
      <c r="C170" s="299">
        <v>0</v>
      </c>
      <c r="D170" s="299">
        <v>0</v>
      </c>
    </row>
    <row r="171" spans="1:4" ht="18" customHeight="1">
      <c r="A171" s="583" t="s">
        <v>3200</v>
      </c>
      <c r="B171" s="584" t="s">
        <v>3201</v>
      </c>
      <c r="C171" s="299">
        <v>572313772</v>
      </c>
      <c r="D171" s="299">
        <v>50000000</v>
      </c>
    </row>
    <row r="172" spans="1:4" ht="18" customHeight="1">
      <c r="A172" s="583" t="s">
        <v>3202</v>
      </c>
      <c r="B172" s="584" t="s">
        <v>3203</v>
      </c>
      <c r="C172" s="299">
        <v>0</v>
      </c>
      <c r="D172" s="299">
        <v>0</v>
      </c>
    </row>
    <row r="173" spans="1:4" ht="18" customHeight="1">
      <c r="A173" s="583" t="s">
        <v>3204</v>
      </c>
      <c r="B173" s="584" t="s">
        <v>3205</v>
      </c>
      <c r="C173" s="299">
        <v>349948661.63999999</v>
      </c>
      <c r="D173" s="299">
        <v>-35158062.729999997</v>
      </c>
    </row>
    <row r="174" spans="1:4" ht="18" customHeight="1">
      <c r="A174" s="583" t="s">
        <v>3206</v>
      </c>
      <c r="B174" s="584" t="s">
        <v>3207</v>
      </c>
      <c r="C174" s="299">
        <v>0</v>
      </c>
      <c r="D174" s="299">
        <v>0</v>
      </c>
    </row>
    <row r="175" spans="1:4" ht="18" customHeight="1">
      <c r="A175" s="583" t="s">
        <v>3208</v>
      </c>
      <c r="B175" s="584" t="s">
        <v>3209</v>
      </c>
      <c r="C175" s="299">
        <v>0</v>
      </c>
      <c r="D175" s="299">
        <v>0</v>
      </c>
    </row>
    <row r="176" spans="1:4" ht="18" customHeight="1">
      <c r="A176" s="583" t="s">
        <v>3210</v>
      </c>
      <c r="B176" s="584" t="s">
        <v>3211</v>
      </c>
      <c r="C176" s="299">
        <v>0</v>
      </c>
      <c r="D176" s="299">
        <v>0</v>
      </c>
    </row>
    <row r="177" spans="1:4" ht="18" customHeight="1">
      <c r="A177" s="583" t="s">
        <v>3212</v>
      </c>
      <c r="B177" s="584" t="s">
        <v>3213</v>
      </c>
      <c r="C177" s="299">
        <v>0</v>
      </c>
      <c r="D177" s="299">
        <v>0</v>
      </c>
    </row>
    <row r="178" spans="1:4" ht="18" customHeight="1">
      <c r="A178" s="583" t="s">
        <v>3214</v>
      </c>
      <c r="B178" s="584" t="s">
        <v>3215</v>
      </c>
      <c r="C178" s="299">
        <v>0</v>
      </c>
      <c r="D178" s="299">
        <v>0</v>
      </c>
    </row>
    <row r="179" spans="1:4" ht="18" customHeight="1">
      <c r="A179" s="583" t="s">
        <v>3216</v>
      </c>
      <c r="B179" s="584" t="s">
        <v>3217</v>
      </c>
      <c r="C179" s="299">
        <v>0</v>
      </c>
      <c r="D179" s="299">
        <v>0</v>
      </c>
    </row>
    <row r="180" spans="1:4" ht="18" customHeight="1">
      <c r="A180" s="583" t="s">
        <v>3218</v>
      </c>
      <c r="B180" s="584" t="s">
        <v>3219</v>
      </c>
      <c r="C180" s="299">
        <v>0</v>
      </c>
      <c r="D180" s="299">
        <v>7640969.9900000002</v>
      </c>
    </row>
    <row r="181" spans="1:4" ht="18" customHeight="1">
      <c r="A181" s="583" t="s">
        <v>3220</v>
      </c>
      <c r="B181" s="584" t="s">
        <v>3221</v>
      </c>
      <c r="C181" s="299">
        <v>0</v>
      </c>
      <c r="D181" s="299">
        <v>0</v>
      </c>
    </row>
    <row r="182" spans="1:4" ht="18" customHeight="1">
      <c r="A182" s="583" t="s">
        <v>3222</v>
      </c>
      <c r="B182" s="584" t="s">
        <v>3223</v>
      </c>
      <c r="C182" s="299">
        <v>0</v>
      </c>
      <c r="D182" s="299">
        <v>0</v>
      </c>
    </row>
    <row r="183" spans="1:4" ht="18" customHeight="1">
      <c r="A183" s="583" t="s">
        <v>3224</v>
      </c>
      <c r="B183" s="586"/>
      <c r="C183" s="299">
        <v>0</v>
      </c>
      <c r="D183" s="299">
        <v>0</v>
      </c>
    </row>
    <row r="184" spans="1:4" ht="18" customHeight="1">
      <c r="A184" s="583" t="s">
        <v>3225</v>
      </c>
      <c r="B184" s="584" t="s">
        <v>3226</v>
      </c>
      <c r="C184" s="299">
        <v>3445280460.5999999</v>
      </c>
      <c r="D184" s="299">
        <v>4115767664.8800001</v>
      </c>
    </row>
    <row r="185" spans="1:4" ht="18" customHeight="1">
      <c r="A185" s="583" t="s">
        <v>3227</v>
      </c>
      <c r="B185" s="586"/>
      <c r="C185" s="299">
        <v>0</v>
      </c>
      <c r="D185" s="299">
        <v>0</v>
      </c>
    </row>
    <row r="186" spans="1:4" ht="18" customHeight="1">
      <c r="A186" s="583" t="s">
        <v>3228</v>
      </c>
      <c r="B186" s="584" t="s">
        <v>3229</v>
      </c>
      <c r="C186" s="299">
        <v>43126386.969999999</v>
      </c>
      <c r="D186" s="299">
        <v>-20005376.760000002</v>
      </c>
    </row>
    <row r="187" spans="1:4" ht="18" customHeight="1">
      <c r="A187" s="583" t="s">
        <v>3230</v>
      </c>
      <c r="B187" s="584" t="s">
        <v>3231</v>
      </c>
      <c r="C187" s="299">
        <v>603234.25</v>
      </c>
      <c r="D187" s="299">
        <v>71073.58</v>
      </c>
    </row>
    <row r="188" spans="1:4" ht="18" customHeight="1">
      <c r="A188" s="583" t="s">
        <v>3232</v>
      </c>
      <c r="B188" s="584" t="s">
        <v>3233</v>
      </c>
      <c r="C188" s="299">
        <v>0</v>
      </c>
      <c r="D188" s="299">
        <v>6269649.5899999999</v>
      </c>
    </row>
    <row r="189" spans="1:4" ht="18" customHeight="1">
      <c r="A189" s="583" t="s">
        <v>3234</v>
      </c>
      <c r="B189" s="584" t="s">
        <v>3235</v>
      </c>
      <c r="C189" s="299">
        <v>5088</v>
      </c>
      <c r="D189" s="299">
        <v>4089</v>
      </c>
    </row>
    <row r="190" spans="1:4" ht="18" customHeight="1">
      <c r="A190" s="583" t="s">
        <v>3236</v>
      </c>
      <c r="B190" s="584" t="s">
        <v>3237</v>
      </c>
      <c r="C190" s="299">
        <v>2166259.91</v>
      </c>
      <c r="D190" s="299">
        <v>1915551.54</v>
      </c>
    </row>
    <row r="191" spans="1:4" ht="18" customHeight="1">
      <c r="A191" s="583" t="s">
        <v>3238</v>
      </c>
      <c r="B191" s="584" t="s">
        <v>3239</v>
      </c>
      <c r="C191" s="299">
        <v>0</v>
      </c>
      <c r="D191" s="299">
        <v>0</v>
      </c>
    </row>
    <row r="192" spans="1:4" ht="18" customHeight="1">
      <c r="A192" s="583" t="s">
        <v>3240</v>
      </c>
      <c r="B192" s="584" t="s">
        <v>3241</v>
      </c>
      <c r="C192" s="299">
        <v>0</v>
      </c>
      <c r="D192" s="299">
        <v>0</v>
      </c>
    </row>
    <row r="193" spans="1:4" ht="18" customHeight="1">
      <c r="A193" s="583" t="s">
        <v>3242</v>
      </c>
      <c r="B193" s="584" t="s">
        <v>3243</v>
      </c>
      <c r="C193" s="299">
        <v>0</v>
      </c>
      <c r="D193" s="299">
        <v>0</v>
      </c>
    </row>
    <row r="194" spans="1:4" ht="18" customHeight="1">
      <c r="A194" s="583" t="s">
        <v>3244</v>
      </c>
      <c r="B194" s="584" t="s">
        <v>3245</v>
      </c>
      <c r="C194" s="299">
        <v>0</v>
      </c>
      <c r="D194" s="299">
        <v>19423.68</v>
      </c>
    </row>
    <row r="195" spans="1:4" ht="18" customHeight="1">
      <c r="A195" s="583" t="s">
        <v>3246</v>
      </c>
      <c r="B195" s="584" t="s">
        <v>3247</v>
      </c>
      <c r="C195" s="299">
        <v>40351804.810000002</v>
      </c>
      <c r="D195" s="299">
        <v>-28285164.149999999</v>
      </c>
    </row>
    <row r="196" spans="1:4" ht="18" customHeight="1">
      <c r="A196" s="583" t="s">
        <v>3248</v>
      </c>
      <c r="B196" s="584"/>
      <c r="C196" s="299">
        <v>0</v>
      </c>
      <c r="D196" s="299">
        <v>0</v>
      </c>
    </row>
    <row r="197" spans="1:4" ht="18" customHeight="1">
      <c r="A197" s="583" t="s">
        <v>3249</v>
      </c>
      <c r="B197" s="584" t="s">
        <v>3250</v>
      </c>
      <c r="C197" s="299">
        <v>1289295.31</v>
      </c>
      <c r="D197" s="299">
        <v>47492428.149999999</v>
      </c>
    </row>
    <row r="198" spans="1:4" ht="18" customHeight="1">
      <c r="A198" s="583" t="s">
        <v>3251</v>
      </c>
      <c r="B198" s="584" t="s">
        <v>3252</v>
      </c>
      <c r="C198" s="299">
        <v>0</v>
      </c>
      <c r="D198" s="299">
        <v>39542955</v>
      </c>
    </row>
    <row r="199" spans="1:4" ht="18" customHeight="1">
      <c r="A199" s="583" t="s">
        <v>3253</v>
      </c>
      <c r="B199" s="584" t="s">
        <v>3254</v>
      </c>
      <c r="C199" s="299">
        <v>0</v>
      </c>
      <c r="D199" s="299">
        <v>0</v>
      </c>
    </row>
    <row r="200" spans="1:4" ht="18" customHeight="1">
      <c r="A200" s="583" t="s">
        <v>3255</v>
      </c>
      <c r="B200" s="584" t="s">
        <v>3256</v>
      </c>
      <c r="C200" s="299">
        <v>588416.92000000004</v>
      </c>
      <c r="D200" s="299">
        <v>1350152.21</v>
      </c>
    </row>
    <row r="201" spans="1:4" ht="18" customHeight="1">
      <c r="A201" s="583" t="s">
        <v>3257</v>
      </c>
      <c r="B201" s="584" t="s">
        <v>3258</v>
      </c>
      <c r="C201" s="299">
        <v>0</v>
      </c>
      <c r="D201" s="299">
        <v>0</v>
      </c>
    </row>
    <row r="202" spans="1:4" ht="18" customHeight="1">
      <c r="A202" s="583" t="s">
        <v>3259</v>
      </c>
      <c r="B202" s="584" t="s">
        <v>3260</v>
      </c>
      <c r="C202" s="299">
        <v>0</v>
      </c>
      <c r="D202" s="299">
        <v>500000</v>
      </c>
    </row>
    <row r="203" spans="1:4" ht="18" customHeight="1">
      <c r="A203" s="583" t="s">
        <v>3261</v>
      </c>
      <c r="B203" s="584" t="s">
        <v>3262</v>
      </c>
      <c r="C203" s="299">
        <v>4389.1899999999996</v>
      </c>
      <c r="D203" s="299">
        <v>0</v>
      </c>
    </row>
    <row r="204" spans="1:4" ht="18" customHeight="1">
      <c r="A204" s="583" t="s">
        <v>3263</v>
      </c>
      <c r="B204" s="584" t="s">
        <v>3264</v>
      </c>
      <c r="C204" s="299">
        <v>0</v>
      </c>
      <c r="D204" s="299">
        <v>0</v>
      </c>
    </row>
    <row r="205" spans="1:4" ht="18" customHeight="1">
      <c r="A205" s="583" t="s">
        <v>3265</v>
      </c>
      <c r="B205" s="584" t="s">
        <v>3266</v>
      </c>
      <c r="C205" s="299">
        <v>0</v>
      </c>
      <c r="D205" s="299">
        <v>3425300</v>
      </c>
    </row>
    <row r="206" spans="1:4" ht="18" customHeight="1">
      <c r="A206" s="583" t="s">
        <v>3267</v>
      </c>
      <c r="B206" s="584" t="s">
        <v>3268</v>
      </c>
      <c r="C206" s="299">
        <v>696489.2</v>
      </c>
      <c r="D206" s="299">
        <v>2674020.94</v>
      </c>
    </row>
    <row r="207" spans="1:4" ht="18" customHeight="1">
      <c r="A207" s="583" t="s">
        <v>3269</v>
      </c>
      <c r="B207" s="584" t="s">
        <v>3270</v>
      </c>
      <c r="C207" s="299">
        <v>0</v>
      </c>
      <c r="D207" s="299">
        <v>0</v>
      </c>
    </row>
    <row r="208" spans="1:4" ht="18" customHeight="1">
      <c r="A208" s="583" t="s">
        <v>3271</v>
      </c>
      <c r="B208" s="584" t="s">
        <v>3272</v>
      </c>
      <c r="C208" s="299">
        <v>3487117552.2600002</v>
      </c>
      <c r="D208" s="299">
        <v>4048269859.9699998</v>
      </c>
    </row>
    <row r="209" spans="1:4" ht="18" customHeight="1">
      <c r="A209" s="583" t="s">
        <v>3273</v>
      </c>
      <c r="B209" s="586"/>
      <c r="C209" s="299">
        <v>0</v>
      </c>
      <c r="D209" s="299">
        <v>0</v>
      </c>
    </row>
    <row r="210" spans="1:4" ht="18" customHeight="1">
      <c r="A210" s="583" t="s">
        <v>3274</v>
      </c>
      <c r="B210" s="584" t="s">
        <v>3275</v>
      </c>
      <c r="C210" s="299">
        <v>670981236.14999998</v>
      </c>
      <c r="D210" s="299">
        <v>983246930.98000002</v>
      </c>
    </row>
    <row r="211" spans="1:4" ht="18" customHeight="1">
      <c r="A211" s="583" t="s">
        <v>3276</v>
      </c>
      <c r="B211" s="584" t="s">
        <v>3277</v>
      </c>
      <c r="C211" s="299">
        <v>670981236.14999998</v>
      </c>
      <c r="D211" s="299">
        <v>983246930.98000002</v>
      </c>
    </row>
    <row r="212" spans="1:4" ht="18" customHeight="1">
      <c r="A212" s="583" t="s">
        <v>3278</v>
      </c>
      <c r="B212" s="584" t="s">
        <v>3279</v>
      </c>
      <c r="C212" s="299">
        <v>0</v>
      </c>
      <c r="D212" s="299">
        <v>0</v>
      </c>
    </row>
    <row r="213" spans="1:4" ht="18" customHeight="1">
      <c r="A213" s="583" t="s">
        <v>3280</v>
      </c>
      <c r="B213" s="586"/>
      <c r="C213" s="299">
        <v>0</v>
      </c>
      <c r="D213" s="299">
        <v>0</v>
      </c>
    </row>
    <row r="214" spans="1:4" ht="18" customHeight="1">
      <c r="A214" s="583" t="s">
        <v>3281</v>
      </c>
      <c r="B214" s="584" t="s">
        <v>3282</v>
      </c>
      <c r="C214" s="299">
        <v>2816136316.1100001</v>
      </c>
      <c r="D214" s="299">
        <v>3065022928.9899998</v>
      </c>
    </row>
    <row r="215" spans="1:4" ht="18" customHeight="1">
      <c r="A215" s="583" t="s">
        <v>3283</v>
      </c>
      <c r="B215" s="584"/>
      <c r="C215" s="299"/>
      <c r="D215" s="299"/>
    </row>
    <row r="216" spans="1:4" ht="18" customHeight="1">
      <c r="A216" s="588" t="s">
        <v>3284</v>
      </c>
      <c r="B216" s="584" t="s">
        <v>3285</v>
      </c>
      <c r="C216" s="299">
        <v>-142458441.24000001</v>
      </c>
      <c r="D216" s="299">
        <v>-139510305.37</v>
      </c>
    </row>
    <row r="217" spans="1:4" ht="18" customHeight="1">
      <c r="A217" s="583" t="s">
        <v>3286</v>
      </c>
      <c r="B217" s="584"/>
      <c r="C217" s="299"/>
      <c r="D217" s="299"/>
    </row>
    <row r="218" spans="1:4" ht="18" customHeight="1">
      <c r="A218" s="583" t="s">
        <v>3287</v>
      </c>
      <c r="B218" s="584" t="s">
        <v>3288</v>
      </c>
      <c r="C218" s="299">
        <v>2673677874.8699999</v>
      </c>
      <c r="D218" s="299">
        <v>2925512623.6199999</v>
      </c>
    </row>
  </sheetData>
  <mergeCells count="2">
    <mergeCell ref="A1:D1"/>
    <mergeCell ref="C2:D2"/>
  </mergeCells>
  <phoneticPr fontId="1" type="noConversion"/>
  <pageMargins left="0.75" right="0.75" top="1" bottom="1" header="0.5" footer="0.5"/>
  <pageSetup orientation="portrait" horizontalDpi="300" verticalDpi="300" copies="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3.5"/>
  <cols>
    <col min="1" max="1" width="29.25" bestFit="1" customWidth="1"/>
    <col min="2" max="2" width="27.875" customWidth="1"/>
  </cols>
  <sheetData>
    <row r="1" spans="1:2" s="512" customFormat="1">
      <c r="A1" s="514" t="s">
        <v>3518</v>
      </c>
    </row>
    <row r="2" spans="1:2">
      <c r="A2" s="514" t="s">
        <v>3516</v>
      </c>
      <c r="B2" s="514" t="s">
        <v>3519</v>
      </c>
    </row>
    <row r="3" spans="1:2">
      <c r="A3" s="514" t="s">
        <v>3517</v>
      </c>
      <c r="B3" s="514" t="s">
        <v>3520</v>
      </c>
    </row>
    <row r="4" spans="1:2">
      <c r="A4" s="514" t="s">
        <v>3521</v>
      </c>
      <c r="B4" s="514" t="s">
        <v>3522</v>
      </c>
    </row>
    <row r="6" spans="1:2">
      <c r="A6" s="514" t="s">
        <v>3523</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4"/>
  <sheetViews>
    <sheetView workbookViewId="0">
      <selection activeCell="D6" sqref="D6:D14"/>
    </sheetView>
  </sheetViews>
  <sheetFormatPr defaultColWidth="9" defaultRowHeight="11.25"/>
  <cols>
    <col min="1" max="2" width="3.625" style="296" customWidth="1"/>
    <col min="3" max="3" width="17.875" style="296" bestFit="1" customWidth="1"/>
    <col min="4" max="4" width="22.875" style="296" bestFit="1" customWidth="1"/>
    <col min="5" max="5" width="24.625" style="296" hidden="1" customWidth="1"/>
    <col min="6" max="6" width="28" style="296" hidden="1" customWidth="1"/>
    <col min="7" max="7" width="32" style="296" bestFit="1" customWidth="1"/>
    <col min="8" max="8" width="10.5" style="296" bestFit="1" customWidth="1"/>
    <col min="9" max="9" width="15.875" style="296" bestFit="1" customWidth="1"/>
    <col min="10" max="10" width="16.375" style="296" bestFit="1" customWidth="1"/>
    <col min="11" max="11" width="15.875" style="296" bestFit="1" customWidth="1"/>
    <col min="12" max="12" width="15" style="296" bestFit="1" customWidth="1"/>
    <col min="13" max="13" width="14.375" style="296" bestFit="1" customWidth="1"/>
    <col min="14" max="14" width="8.125" style="296" bestFit="1" customWidth="1"/>
    <col min="15" max="15" width="9.375" style="296" bestFit="1" customWidth="1"/>
    <col min="16" max="16" width="13" style="296" bestFit="1" customWidth="1"/>
    <col min="17" max="17" width="14.25" style="296" bestFit="1" customWidth="1"/>
    <col min="18" max="18" width="6.625" style="296" customWidth="1"/>
    <col min="19" max="19" width="13.375" style="296" bestFit="1" customWidth="1"/>
    <col min="20" max="20" width="6.125" style="296" customWidth="1"/>
    <col min="21" max="21" width="12.75" style="296" bestFit="1" customWidth="1"/>
    <col min="22" max="22" width="6.125" style="296" customWidth="1"/>
    <col min="23" max="23" width="12" style="296" bestFit="1" customWidth="1"/>
    <col min="24" max="24" width="6.625" style="296" customWidth="1"/>
    <col min="25" max="25" width="13.375" style="296" bestFit="1" customWidth="1"/>
    <col min="26" max="26" width="6.625" style="296" customWidth="1"/>
    <col min="27" max="27" width="13.375" style="296" bestFit="1" customWidth="1"/>
    <col min="28" max="29" width="6.125" style="296" customWidth="1"/>
    <col min="30" max="30" width="6.625" style="296" customWidth="1"/>
    <col min="31" max="31" width="12.5" style="296" bestFit="1" customWidth="1"/>
    <col min="32" max="33" width="10" style="296" customWidth="1"/>
    <col min="34" max="34" width="6.875" style="296" customWidth="1"/>
    <col min="35" max="35" width="13.125" style="296" customWidth="1"/>
    <col min="36" max="36" width="5" style="296" customWidth="1"/>
    <col min="37" max="37" width="10.375" style="296" bestFit="1" customWidth="1"/>
    <col min="38" max="38" width="8.125" style="296" bestFit="1" customWidth="1"/>
    <col min="39" max="39" width="9.375" style="296" bestFit="1" customWidth="1"/>
    <col min="40" max="40" width="13" style="296" bestFit="1" customWidth="1"/>
    <col min="41" max="41" width="14.25" style="296" bestFit="1" customWidth="1"/>
    <col min="42" max="16384" width="9" style="296"/>
  </cols>
  <sheetData>
    <row r="1" spans="1:41" ht="15" customHeight="1">
      <c r="A1" s="934" t="s">
        <v>2619</v>
      </c>
      <c r="B1" s="934"/>
      <c r="C1" s="934"/>
      <c r="D1" s="934"/>
      <c r="E1" s="934"/>
      <c r="F1" s="934"/>
      <c r="G1" s="934"/>
      <c r="H1" s="934"/>
      <c r="I1" s="934"/>
      <c r="J1" s="934"/>
      <c r="K1" s="934"/>
      <c r="L1" s="934"/>
      <c r="M1" s="934"/>
      <c r="N1" s="934"/>
      <c r="O1" s="934"/>
      <c r="P1" s="934"/>
      <c r="Q1" s="934"/>
      <c r="R1" s="934"/>
      <c r="S1" s="934"/>
      <c r="T1" s="934"/>
      <c r="U1" s="934"/>
      <c r="V1" s="934"/>
      <c r="W1" s="934"/>
      <c r="X1" s="934"/>
      <c r="Y1" s="934"/>
      <c r="Z1" s="934"/>
      <c r="AA1" s="934"/>
      <c r="AB1" s="934"/>
      <c r="AC1" s="934"/>
      <c r="AD1" s="934"/>
      <c r="AE1" s="934"/>
      <c r="AF1" s="934"/>
      <c r="AG1" s="934"/>
      <c r="AH1" s="934"/>
      <c r="AI1" s="934"/>
      <c r="AJ1" s="934"/>
      <c r="AK1" s="934"/>
      <c r="AL1" s="934"/>
      <c r="AM1" s="934"/>
      <c r="AN1" s="934"/>
      <c r="AO1" s="934"/>
    </row>
    <row r="2" spans="1:41" ht="15">
      <c r="A2" s="934"/>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c r="AN2" s="934"/>
      <c r="AO2" s="934"/>
    </row>
    <row r="3" spans="1:41" ht="12.75" thickBot="1">
      <c r="A3" s="935" t="s">
        <v>3944</v>
      </c>
      <c r="B3" s="935"/>
      <c r="C3" s="935"/>
      <c r="D3" s="935"/>
      <c r="E3" s="935"/>
      <c r="F3" s="935"/>
      <c r="G3" s="935"/>
      <c r="H3" s="935"/>
      <c r="I3" s="935"/>
      <c r="J3" s="935"/>
      <c r="K3" s="935"/>
      <c r="L3" s="935"/>
      <c r="M3" s="935"/>
      <c r="N3" s="935"/>
      <c r="O3" s="935"/>
      <c r="P3" s="935"/>
      <c r="Q3" s="935"/>
      <c r="R3" s="935"/>
      <c r="S3" s="935"/>
      <c r="T3" s="935"/>
      <c r="U3" s="935"/>
      <c r="V3" s="935"/>
      <c r="W3" s="935"/>
      <c r="X3" s="935"/>
      <c r="Y3" s="935"/>
      <c r="Z3" s="935"/>
      <c r="AA3" s="935"/>
      <c r="AB3" s="935"/>
      <c r="AC3" s="935"/>
      <c r="AD3" s="935"/>
      <c r="AE3" s="935"/>
      <c r="AF3" s="935"/>
      <c r="AG3" s="935"/>
      <c r="AH3" s="935"/>
      <c r="AI3" s="935"/>
      <c r="AJ3" s="935"/>
      <c r="AK3" s="935"/>
      <c r="AL3" s="935"/>
      <c r="AM3" s="935"/>
      <c r="AN3" s="935"/>
      <c r="AO3" s="935"/>
    </row>
    <row r="4" spans="1:41" ht="13.5" thickBot="1">
      <c r="A4" s="929" t="s">
        <v>2620</v>
      </c>
      <c r="B4" s="931"/>
      <c r="C4" s="931"/>
      <c r="D4" s="931"/>
      <c r="E4" s="931"/>
      <c r="F4" s="931"/>
      <c r="G4" s="931"/>
      <c r="H4" s="930"/>
      <c r="I4" s="929" t="s">
        <v>3391</v>
      </c>
      <c r="J4" s="930"/>
      <c r="K4" s="929" t="s">
        <v>3392</v>
      </c>
      <c r="L4" s="931"/>
      <c r="M4" s="930"/>
      <c r="N4" s="929" t="s">
        <v>2621</v>
      </c>
      <c r="O4" s="931"/>
      <c r="P4" s="931"/>
      <c r="Q4" s="930"/>
      <c r="R4" s="929" t="s">
        <v>2622</v>
      </c>
      <c r="S4" s="930"/>
      <c r="T4" s="929" t="s">
        <v>2623</v>
      </c>
      <c r="U4" s="930"/>
      <c r="V4" s="929" t="s">
        <v>2624</v>
      </c>
      <c r="W4" s="930"/>
      <c r="X4" s="929" t="s">
        <v>2625</v>
      </c>
      <c r="Y4" s="930"/>
      <c r="Z4" s="929" t="s">
        <v>2626</v>
      </c>
      <c r="AA4" s="930"/>
      <c r="AB4" s="929" t="s">
        <v>2627</v>
      </c>
      <c r="AC4" s="930"/>
      <c r="AD4" s="929" t="s">
        <v>2628</v>
      </c>
      <c r="AE4" s="930"/>
      <c r="AF4" s="929" t="s">
        <v>2629</v>
      </c>
      <c r="AG4" s="930"/>
      <c r="AH4" s="929" t="s">
        <v>2630</v>
      </c>
      <c r="AI4" s="930"/>
      <c r="AJ4" s="932" t="s">
        <v>2631</v>
      </c>
      <c r="AK4" s="933"/>
      <c r="AL4" s="929" t="s">
        <v>2632</v>
      </c>
      <c r="AM4" s="931"/>
      <c r="AN4" s="931"/>
      <c r="AO4" s="930"/>
    </row>
    <row r="5" spans="1:41" ht="13.5" thickBot="1">
      <c r="A5" s="494" t="s">
        <v>220</v>
      </c>
      <c r="B5" s="494" t="s">
        <v>221</v>
      </c>
      <c r="C5" s="494" t="s">
        <v>222</v>
      </c>
      <c r="D5" s="494" t="s">
        <v>223</v>
      </c>
      <c r="E5" s="494" t="s">
        <v>224</v>
      </c>
      <c r="F5" s="494" t="s">
        <v>225</v>
      </c>
      <c r="G5" s="494" t="s">
        <v>226</v>
      </c>
      <c r="H5" s="494" t="s">
        <v>2633</v>
      </c>
      <c r="I5" s="495" t="s">
        <v>3322</v>
      </c>
      <c r="J5" s="495" t="s">
        <v>3393</v>
      </c>
      <c r="K5" s="496" t="s">
        <v>128</v>
      </c>
      <c r="L5" s="495" t="s">
        <v>3394</v>
      </c>
      <c r="M5" s="495" t="s">
        <v>3395</v>
      </c>
      <c r="N5" s="495" t="s">
        <v>2634</v>
      </c>
      <c r="O5" s="495" t="s">
        <v>2635</v>
      </c>
      <c r="P5" s="495" t="s">
        <v>2636</v>
      </c>
      <c r="Q5" s="495" t="s">
        <v>2637</v>
      </c>
      <c r="R5" s="495" t="s">
        <v>2638</v>
      </c>
      <c r="S5" s="495" t="s">
        <v>2639</v>
      </c>
      <c r="T5" s="495" t="s">
        <v>2638</v>
      </c>
      <c r="U5" s="495" t="s">
        <v>2639</v>
      </c>
      <c r="V5" s="496" t="s">
        <v>2638</v>
      </c>
      <c r="W5" s="495" t="s">
        <v>2639</v>
      </c>
      <c r="X5" s="495" t="s">
        <v>2638</v>
      </c>
      <c r="Y5" s="495" t="s">
        <v>2639</v>
      </c>
      <c r="Z5" s="495" t="s">
        <v>2638</v>
      </c>
      <c r="AA5" s="495" t="s">
        <v>2639</v>
      </c>
      <c r="AB5" s="495" t="s">
        <v>2638</v>
      </c>
      <c r="AC5" s="495" t="s">
        <v>2639</v>
      </c>
      <c r="AD5" s="495" t="s">
        <v>2638</v>
      </c>
      <c r="AE5" s="495" t="s">
        <v>2639</v>
      </c>
      <c r="AF5" s="495" t="s">
        <v>2638</v>
      </c>
      <c r="AG5" s="496" t="s">
        <v>2639</v>
      </c>
      <c r="AH5" s="495" t="s">
        <v>2638</v>
      </c>
      <c r="AI5" s="495" t="s">
        <v>2639</v>
      </c>
      <c r="AJ5" s="495" t="s">
        <v>2638</v>
      </c>
      <c r="AK5" s="495" t="s">
        <v>2639</v>
      </c>
      <c r="AL5" s="495" t="s">
        <v>2634</v>
      </c>
      <c r="AM5" s="495" t="s">
        <v>2635</v>
      </c>
      <c r="AN5" s="495" t="s">
        <v>2636</v>
      </c>
      <c r="AO5" s="497" t="s">
        <v>2637</v>
      </c>
    </row>
    <row r="6" spans="1:41" ht="12" thickBot="1">
      <c r="A6" s="917" t="s">
        <v>139</v>
      </c>
      <c r="B6" s="917" t="s">
        <v>217</v>
      </c>
      <c r="C6" s="917" t="s">
        <v>230</v>
      </c>
      <c r="D6" s="917" t="s">
        <v>230</v>
      </c>
      <c r="E6" s="917" t="s">
        <v>231</v>
      </c>
      <c r="F6" s="917" t="s">
        <v>231</v>
      </c>
      <c r="G6" s="600" t="s">
        <v>231</v>
      </c>
      <c r="H6" s="601">
        <v>170001</v>
      </c>
      <c r="I6" s="602">
        <v>32253560800.856602</v>
      </c>
      <c r="J6" s="602">
        <v>0.29261894841088998</v>
      </c>
      <c r="K6" s="602">
        <v>34415622980.9049</v>
      </c>
      <c r="L6" s="602">
        <v>33668307.814484</v>
      </c>
      <c r="M6" s="498">
        <v>0.29591117654145999</v>
      </c>
      <c r="N6" s="602">
        <v>3.1989232014942601</v>
      </c>
      <c r="O6" s="602">
        <v>2.90301202495281</v>
      </c>
      <c r="P6" s="498">
        <v>363968445.80729699</v>
      </c>
      <c r="Q6" s="602">
        <v>330300137.992814</v>
      </c>
      <c r="R6" s="602">
        <v>-0.22733843611453899</v>
      </c>
      <c r="S6" s="602">
        <v>-25866209.362644099</v>
      </c>
      <c r="T6" s="602">
        <v>0</v>
      </c>
      <c r="U6" s="602">
        <v>0</v>
      </c>
      <c r="V6" s="602">
        <v>3.4125435161609999E-3</v>
      </c>
      <c r="W6" s="602">
        <v>388273.82890800002</v>
      </c>
      <c r="X6" s="602">
        <v>0</v>
      </c>
      <c r="Y6" s="602">
        <v>0</v>
      </c>
      <c r="Z6" s="602">
        <v>0</v>
      </c>
      <c r="AA6" s="602">
        <v>0</v>
      </c>
      <c r="AB6" s="602">
        <v>0</v>
      </c>
      <c r="AC6" s="602">
        <v>0</v>
      </c>
      <c r="AD6" s="602">
        <v>0</v>
      </c>
      <c r="AE6" s="602">
        <v>0</v>
      </c>
      <c r="AF6" s="602">
        <v>0</v>
      </c>
      <c r="AG6" s="602">
        <v>0</v>
      </c>
      <c r="AH6" s="602">
        <v>0</v>
      </c>
      <c r="AI6" s="602">
        <v>0</v>
      </c>
      <c r="AJ6" s="498">
        <v>0</v>
      </c>
      <c r="AK6" s="498">
        <v>0</v>
      </c>
      <c r="AL6" s="602">
        <v>2.9749973087970001</v>
      </c>
      <c r="AM6" s="602">
        <v>2.6790861322555202</v>
      </c>
      <c r="AN6" s="498">
        <v>338490510.26231003</v>
      </c>
      <c r="AO6" s="603">
        <v>304822202.447824</v>
      </c>
    </row>
    <row r="7" spans="1:41" ht="12" thickBot="1">
      <c r="A7" s="918"/>
      <c r="B7" s="918"/>
      <c r="C7" s="918"/>
      <c r="D7" s="918"/>
      <c r="E7" s="919"/>
      <c r="F7" s="919"/>
      <c r="G7" s="600" t="s">
        <v>3511</v>
      </c>
      <c r="H7" s="601">
        <v>170002</v>
      </c>
      <c r="I7" s="602">
        <v>25788672.242051002</v>
      </c>
      <c r="J7" s="602">
        <v>2.5706616544774299</v>
      </c>
      <c r="K7" s="602">
        <v>35279163.491548002</v>
      </c>
      <c r="L7" s="602">
        <v>231202.17016899999</v>
      </c>
      <c r="M7" s="498">
        <v>1.9822998237623899</v>
      </c>
      <c r="N7" s="602">
        <v>1.9706665919391</v>
      </c>
      <c r="O7" s="602">
        <v>-1.1633231823266E-2</v>
      </c>
      <c r="P7" s="498">
        <v>229845.347951</v>
      </c>
      <c r="Q7" s="602">
        <v>-1356.82221799999</v>
      </c>
      <c r="R7" s="602">
        <v>-0.119370551214105</v>
      </c>
      <c r="S7" s="602">
        <v>-13922.581319000001</v>
      </c>
      <c r="T7" s="602">
        <v>0</v>
      </c>
      <c r="U7" s="602">
        <v>0</v>
      </c>
      <c r="V7" s="602">
        <v>0</v>
      </c>
      <c r="W7" s="602">
        <v>0</v>
      </c>
      <c r="X7" s="602">
        <v>0</v>
      </c>
      <c r="Y7" s="602">
        <v>0</v>
      </c>
      <c r="Z7" s="602">
        <v>0</v>
      </c>
      <c r="AA7" s="602">
        <v>0</v>
      </c>
      <c r="AB7" s="602">
        <v>0</v>
      </c>
      <c r="AC7" s="602">
        <v>0</v>
      </c>
      <c r="AD7" s="602">
        <v>0</v>
      </c>
      <c r="AE7" s="602">
        <v>0</v>
      </c>
      <c r="AF7" s="602">
        <v>0</v>
      </c>
      <c r="AG7" s="602">
        <v>0</v>
      </c>
      <c r="AH7" s="602">
        <v>0</v>
      </c>
      <c r="AI7" s="602">
        <v>0</v>
      </c>
      <c r="AJ7" s="498">
        <v>0</v>
      </c>
      <c r="AK7" s="498">
        <v>0</v>
      </c>
      <c r="AL7" s="602">
        <v>1.8512960406649801</v>
      </c>
      <c r="AM7" s="602">
        <v>-0.131003783097389</v>
      </c>
      <c r="AN7" s="498">
        <v>215922.76662499999</v>
      </c>
      <c r="AO7" s="603">
        <v>-15279.403544000001</v>
      </c>
    </row>
    <row r="8" spans="1:41" ht="12" thickBot="1">
      <c r="A8" s="918"/>
      <c r="B8" s="918"/>
      <c r="C8" s="918"/>
      <c r="D8" s="918"/>
      <c r="E8" s="917" t="s">
        <v>232</v>
      </c>
      <c r="F8" s="600" t="s">
        <v>233</v>
      </c>
      <c r="G8" s="600" t="s">
        <v>233</v>
      </c>
      <c r="H8" s="601">
        <v>170011</v>
      </c>
      <c r="I8" s="602">
        <v>5232497841.5</v>
      </c>
      <c r="J8" s="602">
        <v>0.71654112147386795</v>
      </c>
      <c r="K8" s="602">
        <v>5472290204.2254601</v>
      </c>
      <c r="L8" s="602">
        <v>13770477.92</v>
      </c>
      <c r="M8" s="498">
        <v>0.76115938690114304</v>
      </c>
      <c r="N8" s="602">
        <v>3.2566909617453201</v>
      </c>
      <c r="O8" s="602">
        <v>2.4955315748441702</v>
      </c>
      <c r="P8" s="498">
        <v>58918265.678305</v>
      </c>
      <c r="Q8" s="602">
        <v>45147787.758304998</v>
      </c>
      <c r="R8" s="602">
        <v>-0.23536753603207</v>
      </c>
      <c r="S8" s="602">
        <v>-4258140.2972769998</v>
      </c>
      <c r="T8" s="602">
        <v>0</v>
      </c>
      <c r="U8" s="602">
        <v>0</v>
      </c>
      <c r="V8" s="602">
        <v>6.4768838422E-5</v>
      </c>
      <c r="W8" s="602">
        <v>1171.762281</v>
      </c>
      <c r="X8" s="602">
        <v>0</v>
      </c>
      <c r="Y8" s="602">
        <v>0</v>
      </c>
      <c r="Z8" s="602">
        <v>0</v>
      </c>
      <c r="AA8" s="602">
        <v>0</v>
      </c>
      <c r="AB8" s="602">
        <v>0</v>
      </c>
      <c r="AC8" s="602">
        <v>0</v>
      </c>
      <c r="AD8" s="602">
        <v>0</v>
      </c>
      <c r="AE8" s="602">
        <v>0</v>
      </c>
      <c r="AF8" s="602">
        <v>0</v>
      </c>
      <c r="AG8" s="602">
        <v>0</v>
      </c>
      <c r="AH8" s="602">
        <v>0</v>
      </c>
      <c r="AI8" s="602">
        <v>0</v>
      </c>
      <c r="AJ8" s="498">
        <v>0</v>
      </c>
      <c r="AK8" s="498">
        <v>0</v>
      </c>
      <c r="AL8" s="602">
        <v>3.0213881945447598</v>
      </c>
      <c r="AM8" s="602">
        <v>2.2602288076436099</v>
      </c>
      <c r="AN8" s="498">
        <v>54661297.143183999</v>
      </c>
      <c r="AO8" s="603">
        <v>40890819.223183997</v>
      </c>
    </row>
    <row r="9" spans="1:41" ht="12" thickBot="1">
      <c r="A9" s="918"/>
      <c r="B9" s="918"/>
      <c r="C9" s="918"/>
      <c r="D9" s="918"/>
      <c r="E9" s="918"/>
      <c r="F9" s="600" t="s">
        <v>234</v>
      </c>
      <c r="G9" s="600" t="s">
        <v>234</v>
      </c>
      <c r="H9" s="601">
        <v>170012</v>
      </c>
      <c r="I9" s="602">
        <v>210012.87</v>
      </c>
      <c r="J9" s="602">
        <v>0.3</v>
      </c>
      <c r="K9" s="602">
        <v>14327.367437999999</v>
      </c>
      <c r="L9" s="602">
        <v>14.45</v>
      </c>
      <c r="M9" s="498">
        <v>0.305068357128079</v>
      </c>
      <c r="N9" s="602">
        <v>3.2300303871861602</v>
      </c>
      <c r="O9" s="602">
        <v>2.9249620300598398</v>
      </c>
      <c r="P9" s="498">
        <v>152.99501900000001</v>
      </c>
      <c r="Q9" s="602">
        <v>138.545019</v>
      </c>
      <c r="R9" s="602">
        <v>-0.23098152489033</v>
      </c>
      <c r="S9" s="602">
        <v>-10.940771</v>
      </c>
      <c r="T9" s="602">
        <v>0</v>
      </c>
      <c r="U9" s="602">
        <v>0</v>
      </c>
      <c r="V9" s="602">
        <v>0</v>
      </c>
      <c r="W9" s="602">
        <v>0</v>
      </c>
      <c r="X9" s="602">
        <v>0</v>
      </c>
      <c r="Y9" s="602">
        <v>0</v>
      </c>
      <c r="Z9" s="602">
        <v>0</v>
      </c>
      <c r="AA9" s="602">
        <v>0</v>
      </c>
      <c r="AB9" s="602">
        <v>0</v>
      </c>
      <c r="AC9" s="602">
        <v>0</v>
      </c>
      <c r="AD9" s="602">
        <v>0</v>
      </c>
      <c r="AE9" s="602">
        <v>0</v>
      </c>
      <c r="AF9" s="602">
        <v>0</v>
      </c>
      <c r="AG9" s="602">
        <v>0</v>
      </c>
      <c r="AH9" s="602">
        <v>0</v>
      </c>
      <c r="AI9" s="602">
        <v>0</v>
      </c>
      <c r="AJ9" s="498">
        <v>0</v>
      </c>
      <c r="AK9" s="498">
        <v>0</v>
      </c>
      <c r="AL9" s="602">
        <v>2.9990489678558099</v>
      </c>
      <c r="AM9" s="602">
        <v>2.6939806107294899</v>
      </c>
      <c r="AN9" s="498">
        <v>142.05425299999999</v>
      </c>
      <c r="AO9" s="603">
        <v>127.604253</v>
      </c>
    </row>
    <row r="10" spans="1:41" ht="12" thickBot="1">
      <c r="A10" s="918"/>
      <c r="B10" s="918"/>
      <c r="C10" s="918"/>
      <c r="D10" s="918"/>
      <c r="E10" s="918"/>
      <c r="F10" s="600" t="s">
        <v>235</v>
      </c>
      <c r="G10" s="600" t="s">
        <v>235</v>
      </c>
      <c r="H10" s="601">
        <v>170013</v>
      </c>
      <c r="I10" s="602">
        <v>16766723.949999999</v>
      </c>
      <c r="J10" s="602">
        <v>0.3</v>
      </c>
      <c r="K10" s="602">
        <v>24646313.399753001</v>
      </c>
      <c r="L10" s="602">
        <v>24851.68</v>
      </c>
      <c r="M10" s="498">
        <v>0.304999762585691</v>
      </c>
      <c r="N10" s="602">
        <v>3.2458215665293801</v>
      </c>
      <c r="O10" s="602">
        <v>2.9408218039436802</v>
      </c>
      <c r="P10" s="498">
        <v>264472.72687900002</v>
      </c>
      <c r="Q10" s="602">
        <v>239621.046879</v>
      </c>
      <c r="R10" s="602">
        <v>-0.235326956878117</v>
      </c>
      <c r="S10" s="602">
        <v>-19174.671409999999</v>
      </c>
      <c r="T10" s="602">
        <v>0</v>
      </c>
      <c r="U10" s="602">
        <v>0</v>
      </c>
      <c r="V10" s="602">
        <v>0</v>
      </c>
      <c r="W10" s="602">
        <v>0</v>
      </c>
      <c r="X10" s="602">
        <v>0</v>
      </c>
      <c r="Y10" s="602">
        <v>0</v>
      </c>
      <c r="Z10" s="602">
        <v>0</v>
      </c>
      <c r="AA10" s="602">
        <v>0</v>
      </c>
      <c r="AB10" s="602">
        <v>0</v>
      </c>
      <c r="AC10" s="602">
        <v>0</v>
      </c>
      <c r="AD10" s="602">
        <v>0</v>
      </c>
      <c r="AE10" s="602">
        <v>0</v>
      </c>
      <c r="AF10" s="602">
        <v>0</v>
      </c>
      <c r="AG10" s="602">
        <v>0</v>
      </c>
      <c r="AH10" s="602">
        <v>0</v>
      </c>
      <c r="AI10" s="602">
        <v>0</v>
      </c>
      <c r="AJ10" s="498">
        <v>0</v>
      </c>
      <c r="AK10" s="498">
        <v>0</v>
      </c>
      <c r="AL10" s="602">
        <v>3.0104946076507999</v>
      </c>
      <c r="AM10" s="602">
        <v>2.7054948450651</v>
      </c>
      <c r="AN10" s="498">
        <v>245298.05530599999</v>
      </c>
      <c r="AO10" s="603">
        <v>220446.375306</v>
      </c>
    </row>
    <row r="11" spans="1:41" ht="12" thickBot="1">
      <c r="A11" s="918"/>
      <c r="B11" s="918"/>
      <c r="C11" s="918"/>
      <c r="D11" s="918"/>
      <c r="E11" s="918"/>
      <c r="F11" s="600" t="s">
        <v>236</v>
      </c>
      <c r="G11" s="600" t="s">
        <v>236</v>
      </c>
      <c r="H11" s="601">
        <v>170014</v>
      </c>
      <c r="I11" s="602">
        <v>506359192.38</v>
      </c>
      <c r="J11" s="602">
        <v>0.916979452549462</v>
      </c>
      <c r="K11" s="602">
        <v>380522267.93603402</v>
      </c>
      <c r="L11" s="602">
        <v>1211492.55</v>
      </c>
      <c r="M11" s="498">
        <v>0.96302239426048697</v>
      </c>
      <c r="N11" s="602">
        <v>3.2371587872968699</v>
      </c>
      <c r="O11" s="602">
        <v>2.27413639303639</v>
      </c>
      <c r="P11" s="498">
        <v>4072380.6396929999</v>
      </c>
      <c r="Q11" s="602">
        <v>2860888.0896930001</v>
      </c>
      <c r="R11" s="602">
        <v>-0.234393309443715</v>
      </c>
      <c r="S11" s="602">
        <v>-294869.30922200001</v>
      </c>
      <c r="T11" s="602">
        <v>0</v>
      </c>
      <c r="U11" s="602">
        <v>0</v>
      </c>
      <c r="V11" s="602">
        <v>0</v>
      </c>
      <c r="W11" s="602">
        <v>0</v>
      </c>
      <c r="X11" s="602">
        <v>0</v>
      </c>
      <c r="Y11" s="602">
        <v>0</v>
      </c>
      <c r="Z11" s="602">
        <v>0</v>
      </c>
      <c r="AA11" s="602">
        <v>0</v>
      </c>
      <c r="AB11" s="602">
        <v>0</v>
      </c>
      <c r="AC11" s="602">
        <v>0</v>
      </c>
      <c r="AD11" s="602">
        <v>0</v>
      </c>
      <c r="AE11" s="602">
        <v>0</v>
      </c>
      <c r="AF11" s="602">
        <v>0</v>
      </c>
      <c r="AG11" s="602">
        <v>0</v>
      </c>
      <c r="AH11" s="602">
        <v>0</v>
      </c>
      <c r="AI11" s="602">
        <v>0</v>
      </c>
      <c r="AJ11" s="498">
        <v>0</v>
      </c>
      <c r="AK11" s="498">
        <v>0</v>
      </c>
      <c r="AL11" s="602">
        <v>3.0027654780049899</v>
      </c>
      <c r="AM11" s="602">
        <v>2.0397430837444999</v>
      </c>
      <c r="AN11" s="498">
        <v>3777511.330662</v>
      </c>
      <c r="AO11" s="603">
        <v>2566018.7806620002</v>
      </c>
    </row>
    <row r="12" spans="1:41" ht="12" thickBot="1">
      <c r="A12" s="918"/>
      <c r="B12" s="918"/>
      <c r="C12" s="918"/>
      <c r="D12" s="918"/>
      <c r="E12" s="918"/>
      <c r="F12" s="600" t="s">
        <v>237</v>
      </c>
      <c r="G12" s="600" t="s">
        <v>237</v>
      </c>
      <c r="H12" s="601">
        <v>170015</v>
      </c>
      <c r="I12" s="602">
        <v>2015796777.6099999</v>
      </c>
      <c r="J12" s="602">
        <v>0.29999999999851501</v>
      </c>
      <c r="K12" s="602">
        <v>1936750605.4716699</v>
      </c>
      <c r="L12" s="602">
        <v>1952885.44</v>
      </c>
      <c r="M12" s="498">
        <v>0.30499925754943302</v>
      </c>
      <c r="N12" s="602">
        <v>3.2440861153040199</v>
      </c>
      <c r="O12" s="602">
        <v>2.9390868577545901</v>
      </c>
      <c r="P12" s="498">
        <v>20771619.549456</v>
      </c>
      <c r="Q12" s="602">
        <v>18818734.109455999</v>
      </c>
      <c r="R12" s="602">
        <v>-0.23471328693705201</v>
      </c>
      <c r="S12" s="602">
        <v>-1502850.0866419999</v>
      </c>
      <c r="T12" s="602">
        <v>0</v>
      </c>
      <c r="U12" s="602">
        <v>0</v>
      </c>
      <c r="V12" s="602">
        <v>6.2560246196669998E-3</v>
      </c>
      <c r="W12" s="602">
        <v>40056.816827000002</v>
      </c>
      <c r="X12" s="602">
        <v>0</v>
      </c>
      <c r="Y12" s="602">
        <v>0</v>
      </c>
      <c r="Z12" s="602">
        <v>0</v>
      </c>
      <c r="AA12" s="602">
        <v>0</v>
      </c>
      <c r="AB12" s="602">
        <v>0</v>
      </c>
      <c r="AC12" s="602">
        <v>0</v>
      </c>
      <c r="AD12" s="602">
        <v>0</v>
      </c>
      <c r="AE12" s="602">
        <v>0</v>
      </c>
      <c r="AF12" s="602">
        <v>0</v>
      </c>
      <c r="AG12" s="602">
        <v>0</v>
      </c>
      <c r="AH12" s="602">
        <v>0</v>
      </c>
      <c r="AI12" s="602">
        <v>0</v>
      </c>
      <c r="AJ12" s="498">
        <v>0</v>
      </c>
      <c r="AK12" s="498">
        <v>0</v>
      </c>
      <c r="AL12" s="602">
        <v>3.0156288529905302</v>
      </c>
      <c r="AM12" s="602">
        <v>2.7106295954410999</v>
      </c>
      <c r="AN12" s="498">
        <v>19308826.279665999</v>
      </c>
      <c r="AO12" s="603">
        <v>17355940.839666001</v>
      </c>
    </row>
    <row r="13" spans="1:41" ht="12" thickBot="1">
      <c r="A13" s="918"/>
      <c r="B13" s="918"/>
      <c r="C13" s="918"/>
      <c r="D13" s="918"/>
      <c r="E13" s="918"/>
      <c r="F13" s="600" t="s">
        <v>238</v>
      </c>
      <c r="G13" s="600" t="s">
        <v>238</v>
      </c>
      <c r="H13" s="601">
        <v>170016</v>
      </c>
      <c r="I13" s="602">
        <v>8347313.7199999997</v>
      </c>
      <c r="J13" s="602">
        <v>0.3</v>
      </c>
      <c r="K13" s="602">
        <v>15406165.860167</v>
      </c>
      <c r="L13" s="602">
        <v>15534.54</v>
      </c>
      <c r="M13" s="498">
        <v>0.30499979236098002</v>
      </c>
      <c r="N13" s="602">
        <v>3.26420242824079</v>
      </c>
      <c r="O13" s="602">
        <v>2.9592026358797701</v>
      </c>
      <c r="P13" s="498">
        <v>166255.46790399999</v>
      </c>
      <c r="Q13" s="602">
        <v>150720.92790400001</v>
      </c>
      <c r="R13" s="602">
        <v>-0.23643833800981401</v>
      </c>
      <c r="S13" s="602">
        <v>-12042.502688</v>
      </c>
      <c r="T13" s="602">
        <v>0</v>
      </c>
      <c r="U13" s="602">
        <v>0</v>
      </c>
      <c r="V13" s="602">
        <v>0</v>
      </c>
      <c r="W13" s="602">
        <v>0</v>
      </c>
      <c r="X13" s="602">
        <v>0</v>
      </c>
      <c r="Y13" s="602">
        <v>0</v>
      </c>
      <c r="Z13" s="602">
        <v>0</v>
      </c>
      <c r="AA13" s="602">
        <v>0</v>
      </c>
      <c r="AB13" s="602">
        <v>0</v>
      </c>
      <c r="AC13" s="602">
        <v>0</v>
      </c>
      <c r="AD13" s="602">
        <v>0</v>
      </c>
      <c r="AE13" s="602">
        <v>0</v>
      </c>
      <c r="AF13" s="602">
        <v>0</v>
      </c>
      <c r="AG13" s="602">
        <v>0</v>
      </c>
      <c r="AH13" s="602">
        <v>0</v>
      </c>
      <c r="AI13" s="602">
        <v>0</v>
      </c>
      <c r="AJ13" s="498">
        <v>0</v>
      </c>
      <c r="AK13" s="498">
        <v>0</v>
      </c>
      <c r="AL13" s="602">
        <v>3.0277640914089901</v>
      </c>
      <c r="AM13" s="602">
        <v>2.7227642990479799</v>
      </c>
      <c r="AN13" s="498">
        <v>154212.965276</v>
      </c>
      <c r="AO13" s="603">
        <v>138678.42527599999</v>
      </c>
    </row>
    <row r="14" spans="1:41" ht="12" thickBot="1">
      <c r="A14" s="918"/>
      <c r="B14" s="918"/>
      <c r="C14" s="918"/>
      <c r="D14" s="919"/>
      <c r="E14" s="919"/>
      <c r="F14" s="600" t="s">
        <v>239</v>
      </c>
      <c r="G14" s="600" t="s">
        <v>239</v>
      </c>
      <c r="H14" s="601">
        <v>170017</v>
      </c>
      <c r="I14" s="602">
        <v>2166507032.5317798</v>
      </c>
      <c r="J14" s="602">
        <v>0.29999994310974298</v>
      </c>
      <c r="K14" s="602">
        <v>1966612386.3761599</v>
      </c>
      <c r="L14" s="602">
        <v>1988998.643931</v>
      </c>
      <c r="M14" s="498">
        <v>0.30592250864667803</v>
      </c>
      <c r="N14" s="602">
        <v>3.2502850581560701</v>
      </c>
      <c r="O14" s="602">
        <v>2.9443625495093801</v>
      </c>
      <c r="P14" s="498">
        <v>21132189.983863</v>
      </c>
      <c r="Q14" s="602">
        <v>19143191.339931998</v>
      </c>
      <c r="R14" s="602">
        <v>-0.23527744812654</v>
      </c>
      <c r="S14" s="602">
        <v>-1529689.7483659999</v>
      </c>
      <c r="T14" s="602">
        <v>0</v>
      </c>
      <c r="U14" s="602">
        <v>0</v>
      </c>
      <c r="V14" s="602">
        <v>7.0067328747533006E-2</v>
      </c>
      <c r="W14" s="602">
        <v>455552.69038300001</v>
      </c>
      <c r="X14" s="602">
        <v>0</v>
      </c>
      <c r="Y14" s="602">
        <v>0</v>
      </c>
      <c r="Z14" s="602">
        <v>0</v>
      </c>
      <c r="AA14" s="602">
        <v>0</v>
      </c>
      <c r="AB14" s="602">
        <v>0</v>
      </c>
      <c r="AC14" s="602">
        <v>0</v>
      </c>
      <c r="AD14" s="602">
        <v>0</v>
      </c>
      <c r="AE14" s="602">
        <v>0</v>
      </c>
      <c r="AF14" s="602">
        <v>0</v>
      </c>
      <c r="AG14" s="602">
        <v>0</v>
      </c>
      <c r="AH14" s="602">
        <v>0</v>
      </c>
      <c r="AI14" s="602">
        <v>0</v>
      </c>
      <c r="AJ14" s="498">
        <v>0</v>
      </c>
      <c r="AK14" s="498">
        <v>0</v>
      </c>
      <c r="AL14" s="602">
        <v>3.0850749379907998</v>
      </c>
      <c r="AM14" s="602">
        <v>2.7791524293441299</v>
      </c>
      <c r="AN14" s="498">
        <v>20058052.920768</v>
      </c>
      <c r="AO14" s="603">
        <v>18069054.276837099</v>
      </c>
    </row>
    <row r="15" spans="1:41" ht="12" thickBot="1">
      <c r="A15" s="918"/>
      <c r="B15" s="918"/>
      <c r="C15" s="919"/>
      <c r="D15" s="600" t="s">
        <v>240</v>
      </c>
      <c r="E15" s="600" t="s">
        <v>240</v>
      </c>
      <c r="F15" s="600" t="s">
        <v>240</v>
      </c>
      <c r="G15" s="600" t="s">
        <v>240</v>
      </c>
      <c r="H15" s="601">
        <v>170022</v>
      </c>
      <c r="I15" s="602">
        <v>10869774932.26</v>
      </c>
      <c r="J15" s="602">
        <v>1.1349735100482701</v>
      </c>
      <c r="K15" s="602">
        <v>10125993047.064199</v>
      </c>
      <c r="L15" s="602">
        <v>34435892.799999997</v>
      </c>
      <c r="M15" s="498">
        <v>1.0286542799505001</v>
      </c>
      <c r="N15" s="602">
        <v>3.25140126776189</v>
      </c>
      <c r="O15" s="602">
        <v>2.2227469878113899</v>
      </c>
      <c r="P15" s="498">
        <v>108846001.70216601</v>
      </c>
      <c r="Q15" s="602">
        <v>74410108.902165994</v>
      </c>
      <c r="R15" s="602">
        <v>-0.23484101385508499</v>
      </c>
      <c r="S15" s="602">
        <v>-7861688.9423200004</v>
      </c>
      <c r="T15" s="602">
        <v>0</v>
      </c>
      <c r="U15" s="602">
        <v>0</v>
      </c>
      <c r="V15" s="602">
        <v>7.1837880816095004E-2</v>
      </c>
      <c r="W15" s="602">
        <v>2404891.13882</v>
      </c>
      <c r="X15" s="602">
        <v>0</v>
      </c>
      <c r="Y15" s="602">
        <v>0</v>
      </c>
      <c r="Z15" s="602">
        <v>0</v>
      </c>
      <c r="AA15" s="602">
        <v>0</v>
      </c>
      <c r="AB15" s="602">
        <v>0</v>
      </c>
      <c r="AC15" s="602">
        <v>0</v>
      </c>
      <c r="AD15" s="602">
        <v>0</v>
      </c>
      <c r="AE15" s="602">
        <v>0</v>
      </c>
      <c r="AF15" s="602">
        <v>0</v>
      </c>
      <c r="AG15" s="602">
        <v>0</v>
      </c>
      <c r="AH15" s="602">
        <v>0</v>
      </c>
      <c r="AI15" s="602">
        <v>0</v>
      </c>
      <c r="AJ15" s="498">
        <v>0</v>
      </c>
      <c r="AK15" s="498">
        <v>0</v>
      </c>
      <c r="AL15" s="602">
        <v>3.0883981347438199</v>
      </c>
      <c r="AM15" s="602">
        <v>2.05974385479331</v>
      </c>
      <c r="AN15" s="498">
        <v>103389203.89936601</v>
      </c>
      <c r="AO15" s="603">
        <v>68953311.099365994</v>
      </c>
    </row>
    <row r="16" spans="1:41" ht="12" thickBot="1">
      <c r="A16" s="918"/>
      <c r="B16" s="918"/>
      <c r="C16" s="917" t="s">
        <v>241</v>
      </c>
      <c r="D16" s="917" t="s">
        <v>242</v>
      </c>
      <c r="E16" s="917" t="s">
        <v>243</v>
      </c>
      <c r="F16" s="600" t="s">
        <v>244</v>
      </c>
      <c r="G16" s="600" t="s">
        <v>244</v>
      </c>
      <c r="H16" s="601">
        <v>170031</v>
      </c>
      <c r="I16" s="602">
        <v>1513751034.24</v>
      </c>
      <c r="J16" s="602">
        <v>1.36367947648168</v>
      </c>
      <c r="K16" s="602">
        <v>2197453380.5647998</v>
      </c>
      <c r="L16" s="602">
        <v>10017224.710000001</v>
      </c>
      <c r="M16" s="498">
        <v>1.3788704389002899</v>
      </c>
      <c r="N16" s="602">
        <v>3.3156581042612698</v>
      </c>
      <c r="O16" s="602">
        <v>1.9367876653609799</v>
      </c>
      <c r="P16" s="498">
        <v>24087609.216139998</v>
      </c>
      <c r="Q16" s="602">
        <v>14070384.506139999</v>
      </c>
      <c r="R16" s="602">
        <v>-0.24571653867071899</v>
      </c>
      <c r="S16" s="602">
        <v>-1785082.7121880001</v>
      </c>
      <c r="T16" s="602">
        <v>0</v>
      </c>
      <c r="U16" s="602">
        <v>0</v>
      </c>
      <c r="V16" s="602">
        <v>0</v>
      </c>
      <c r="W16" s="602">
        <v>0</v>
      </c>
      <c r="X16" s="602">
        <v>0</v>
      </c>
      <c r="Y16" s="602">
        <v>0</v>
      </c>
      <c r="Z16" s="602">
        <v>0</v>
      </c>
      <c r="AA16" s="602">
        <v>0</v>
      </c>
      <c r="AB16" s="602">
        <v>0</v>
      </c>
      <c r="AC16" s="602">
        <v>0</v>
      </c>
      <c r="AD16" s="602">
        <v>0</v>
      </c>
      <c r="AE16" s="602">
        <v>0</v>
      </c>
      <c r="AF16" s="602">
        <v>0</v>
      </c>
      <c r="AG16" s="602">
        <v>0</v>
      </c>
      <c r="AH16" s="602">
        <v>0</v>
      </c>
      <c r="AI16" s="602">
        <v>0</v>
      </c>
      <c r="AJ16" s="498">
        <v>0</v>
      </c>
      <c r="AK16" s="498">
        <v>0</v>
      </c>
      <c r="AL16" s="602">
        <v>3.0699415657558702</v>
      </c>
      <c r="AM16" s="602">
        <v>1.69107112685557</v>
      </c>
      <c r="AN16" s="498">
        <v>22302526.505153</v>
      </c>
      <c r="AO16" s="603">
        <v>12285301.795152999</v>
      </c>
    </row>
    <row r="17" spans="1:41" ht="12" thickBot="1">
      <c r="A17" s="918"/>
      <c r="B17" s="918"/>
      <c r="C17" s="918"/>
      <c r="D17" s="918"/>
      <c r="E17" s="918"/>
      <c r="F17" s="917" t="s">
        <v>245</v>
      </c>
      <c r="G17" s="600" t="s">
        <v>246</v>
      </c>
      <c r="H17" s="601">
        <v>170032</v>
      </c>
      <c r="I17" s="602">
        <v>110000000</v>
      </c>
      <c r="J17" s="602">
        <v>1.35</v>
      </c>
      <c r="K17" s="602">
        <v>123636363.636364</v>
      </c>
      <c r="L17" s="602">
        <v>501530.9</v>
      </c>
      <c r="M17" s="498">
        <v>1.2270074157754001</v>
      </c>
      <c r="N17" s="602">
        <v>3.3157053494252802</v>
      </c>
      <c r="O17" s="602">
        <v>2.0886979336498799</v>
      </c>
      <c r="P17" s="498">
        <v>1355271.913317</v>
      </c>
      <c r="Q17" s="602">
        <v>853741.013317</v>
      </c>
      <c r="R17" s="602">
        <v>-0.24839308719533401</v>
      </c>
      <c r="S17" s="602">
        <v>-101528.977717</v>
      </c>
      <c r="T17" s="602">
        <v>0</v>
      </c>
      <c r="U17" s="602">
        <v>0</v>
      </c>
      <c r="V17" s="602">
        <v>0</v>
      </c>
      <c r="W17" s="602">
        <v>0</v>
      </c>
      <c r="X17" s="602">
        <v>0</v>
      </c>
      <c r="Y17" s="602">
        <v>0</v>
      </c>
      <c r="Z17" s="602">
        <v>0</v>
      </c>
      <c r="AA17" s="602">
        <v>0</v>
      </c>
      <c r="AB17" s="602">
        <v>0</v>
      </c>
      <c r="AC17" s="602">
        <v>0</v>
      </c>
      <c r="AD17" s="602">
        <v>0</v>
      </c>
      <c r="AE17" s="602">
        <v>0</v>
      </c>
      <c r="AF17" s="602">
        <v>0</v>
      </c>
      <c r="AG17" s="602">
        <v>0</v>
      </c>
      <c r="AH17" s="602">
        <v>0</v>
      </c>
      <c r="AI17" s="602">
        <v>0</v>
      </c>
      <c r="AJ17" s="498">
        <v>0</v>
      </c>
      <c r="AK17" s="498">
        <v>0</v>
      </c>
      <c r="AL17" s="602">
        <v>3.0673122621614399</v>
      </c>
      <c r="AM17" s="602">
        <v>1.8403048463860401</v>
      </c>
      <c r="AN17" s="498">
        <v>1253742.935572</v>
      </c>
      <c r="AO17" s="603">
        <v>752212.03557199996</v>
      </c>
    </row>
    <row r="18" spans="1:41" ht="12" thickBot="1">
      <c r="A18" s="918"/>
      <c r="B18" s="918"/>
      <c r="C18" s="918"/>
      <c r="D18" s="918"/>
      <c r="E18" s="919"/>
      <c r="F18" s="919"/>
      <c r="G18" s="600" t="s">
        <v>247</v>
      </c>
      <c r="H18" s="601">
        <v>170038</v>
      </c>
      <c r="I18" s="602">
        <v>461627778.52999997</v>
      </c>
      <c r="J18" s="602">
        <v>1.4162877601115</v>
      </c>
      <c r="K18" s="602">
        <v>437587943.13834798</v>
      </c>
      <c r="L18" s="602">
        <v>2052967.18</v>
      </c>
      <c r="M18" s="498">
        <v>1.41909795507414</v>
      </c>
      <c r="N18" s="602">
        <v>3.2958302438153</v>
      </c>
      <c r="O18" s="602">
        <v>1.8767322887411599</v>
      </c>
      <c r="P18" s="498">
        <v>4767980.4605529997</v>
      </c>
      <c r="Q18" s="602">
        <v>2715013.280553</v>
      </c>
      <c r="R18" s="602">
        <v>-0.244791212130437</v>
      </c>
      <c r="S18" s="602">
        <v>-354132.23073100002</v>
      </c>
      <c r="T18" s="602">
        <v>0</v>
      </c>
      <c r="U18" s="602">
        <v>0</v>
      </c>
      <c r="V18" s="602">
        <v>0</v>
      </c>
      <c r="W18" s="602">
        <v>0</v>
      </c>
      <c r="X18" s="602">
        <v>0</v>
      </c>
      <c r="Y18" s="602">
        <v>0</v>
      </c>
      <c r="Z18" s="602">
        <v>0</v>
      </c>
      <c r="AA18" s="602">
        <v>0</v>
      </c>
      <c r="AB18" s="602">
        <v>0</v>
      </c>
      <c r="AC18" s="602">
        <v>0</v>
      </c>
      <c r="AD18" s="602">
        <v>0</v>
      </c>
      <c r="AE18" s="602">
        <v>0</v>
      </c>
      <c r="AF18" s="602">
        <v>0</v>
      </c>
      <c r="AG18" s="602">
        <v>0</v>
      </c>
      <c r="AH18" s="602">
        <v>0</v>
      </c>
      <c r="AI18" s="602">
        <v>0</v>
      </c>
      <c r="AJ18" s="498">
        <v>0</v>
      </c>
      <c r="AK18" s="498">
        <v>0</v>
      </c>
      <c r="AL18" s="602">
        <v>3.0510390317118201</v>
      </c>
      <c r="AM18" s="602">
        <v>1.6319410766376801</v>
      </c>
      <c r="AN18" s="498">
        <v>4413848.2298609996</v>
      </c>
      <c r="AO18" s="603">
        <v>2360881.0498609999</v>
      </c>
    </row>
    <row r="19" spans="1:41" ht="12" thickBot="1">
      <c r="A19" s="918"/>
      <c r="B19" s="918"/>
      <c r="C19" s="918"/>
      <c r="D19" s="918"/>
      <c r="E19" s="917" t="s">
        <v>248</v>
      </c>
      <c r="F19" s="600" t="s">
        <v>249</v>
      </c>
      <c r="G19" s="600" t="s">
        <v>249</v>
      </c>
      <c r="H19" s="601">
        <v>170041</v>
      </c>
      <c r="I19" s="602">
        <v>2783878341.3400002</v>
      </c>
      <c r="J19" s="602">
        <v>1.6653500850723</v>
      </c>
      <c r="K19" s="602">
        <v>1873046614.0511601</v>
      </c>
      <c r="L19" s="602">
        <v>10323228.630000001</v>
      </c>
      <c r="M19" s="498">
        <v>1.6671039296633301</v>
      </c>
      <c r="N19" s="602">
        <v>3.46311299016133</v>
      </c>
      <c r="O19" s="602">
        <v>1.7960090604980099</v>
      </c>
      <c r="P19" s="498">
        <v>21444678.122843999</v>
      </c>
      <c r="Q19" s="602">
        <v>11121449.492844</v>
      </c>
      <c r="R19" s="602">
        <v>-0.26797737807751298</v>
      </c>
      <c r="S19" s="602">
        <v>-1659399.6884890001</v>
      </c>
      <c r="T19" s="602">
        <v>0</v>
      </c>
      <c r="U19" s="602">
        <v>0</v>
      </c>
      <c r="V19" s="602">
        <v>4.0533196281500002E-4</v>
      </c>
      <c r="W19" s="602">
        <v>2509.942211</v>
      </c>
      <c r="X19" s="602">
        <v>0</v>
      </c>
      <c r="Y19" s="602">
        <v>0</v>
      </c>
      <c r="Z19" s="602">
        <v>0</v>
      </c>
      <c r="AA19" s="602">
        <v>0</v>
      </c>
      <c r="AB19" s="602">
        <v>0</v>
      </c>
      <c r="AC19" s="602">
        <v>0</v>
      </c>
      <c r="AD19" s="602">
        <v>0</v>
      </c>
      <c r="AE19" s="602">
        <v>0</v>
      </c>
      <c r="AF19" s="602">
        <v>0</v>
      </c>
      <c r="AG19" s="602">
        <v>0</v>
      </c>
      <c r="AH19" s="602">
        <v>0</v>
      </c>
      <c r="AI19" s="602">
        <v>0</v>
      </c>
      <c r="AJ19" s="498">
        <v>0</v>
      </c>
      <c r="AK19" s="498">
        <v>0</v>
      </c>
      <c r="AL19" s="602">
        <v>3.19554094413223</v>
      </c>
      <c r="AM19" s="602">
        <v>1.5284370144688999</v>
      </c>
      <c r="AN19" s="498">
        <v>19787788.377096001</v>
      </c>
      <c r="AO19" s="603">
        <v>9464559.7470960002</v>
      </c>
    </row>
    <row r="20" spans="1:41" ht="12" thickBot="1">
      <c r="A20" s="918"/>
      <c r="B20" s="918"/>
      <c r="C20" s="918"/>
      <c r="D20" s="918"/>
      <c r="E20" s="918"/>
      <c r="F20" s="917" t="s">
        <v>250</v>
      </c>
      <c r="G20" s="600" t="s">
        <v>251</v>
      </c>
      <c r="H20" s="601">
        <v>170042</v>
      </c>
      <c r="I20" s="602">
        <v>30000000</v>
      </c>
      <c r="J20" s="602">
        <v>1.6</v>
      </c>
      <c r="K20" s="602">
        <v>30000000</v>
      </c>
      <c r="L20" s="602">
        <v>159096.76999999999</v>
      </c>
      <c r="M20" s="498">
        <v>1.60411619338843</v>
      </c>
      <c r="N20" s="602">
        <v>3.5163993626857901</v>
      </c>
      <c r="O20" s="602">
        <v>1.9122831692973601</v>
      </c>
      <c r="P20" s="498">
        <v>348757.64170899999</v>
      </c>
      <c r="Q20" s="602">
        <v>189660.871709</v>
      </c>
      <c r="R20" s="602">
        <v>-0.276458946085124</v>
      </c>
      <c r="S20" s="602">
        <v>-27419.288915000001</v>
      </c>
      <c r="T20" s="602">
        <v>0</v>
      </c>
      <c r="U20" s="602">
        <v>0</v>
      </c>
      <c r="V20" s="602">
        <v>0</v>
      </c>
      <c r="W20" s="602">
        <v>0</v>
      </c>
      <c r="X20" s="602">
        <v>0</v>
      </c>
      <c r="Y20" s="602">
        <v>0</v>
      </c>
      <c r="Z20" s="602">
        <v>0</v>
      </c>
      <c r="AA20" s="602">
        <v>0</v>
      </c>
      <c r="AB20" s="602">
        <v>0</v>
      </c>
      <c r="AC20" s="602">
        <v>0</v>
      </c>
      <c r="AD20" s="602">
        <v>0</v>
      </c>
      <c r="AE20" s="602">
        <v>0</v>
      </c>
      <c r="AF20" s="602">
        <v>0</v>
      </c>
      <c r="AG20" s="602">
        <v>0</v>
      </c>
      <c r="AH20" s="602">
        <v>0</v>
      </c>
      <c r="AI20" s="602">
        <v>0</v>
      </c>
      <c r="AJ20" s="498">
        <v>0</v>
      </c>
      <c r="AK20" s="498">
        <v>0</v>
      </c>
      <c r="AL20" s="602">
        <v>3.2399404169132202</v>
      </c>
      <c r="AM20" s="602">
        <v>1.63582422352479</v>
      </c>
      <c r="AN20" s="498">
        <v>321338.35282500001</v>
      </c>
      <c r="AO20" s="603">
        <v>162241.58282499999</v>
      </c>
    </row>
    <row r="21" spans="1:41" ht="12" thickBot="1">
      <c r="A21" s="918"/>
      <c r="B21" s="918"/>
      <c r="C21" s="918"/>
      <c r="D21" s="918"/>
      <c r="E21" s="918"/>
      <c r="F21" s="918"/>
      <c r="G21" s="600" t="s">
        <v>252</v>
      </c>
      <c r="H21" s="601">
        <v>170046</v>
      </c>
      <c r="I21" s="602">
        <v>37736781.049999997</v>
      </c>
      <c r="J21" s="602">
        <v>1.6</v>
      </c>
      <c r="K21" s="602">
        <v>37507025.392810002</v>
      </c>
      <c r="L21" s="602">
        <v>227787.22</v>
      </c>
      <c r="M21" s="498">
        <v>1.8370139188827099</v>
      </c>
      <c r="N21" s="602">
        <v>3.47695217027744</v>
      </c>
      <c r="O21" s="602">
        <v>1.63993825139473</v>
      </c>
      <c r="P21" s="498">
        <v>431137.32607000001</v>
      </c>
      <c r="Q21" s="602">
        <v>203350.10607000001</v>
      </c>
      <c r="R21" s="602">
        <v>-0.27073552538516199</v>
      </c>
      <c r="S21" s="602">
        <v>-33570.835827000003</v>
      </c>
      <c r="T21" s="602">
        <v>0</v>
      </c>
      <c r="U21" s="602">
        <v>0</v>
      </c>
      <c r="V21" s="602">
        <v>0</v>
      </c>
      <c r="W21" s="602">
        <v>0</v>
      </c>
      <c r="X21" s="602">
        <v>0</v>
      </c>
      <c r="Y21" s="602">
        <v>0</v>
      </c>
      <c r="Z21" s="602">
        <v>0</v>
      </c>
      <c r="AA21" s="602">
        <v>0</v>
      </c>
      <c r="AB21" s="602">
        <v>0</v>
      </c>
      <c r="AC21" s="602">
        <v>0</v>
      </c>
      <c r="AD21" s="602">
        <v>0</v>
      </c>
      <c r="AE21" s="602">
        <v>0</v>
      </c>
      <c r="AF21" s="602">
        <v>0</v>
      </c>
      <c r="AG21" s="602">
        <v>0</v>
      </c>
      <c r="AH21" s="602">
        <v>0</v>
      </c>
      <c r="AI21" s="602">
        <v>0</v>
      </c>
      <c r="AJ21" s="498">
        <v>0</v>
      </c>
      <c r="AK21" s="498">
        <v>0</v>
      </c>
      <c r="AL21" s="602">
        <v>3.2062166444245301</v>
      </c>
      <c r="AM21" s="602">
        <v>1.36920272554182</v>
      </c>
      <c r="AN21" s="498">
        <v>397566.490185</v>
      </c>
      <c r="AO21" s="603">
        <v>169779.270185</v>
      </c>
    </row>
    <row r="22" spans="1:41" ht="12" thickBot="1">
      <c r="A22" s="918"/>
      <c r="B22" s="918"/>
      <c r="C22" s="918"/>
      <c r="D22" s="918"/>
      <c r="E22" s="918"/>
      <c r="F22" s="919"/>
      <c r="G22" s="600" t="s">
        <v>253</v>
      </c>
      <c r="H22" s="601">
        <v>170048</v>
      </c>
      <c r="I22" s="602">
        <v>17470000</v>
      </c>
      <c r="J22" s="602">
        <v>1.61574127074986</v>
      </c>
      <c r="K22" s="602">
        <v>28990661.157024</v>
      </c>
      <c r="L22" s="602">
        <v>173364.61</v>
      </c>
      <c r="M22" s="498">
        <v>1.8088312069718</v>
      </c>
      <c r="N22" s="602">
        <v>3.5239618512526398</v>
      </c>
      <c r="O22" s="602">
        <v>1.71513064428089</v>
      </c>
      <c r="P22" s="498">
        <v>337748.635496</v>
      </c>
      <c r="Q22" s="602">
        <v>164384.02549599999</v>
      </c>
      <c r="R22" s="602">
        <v>-0.27667021022312699</v>
      </c>
      <c r="S22" s="602">
        <v>-26517.025419000001</v>
      </c>
      <c r="T22" s="602">
        <v>0</v>
      </c>
      <c r="U22" s="602">
        <v>0</v>
      </c>
      <c r="V22" s="602">
        <v>1.8438834286789E-2</v>
      </c>
      <c r="W22" s="602">
        <v>1767.241356</v>
      </c>
      <c r="X22" s="602">
        <v>0</v>
      </c>
      <c r="Y22" s="602">
        <v>0</v>
      </c>
      <c r="Z22" s="602">
        <v>0</v>
      </c>
      <c r="AA22" s="602">
        <v>0</v>
      </c>
      <c r="AB22" s="602">
        <v>0</v>
      </c>
      <c r="AC22" s="602">
        <v>0</v>
      </c>
      <c r="AD22" s="602">
        <v>0</v>
      </c>
      <c r="AE22" s="602">
        <v>0</v>
      </c>
      <c r="AF22" s="602">
        <v>0</v>
      </c>
      <c r="AG22" s="602">
        <v>0</v>
      </c>
      <c r="AH22" s="602">
        <v>0</v>
      </c>
      <c r="AI22" s="602">
        <v>0</v>
      </c>
      <c r="AJ22" s="498">
        <v>0</v>
      </c>
      <c r="AK22" s="498">
        <v>0</v>
      </c>
      <c r="AL22" s="602">
        <v>3.2657304765266102</v>
      </c>
      <c r="AM22" s="602">
        <v>1.4568992695548599</v>
      </c>
      <c r="AN22" s="498">
        <v>312998.85154900001</v>
      </c>
      <c r="AO22" s="603">
        <v>139634.241549</v>
      </c>
    </row>
    <row r="23" spans="1:41" ht="12" thickBot="1">
      <c r="A23" s="918"/>
      <c r="B23" s="918"/>
      <c r="C23" s="918"/>
      <c r="D23" s="918"/>
      <c r="E23" s="919"/>
      <c r="F23" s="600" t="s">
        <v>254</v>
      </c>
      <c r="G23" s="600" t="s">
        <v>254</v>
      </c>
      <c r="H23" s="601">
        <v>170049</v>
      </c>
      <c r="I23" s="602">
        <v>900000000</v>
      </c>
      <c r="J23" s="602">
        <v>1.9283333333333299</v>
      </c>
      <c r="K23" s="602">
        <v>1105785123.9669399</v>
      </c>
      <c r="L23" s="602">
        <v>7307672.04</v>
      </c>
      <c r="M23" s="498">
        <v>1.99895961632287</v>
      </c>
      <c r="N23" s="602">
        <v>3.56769694691579</v>
      </c>
      <c r="O23" s="602">
        <v>1.56873733059292</v>
      </c>
      <c r="P23" s="498">
        <v>13042564.248561</v>
      </c>
      <c r="Q23" s="602">
        <v>5734892.2085610004</v>
      </c>
      <c r="R23" s="602">
        <v>-0.28254303314579798</v>
      </c>
      <c r="S23" s="602">
        <v>-1032903.219533</v>
      </c>
      <c r="T23" s="602">
        <v>0</v>
      </c>
      <c r="U23" s="602">
        <v>0</v>
      </c>
      <c r="V23" s="602">
        <v>0</v>
      </c>
      <c r="W23" s="602">
        <v>0</v>
      </c>
      <c r="X23" s="602">
        <v>0</v>
      </c>
      <c r="Y23" s="602">
        <v>0</v>
      </c>
      <c r="Z23" s="602">
        <v>0</v>
      </c>
      <c r="AA23" s="602">
        <v>0</v>
      </c>
      <c r="AB23" s="602">
        <v>0</v>
      </c>
      <c r="AC23" s="602">
        <v>0</v>
      </c>
      <c r="AD23" s="602">
        <v>0</v>
      </c>
      <c r="AE23" s="602">
        <v>0</v>
      </c>
      <c r="AF23" s="602">
        <v>0</v>
      </c>
      <c r="AG23" s="602">
        <v>0</v>
      </c>
      <c r="AH23" s="602">
        <v>0</v>
      </c>
      <c r="AI23" s="602">
        <v>0</v>
      </c>
      <c r="AJ23" s="498">
        <v>0</v>
      </c>
      <c r="AK23" s="498">
        <v>0</v>
      </c>
      <c r="AL23" s="602">
        <v>3.28515391374455</v>
      </c>
      <c r="AM23" s="602">
        <v>1.28619429742168</v>
      </c>
      <c r="AN23" s="498">
        <v>12009661.028935</v>
      </c>
      <c r="AO23" s="603">
        <v>4701988.9889350003</v>
      </c>
    </row>
    <row r="24" spans="1:41" ht="12" thickBot="1">
      <c r="A24" s="918"/>
      <c r="B24" s="918"/>
      <c r="C24" s="918"/>
      <c r="D24" s="918"/>
      <c r="E24" s="600" t="s">
        <v>255</v>
      </c>
      <c r="F24" s="600" t="s">
        <v>256</v>
      </c>
      <c r="G24" s="600" t="s">
        <v>3396</v>
      </c>
      <c r="H24" s="601">
        <v>170060</v>
      </c>
      <c r="I24" s="602">
        <v>2000000000</v>
      </c>
      <c r="J24" s="602">
        <v>3.02</v>
      </c>
      <c r="K24" s="602">
        <v>1702479338.8429799</v>
      </c>
      <c r="L24" s="602">
        <v>17044383.559999999</v>
      </c>
      <c r="M24" s="498">
        <v>3.0282739723106702</v>
      </c>
      <c r="N24" s="602">
        <v>3.41403707695298</v>
      </c>
      <c r="O24" s="602">
        <v>0.38576310464229602</v>
      </c>
      <c r="P24" s="498">
        <v>19215618.520555001</v>
      </c>
      <c r="Q24" s="602">
        <v>2171234.9605550002</v>
      </c>
      <c r="R24" s="602">
        <v>-0.26180908411146098</v>
      </c>
      <c r="S24" s="602">
        <v>-1473570.254835</v>
      </c>
      <c r="T24" s="602">
        <v>0</v>
      </c>
      <c r="U24" s="602">
        <v>0</v>
      </c>
      <c r="V24" s="602">
        <v>0</v>
      </c>
      <c r="W24" s="602">
        <v>0</v>
      </c>
      <c r="X24" s="602">
        <v>0</v>
      </c>
      <c r="Y24" s="602">
        <v>0</v>
      </c>
      <c r="Z24" s="602">
        <v>0</v>
      </c>
      <c r="AA24" s="602">
        <v>0</v>
      </c>
      <c r="AB24" s="602">
        <v>0</v>
      </c>
      <c r="AC24" s="602">
        <v>0</v>
      </c>
      <c r="AD24" s="602">
        <v>0</v>
      </c>
      <c r="AE24" s="602">
        <v>0</v>
      </c>
      <c r="AF24" s="602">
        <v>0</v>
      </c>
      <c r="AG24" s="602">
        <v>0</v>
      </c>
      <c r="AH24" s="602">
        <v>0</v>
      </c>
      <c r="AI24" s="602">
        <v>0</v>
      </c>
      <c r="AJ24" s="498">
        <v>0</v>
      </c>
      <c r="AK24" s="498">
        <v>0</v>
      </c>
      <c r="AL24" s="602">
        <v>3.1522279928415098</v>
      </c>
      <c r="AM24" s="602">
        <v>0.123954020530835</v>
      </c>
      <c r="AN24" s="498">
        <v>17742048.265719999</v>
      </c>
      <c r="AO24" s="603">
        <v>697664.70571999997</v>
      </c>
    </row>
    <row r="25" spans="1:41" ht="12" thickBot="1">
      <c r="A25" s="918"/>
      <c r="B25" s="918"/>
      <c r="C25" s="918"/>
      <c r="D25" s="918"/>
      <c r="E25" s="917" t="s">
        <v>257</v>
      </c>
      <c r="F25" s="600" t="s">
        <v>258</v>
      </c>
      <c r="G25" s="600" t="s">
        <v>258</v>
      </c>
      <c r="H25" s="601">
        <v>170061</v>
      </c>
      <c r="I25" s="602">
        <v>12228701553.41</v>
      </c>
      <c r="J25" s="602">
        <v>2.1428578857560199</v>
      </c>
      <c r="K25" s="602">
        <v>12283629505.986401</v>
      </c>
      <c r="L25" s="602">
        <v>92204617.629999906</v>
      </c>
      <c r="M25" s="498">
        <v>2.27050089433253</v>
      </c>
      <c r="N25" s="602">
        <v>3.9686468212021402</v>
      </c>
      <c r="O25" s="602">
        <v>1.69814592686961</v>
      </c>
      <c r="P25" s="498">
        <v>161166006.83614001</v>
      </c>
      <c r="Q25" s="602">
        <v>68961389.206139997</v>
      </c>
      <c r="R25" s="602">
        <v>-0.34010209267242802</v>
      </c>
      <c r="S25" s="602">
        <v>-13811482.518373</v>
      </c>
      <c r="T25" s="602">
        <v>0</v>
      </c>
      <c r="U25" s="602">
        <v>0</v>
      </c>
      <c r="V25" s="602">
        <v>4.9767576506000002E-5</v>
      </c>
      <c r="W25" s="602">
        <v>2021.051995</v>
      </c>
      <c r="X25" s="602">
        <v>0</v>
      </c>
      <c r="Y25" s="602">
        <v>0</v>
      </c>
      <c r="Z25" s="602">
        <v>0</v>
      </c>
      <c r="AA25" s="602">
        <v>0</v>
      </c>
      <c r="AB25" s="602">
        <v>0</v>
      </c>
      <c r="AC25" s="602">
        <v>0</v>
      </c>
      <c r="AD25" s="602">
        <v>0</v>
      </c>
      <c r="AE25" s="602">
        <v>0</v>
      </c>
      <c r="AF25" s="602">
        <v>0</v>
      </c>
      <c r="AG25" s="602">
        <v>0</v>
      </c>
      <c r="AH25" s="602">
        <v>0</v>
      </c>
      <c r="AI25" s="602">
        <v>0</v>
      </c>
      <c r="AJ25" s="498">
        <v>0</v>
      </c>
      <c r="AK25" s="498">
        <v>0</v>
      </c>
      <c r="AL25" s="602">
        <v>3.6285944964977301</v>
      </c>
      <c r="AM25" s="602">
        <v>1.3580936021651999</v>
      </c>
      <c r="AN25" s="498">
        <v>147356545.38566101</v>
      </c>
      <c r="AO25" s="603">
        <v>55151927.755661003</v>
      </c>
    </row>
    <row r="26" spans="1:41" ht="12" thickBot="1">
      <c r="A26" s="918"/>
      <c r="B26" s="918"/>
      <c r="C26" s="918"/>
      <c r="D26" s="918"/>
      <c r="E26" s="918"/>
      <c r="F26" s="917" t="s">
        <v>259</v>
      </c>
      <c r="G26" s="600" t="s">
        <v>260</v>
      </c>
      <c r="H26" s="601">
        <v>170062</v>
      </c>
      <c r="I26" s="602">
        <v>6640000000</v>
      </c>
      <c r="J26" s="602">
        <v>2.3164909638554199</v>
      </c>
      <c r="K26" s="602">
        <v>6572727272.7272797</v>
      </c>
      <c r="L26" s="602">
        <v>52123140.020000003</v>
      </c>
      <c r="M26" s="498">
        <v>2.3987261721765401</v>
      </c>
      <c r="N26" s="602">
        <v>3.8446006111146702</v>
      </c>
      <c r="O26" s="602">
        <v>1.4458744389381299</v>
      </c>
      <c r="P26" s="498">
        <v>83541280.492336005</v>
      </c>
      <c r="Q26" s="602">
        <v>31418140.472336002</v>
      </c>
      <c r="R26" s="602">
        <v>-0.32122813491421798</v>
      </c>
      <c r="S26" s="602">
        <v>-6980129.3906359999</v>
      </c>
      <c r="T26" s="602">
        <v>0</v>
      </c>
      <c r="U26" s="602">
        <v>0</v>
      </c>
      <c r="V26" s="602">
        <v>0</v>
      </c>
      <c r="W26" s="602">
        <v>0</v>
      </c>
      <c r="X26" s="602">
        <v>0</v>
      </c>
      <c r="Y26" s="602">
        <v>0</v>
      </c>
      <c r="Z26" s="602">
        <v>0</v>
      </c>
      <c r="AA26" s="602">
        <v>0</v>
      </c>
      <c r="AB26" s="602">
        <v>0</v>
      </c>
      <c r="AC26" s="602">
        <v>0</v>
      </c>
      <c r="AD26" s="602">
        <v>0</v>
      </c>
      <c r="AE26" s="602">
        <v>0</v>
      </c>
      <c r="AF26" s="602">
        <v>0</v>
      </c>
      <c r="AG26" s="602">
        <v>0</v>
      </c>
      <c r="AH26" s="602">
        <v>0</v>
      </c>
      <c r="AI26" s="602">
        <v>0</v>
      </c>
      <c r="AJ26" s="498">
        <v>0</v>
      </c>
      <c r="AK26" s="498">
        <v>0</v>
      </c>
      <c r="AL26" s="602">
        <v>3.5233724762019301</v>
      </c>
      <c r="AM26" s="602">
        <v>1.12464630402539</v>
      </c>
      <c r="AN26" s="498">
        <v>76561151.101732001</v>
      </c>
      <c r="AO26" s="603">
        <v>24438011.081732001</v>
      </c>
    </row>
    <row r="27" spans="1:41" ht="12" thickBot="1">
      <c r="A27" s="918"/>
      <c r="B27" s="918"/>
      <c r="C27" s="918"/>
      <c r="D27" s="918"/>
      <c r="E27" s="918"/>
      <c r="F27" s="918"/>
      <c r="G27" s="600" t="s">
        <v>261</v>
      </c>
      <c r="H27" s="601">
        <v>170063</v>
      </c>
      <c r="I27" s="602">
        <v>600000000</v>
      </c>
      <c r="J27" s="602">
        <v>2.6595833333333299</v>
      </c>
      <c r="K27" s="602">
        <v>683057851.23967004</v>
      </c>
      <c r="L27" s="602">
        <v>6246764.1200000001</v>
      </c>
      <c r="M27" s="498">
        <v>2.76626215114337</v>
      </c>
      <c r="N27" s="602">
        <v>4.0377482267929201</v>
      </c>
      <c r="O27" s="602">
        <v>1.2714860756495501</v>
      </c>
      <c r="P27" s="498">
        <v>9118029.8072250001</v>
      </c>
      <c r="Q27" s="602">
        <v>2871265.687225</v>
      </c>
      <c r="R27" s="602">
        <v>-0.34853843169734999</v>
      </c>
      <c r="S27" s="602">
        <v>-787068.34371000004</v>
      </c>
      <c r="T27" s="602">
        <v>0</v>
      </c>
      <c r="U27" s="602">
        <v>0</v>
      </c>
      <c r="V27" s="602">
        <v>0</v>
      </c>
      <c r="W27" s="602">
        <v>0</v>
      </c>
      <c r="X27" s="602">
        <v>0</v>
      </c>
      <c r="Y27" s="602">
        <v>0</v>
      </c>
      <c r="Z27" s="602">
        <v>0</v>
      </c>
      <c r="AA27" s="602">
        <v>0</v>
      </c>
      <c r="AB27" s="602">
        <v>0</v>
      </c>
      <c r="AC27" s="602">
        <v>0</v>
      </c>
      <c r="AD27" s="602">
        <v>0</v>
      </c>
      <c r="AE27" s="602">
        <v>0</v>
      </c>
      <c r="AF27" s="602">
        <v>0</v>
      </c>
      <c r="AG27" s="602">
        <v>0</v>
      </c>
      <c r="AH27" s="602">
        <v>0</v>
      </c>
      <c r="AI27" s="602">
        <v>0</v>
      </c>
      <c r="AJ27" s="498">
        <v>0</v>
      </c>
      <c r="AK27" s="498">
        <v>0</v>
      </c>
      <c r="AL27" s="602">
        <v>3.6892097950721001</v>
      </c>
      <c r="AM27" s="602">
        <v>0.92294764392872597</v>
      </c>
      <c r="AN27" s="498">
        <v>8330961.4634619998</v>
      </c>
      <c r="AO27" s="603">
        <v>2084197.3434619999</v>
      </c>
    </row>
    <row r="28" spans="1:41" ht="12" thickBot="1">
      <c r="A28" s="918"/>
      <c r="B28" s="918"/>
      <c r="C28" s="918"/>
      <c r="D28" s="918"/>
      <c r="E28" s="918"/>
      <c r="F28" s="918"/>
      <c r="G28" s="600" t="s">
        <v>262</v>
      </c>
      <c r="H28" s="601">
        <v>170066</v>
      </c>
      <c r="I28" s="602">
        <v>92562118.349999994</v>
      </c>
      <c r="J28" s="602">
        <v>2.1903226524417598</v>
      </c>
      <c r="K28" s="602">
        <v>94152773.011157006</v>
      </c>
      <c r="L28" s="602">
        <v>739941</v>
      </c>
      <c r="M28" s="498">
        <v>2.37716699471282</v>
      </c>
      <c r="N28" s="602">
        <v>4.0536876709184604</v>
      </c>
      <c r="O28" s="602">
        <v>1.6765206762056399</v>
      </c>
      <c r="P28" s="498">
        <v>1261791.752779</v>
      </c>
      <c r="Q28" s="602">
        <v>521850.75277899997</v>
      </c>
      <c r="R28" s="602">
        <v>-0.35224090919193501</v>
      </c>
      <c r="S28" s="602">
        <v>-109642.061819</v>
      </c>
      <c r="T28" s="602">
        <v>0</v>
      </c>
      <c r="U28" s="602">
        <v>0</v>
      </c>
      <c r="V28" s="602">
        <v>0</v>
      </c>
      <c r="W28" s="602">
        <v>0</v>
      </c>
      <c r="X28" s="602">
        <v>0</v>
      </c>
      <c r="Y28" s="602">
        <v>0</v>
      </c>
      <c r="Z28" s="602">
        <v>0</v>
      </c>
      <c r="AA28" s="602">
        <v>0</v>
      </c>
      <c r="AB28" s="602">
        <v>0</v>
      </c>
      <c r="AC28" s="602">
        <v>0</v>
      </c>
      <c r="AD28" s="602">
        <v>0</v>
      </c>
      <c r="AE28" s="602">
        <v>0</v>
      </c>
      <c r="AF28" s="602">
        <v>0</v>
      </c>
      <c r="AG28" s="602">
        <v>0</v>
      </c>
      <c r="AH28" s="602">
        <v>0</v>
      </c>
      <c r="AI28" s="602">
        <v>0</v>
      </c>
      <c r="AJ28" s="498">
        <v>0</v>
      </c>
      <c r="AK28" s="498">
        <v>0</v>
      </c>
      <c r="AL28" s="602">
        <v>3.7014467618614599</v>
      </c>
      <c r="AM28" s="602">
        <v>1.3242797671486399</v>
      </c>
      <c r="AN28" s="498">
        <v>1152149.6910019999</v>
      </c>
      <c r="AO28" s="603">
        <v>412208.69100200001</v>
      </c>
    </row>
    <row r="29" spans="1:41" ht="12" thickBot="1">
      <c r="A29" s="918"/>
      <c r="B29" s="918"/>
      <c r="C29" s="918"/>
      <c r="D29" s="918"/>
      <c r="E29" s="918"/>
      <c r="F29" s="919"/>
      <c r="G29" s="600" t="s">
        <v>263</v>
      </c>
      <c r="H29" s="601">
        <v>170068</v>
      </c>
      <c r="I29" s="602">
        <v>553282540</v>
      </c>
      <c r="J29" s="602">
        <v>2.30921617009639</v>
      </c>
      <c r="K29" s="602">
        <v>555051548.26446295</v>
      </c>
      <c r="L29" s="602">
        <v>4305546.7699999996</v>
      </c>
      <c r="M29" s="498">
        <v>2.3463387219065801</v>
      </c>
      <c r="N29" s="602">
        <v>3.88557331196778</v>
      </c>
      <c r="O29" s="602">
        <v>1.5392345900611999</v>
      </c>
      <c r="P29" s="498">
        <v>7130052.2242360003</v>
      </c>
      <c r="Q29" s="602">
        <v>2824505.4542359998</v>
      </c>
      <c r="R29" s="602">
        <v>-0.32746766269788902</v>
      </c>
      <c r="S29" s="602">
        <v>-600905.28457999998</v>
      </c>
      <c r="T29" s="602">
        <v>0</v>
      </c>
      <c r="U29" s="602">
        <v>0</v>
      </c>
      <c r="V29" s="602">
        <v>0</v>
      </c>
      <c r="W29" s="602">
        <v>0</v>
      </c>
      <c r="X29" s="602">
        <v>0</v>
      </c>
      <c r="Y29" s="602">
        <v>0</v>
      </c>
      <c r="Z29" s="602">
        <v>0</v>
      </c>
      <c r="AA29" s="602">
        <v>0</v>
      </c>
      <c r="AB29" s="602">
        <v>0</v>
      </c>
      <c r="AC29" s="602">
        <v>0</v>
      </c>
      <c r="AD29" s="602">
        <v>0</v>
      </c>
      <c r="AE29" s="602">
        <v>0</v>
      </c>
      <c r="AF29" s="602">
        <v>0</v>
      </c>
      <c r="AG29" s="602">
        <v>0</v>
      </c>
      <c r="AH29" s="602">
        <v>0</v>
      </c>
      <c r="AI29" s="602">
        <v>0</v>
      </c>
      <c r="AJ29" s="498">
        <v>0</v>
      </c>
      <c r="AK29" s="498">
        <v>0</v>
      </c>
      <c r="AL29" s="602">
        <v>3.5581056494633501</v>
      </c>
      <c r="AM29" s="602">
        <v>1.21176692755677</v>
      </c>
      <c r="AN29" s="498">
        <v>6529146.9400110003</v>
      </c>
      <c r="AO29" s="603">
        <v>2223600.1700109998</v>
      </c>
    </row>
    <row r="30" spans="1:41" ht="12" thickBot="1">
      <c r="A30" s="918"/>
      <c r="B30" s="918"/>
      <c r="C30" s="918"/>
      <c r="D30" s="918"/>
      <c r="E30" s="919"/>
      <c r="F30" s="600" t="s">
        <v>264</v>
      </c>
      <c r="G30" s="600" t="s">
        <v>264</v>
      </c>
      <c r="H30" s="601">
        <v>170069</v>
      </c>
      <c r="I30" s="602">
        <v>0</v>
      </c>
      <c r="J30" s="602">
        <v>0</v>
      </c>
      <c r="K30" s="602">
        <v>570247933.88429701</v>
      </c>
      <c r="L30" s="602">
        <v>6120967.7400000002</v>
      </c>
      <c r="M30" s="498">
        <v>3.2467741925217402</v>
      </c>
      <c r="N30" s="602">
        <v>4.7244496719881504</v>
      </c>
      <c r="O30" s="602">
        <v>1.47767547946641</v>
      </c>
      <c r="P30" s="498">
        <v>8906749.3816170003</v>
      </c>
      <c r="Q30" s="602">
        <v>2785781.6416170001</v>
      </c>
      <c r="R30" s="602">
        <v>-0.44189898275847</v>
      </c>
      <c r="S30" s="602">
        <v>-833088.24618400005</v>
      </c>
      <c r="T30" s="602">
        <v>0</v>
      </c>
      <c r="U30" s="602">
        <v>0</v>
      </c>
      <c r="V30" s="602">
        <v>0</v>
      </c>
      <c r="W30" s="602">
        <v>0</v>
      </c>
      <c r="X30" s="602">
        <v>0</v>
      </c>
      <c r="Y30" s="602">
        <v>0</v>
      </c>
      <c r="Z30" s="602">
        <v>0</v>
      </c>
      <c r="AA30" s="602">
        <v>0</v>
      </c>
      <c r="AB30" s="602">
        <v>0</v>
      </c>
      <c r="AC30" s="602">
        <v>0</v>
      </c>
      <c r="AD30" s="602">
        <v>0</v>
      </c>
      <c r="AE30" s="602">
        <v>0</v>
      </c>
      <c r="AF30" s="602">
        <v>0</v>
      </c>
      <c r="AG30" s="602">
        <v>0</v>
      </c>
      <c r="AH30" s="602">
        <v>0</v>
      </c>
      <c r="AI30" s="602">
        <v>0</v>
      </c>
      <c r="AJ30" s="498">
        <v>0</v>
      </c>
      <c r="AK30" s="498">
        <v>0</v>
      </c>
      <c r="AL30" s="602">
        <v>4.2825506892222496</v>
      </c>
      <c r="AM30" s="602">
        <v>1.0357764967005101</v>
      </c>
      <c r="AN30" s="498">
        <v>8073661.1354189999</v>
      </c>
      <c r="AO30" s="603">
        <v>1952693.3954189999</v>
      </c>
    </row>
    <row r="31" spans="1:41" ht="12" thickBot="1">
      <c r="A31" s="918"/>
      <c r="B31" s="918"/>
      <c r="C31" s="918"/>
      <c r="D31" s="918"/>
      <c r="E31" s="917" t="s">
        <v>265</v>
      </c>
      <c r="F31" s="600" t="s">
        <v>266</v>
      </c>
      <c r="G31" s="600" t="s">
        <v>266</v>
      </c>
      <c r="H31" s="601">
        <v>170071</v>
      </c>
      <c r="I31" s="602">
        <v>959496856.96000004</v>
      </c>
      <c r="J31" s="602">
        <v>3.5645509439860898</v>
      </c>
      <c r="K31" s="602">
        <v>951445352.45718896</v>
      </c>
      <c r="L31" s="602">
        <v>11714525.310000001</v>
      </c>
      <c r="M31" s="498">
        <v>3.7242305734921701</v>
      </c>
      <c r="N31" s="602">
        <v>5.1125280738782797</v>
      </c>
      <c r="O31" s="602">
        <v>1.38829750038611</v>
      </c>
      <c r="P31" s="498">
        <v>16081399.456257001</v>
      </c>
      <c r="Q31" s="602">
        <v>4366874.146257</v>
      </c>
      <c r="R31" s="602">
        <v>-0.50343626881161696</v>
      </c>
      <c r="S31" s="602">
        <v>-1583553.1115989999</v>
      </c>
      <c r="T31" s="602">
        <v>0</v>
      </c>
      <c r="U31" s="602">
        <v>0</v>
      </c>
      <c r="V31" s="602">
        <v>0</v>
      </c>
      <c r="W31" s="602">
        <v>0</v>
      </c>
      <c r="X31" s="602">
        <v>0</v>
      </c>
      <c r="Y31" s="602">
        <v>0</v>
      </c>
      <c r="Z31" s="602">
        <v>0</v>
      </c>
      <c r="AA31" s="602">
        <v>0</v>
      </c>
      <c r="AB31" s="602">
        <v>0</v>
      </c>
      <c r="AC31" s="602">
        <v>0</v>
      </c>
      <c r="AD31" s="602">
        <v>0</v>
      </c>
      <c r="AE31" s="602">
        <v>0</v>
      </c>
      <c r="AF31" s="602">
        <v>0</v>
      </c>
      <c r="AG31" s="602">
        <v>0</v>
      </c>
      <c r="AH31" s="602">
        <v>0</v>
      </c>
      <c r="AI31" s="602">
        <v>0</v>
      </c>
      <c r="AJ31" s="498">
        <v>0</v>
      </c>
      <c r="AK31" s="498">
        <v>0</v>
      </c>
      <c r="AL31" s="602">
        <v>4.6090918047942102</v>
      </c>
      <c r="AM31" s="602">
        <v>0.88486123130204097</v>
      </c>
      <c r="AN31" s="498">
        <v>14497846.343800999</v>
      </c>
      <c r="AO31" s="603">
        <v>2783321.0338010001</v>
      </c>
    </row>
    <row r="32" spans="1:41" ht="12" thickBot="1">
      <c r="A32" s="918"/>
      <c r="B32" s="918"/>
      <c r="C32" s="918"/>
      <c r="D32" s="918"/>
      <c r="E32" s="918"/>
      <c r="F32" s="917" t="s">
        <v>267</v>
      </c>
      <c r="G32" s="600" t="s">
        <v>268</v>
      </c>
      <c r="H32" s="601">
        <v>170072</v>
      </c>
      <c r="I32" s="602">
        <v>431433210.39999998</v>
      </c>
      <c r="J32" s="602">
        <v>3.19647256233731</v>
      </c>
      <c r="K32" s="602">
        <v>397361818.38999999</v>
      </c>
      <c r="L32" s="602">
        <v>4313413.75</v>
      </c>
      <c r="M32" s="498">
        <v>3.2834522062098399</v>
      </c>
      <c r="N32" s="602">
        <v>4.9881003473872001</v>
      </c>
      <c r="O32" s="602">
        <v>1.70464814117736</v>
      </c>
      <c r="P32" s="498">
        <v>6552780.2061829995</v>
      </c>
      <c r="Q32" s="602">
        <v>2239366.456183</v>
      </c>
      <c r="R32" s="602">
        <v>-0.48491498333176802</v>
      </c>
      <c r="S32" s="602">
        <v>-637024.33454900002</v>
      </c>
      <c r="T32" s="602">
        <v>0</v>
      </c>
      <c r="U32" s="602">
        <v>0</v>
      </c>
      <c r="V32" s="602">
        <v>0</v>
      </c>
      <c r="W32" s="602">
        <v>0</v>
      </c>
      <c r="X32" s="602">
        <v>0</v>
      </c>
      <c r="Y32" s="602">
        <v>0</v>
      </c>
      <c r="Z32" s="602">
        <v>0</v>
      </c>
      <c r="AA32" s="602">
        <v>0</v>
      </c>
      <c r="AB32" s="602">
        <v>0</v>
      </c>
      <c r="AC32" s="602">
        <v>0</v>
      </c>
      <c r="AD32" s="602">
        <v>0</v>
      </c>
      <c r="AE32" s="602">
        <v>0</v>
      </c>
      <c r="AF32" s="602">
        <v>0</v>
      </c>
      <c r="AG32" s="602">
        <v>0</v>
      </c>
      <c r="AH32" s="602">
        <v>0</v>
      </c>
      <c r="AI32" s="602">
        <v>0</v>
      </c>
      <c r="AJ32" s="498">
        <v>0</v>
      </c>
      <c r="AK32" s="498">
        <v>0</v>
      </c>
      <c r="AL32" s="602">
        <v>4.5031853640584796</v>
      </c>
      <c r="AM32" s="602">
        <v>1.2197331578486399</v>
      </c>
      <c r="AN32" s="498">
        <v>5915755.871638</v>
      </c>
      <c r="AO32" s="603">
        <v>1602342.121638</v>
      </c>
    </row>
    <row r="33" spans="1:41" ht="12" thickBot="1">
      <c r="A33" s="918"/>
      <c r="B33" s="918"/>
      <c r="C33" s="918"/>
      <c r="D33" s="918"/>
      <c r="E33" s="918"/>
      <c r="F33" s="918"/>
      <c r="G33" s="600" t="s">
        <v>269</v>
      </c>
      <c r="H33" s="601">
        <v>170073</v>
      </c>
      <c r="I33" s="602">
        <v>1533000000</v>
      </c>
      <c r="J33" s="602">
        <v>4.0411285061970004</v>
      </c>
      <c r="K33" s="602">
        <v>1533000000</v>
      </c>
      <c r="L33" s="602">
        <v>20572137.390000001</v>
      </c>
      <c r="M33" s="498">
        <v>4.0591301476282098</v>
      </c>
      <c r="N33" s="602">
        <v>5.1836809249132303</v>
      </c>
      <c r="O33" s="602">
        <v>1.1245507772850201</v>
      </c>
      <c r="P33" s="498">
        <v>26271489.776090998</v>
      </c>
      <c r="Q33" s="602">
        <v>5699352.3860910004</v>
      </c>
      <c r="R33" s="602">
        <v>-0.51290055033125503</v>
      </c>
      <c r="S33" s="602">
        <v>-2599438.8465189999</v>
      </c>
      <c r="T33" s="602">
        <v>0</v>
      </c>
      <c r="U33" s="602">
        <v>0</v>
      </c>
      <c r="V33" s="602">
        <v>0</v>
      </c>
      <c r="W33" s="602">
        <v>0</v>
      </c>
      <c r="X33" s="602">
        <v>0</v>
      </c>
      <c r="Y33" s="602">
        <v>0</v>
      </c>
      <c r="Z33" s="602">
        <v>0</v>
      </c>
      <c r="AA33" s="602">
        <v>0</v>
      </c>
      <c r="AB33" s="602">
        <v>0</v>
      </c>
      <c r="AC33" s="602">
        <v>0</v>
      </c>
      <c r="AD33" s="602">
        <v>0</v>
      </c>
      <c r="AE33" s="602">
        <v>0</v>
      </c>
      <c r="AF33" s="602">
        <v>0</v>
      </c>
      <c r="AG33" s="602">
        <v>0</v>
      </c>
      <c r="AH33" s="602">
        <v>0</v>
      </c>
      <c r="AI33" s="602">
        <v>0</v>
      </c>
      <c r="AJ33" s="498">
        <v>0</v>
      </c>
      <c r="AK33" s="498">
        <v>0</v>
      </c>
      <c r="AL33" s="602">
        <v>4.6707803745606702</v>
      </c>
      <c r="AM33" s="602">
        <v>0.61165022693245796</v>
      </c>
      <c r="AN33" s="498">
        <v>23672050.929464001</v>
      </c>
      <c r="AO33" s="603">
        <v>3099913.5394640001</v>
      </c>
    </row>
    <row r="34" spans="1:41" ht="12" thickBot="1">
      <c r="A34" s="918"/>
      <c r="B34" s="918"/>
      <c r="C34" s="918"/>
      <c r="D34" s="918"/>
      <c r="E34" s="919"/>
      <c r="F34" s="919"/>
      <c r="G34" s="600" t="s">
        <v>270</v>
      </c>
      <c r="H34" s="601">
        <v>170078</v>
      </c>
      <c r="I34" s="602">
        <v>4150000</v>
      </c>
      <c r="J34" s="602">
        <v>3.4301204819277098</v>
      </c>
      <c r="K34" s="602">
        <v>4150000</v>
      </c>
      <c r="L34" s="602">
        <v>47161.52</v>
      </c>
      <c r="M34" s="498">
        <v>3.43744226227223</v>
      </c>
      <c r="N34" s="602">
        <v>5.0269413082541101</v>
      </c>
      <c r="O34" s="602">
        <v>1.5894990459818801</v>
      </c>
      <c r="P34" s="498">
        <v>68969.360052999997</v>
      </c>
      <c r="Q34" s="602">
        <v>21807.840053</v>
      </c>
      <c r="R34" s="602">
        <v>-0.49185324105147898</v>
      </c>
      <c r="S34" s="602">
        <v>-6748.1995900000002</v>
      </c>
      <c r="T34" s="602">
        <v>0</v>
      </c>
      <c r="U34" s="602">
        <v>0</v>
      </c>
      <c r="V34" s="602">
        <v>0</v>
      </c>
      <c r="W34" s="602">
        <v>0</v>
      </c>
      <c r="X34" s="602">
        <v>0</v>
      </c>
      <c r="Y34" s="602">
        <v>0</v>
      </c>
      <c r="Z34" s="602">
        <v>0</v>
      </c>
      <c r="AA34" s="602">
        <v>0</v>
      </c>
      <c r="AB34" s="602">
        <v>0</v>
      </c>
      <c r="AC34" s="602">
        <v>0</v>
      </c>
      <c r="AD34" s="602">
        <v>0</v>
      </c>
      <c r="AE34" s="602">
        <v>0</v>
      </c>
      <c r="AF34" s="602">
        <v>0</v>
      </c>
      <c r="AG34" s="602">
        <v>0</v>
      </c>
      <c r="AH34" s="602">
        <v>0</v>
      </c>
      <c r="AI34" s="602">
        <v>0</v>
      </c>
      <c r="AJ34" s="498">
        <v>0</v>
      </c>
      <c r="AK34" s="498">
        <v>0</v>
      </c>
      <c r="AL34" s="602">
        <v>4.5350880690247903</v>
      </c>
      <c r="AM34" s="602">
        <v>1.0976458067525601</v>
      </c>
      <c r="AN34" s="498">
        <v>62221.160488000001</v>
      </c>
      <c r="AO34" s="603">
        <v>15059.640487999999</v>
      </c>
    </row>
    <row r="35" spans="1:41" ht="12" thickBot="1">
      <c r="A35" s="918"/>
      <c r="B35" s="918"/>
      <c r="C35" s="918"/>
      <c r="D35" s="918"/>
      <c r="E35" s="917" t="s">
        <v>271</v>
      </c>
      <c r="F35" s="600" t="s">
        <v>272</v>
      </c>
      <c r="G35" s="600" t="s">
        <v>272</v>
      </c>
      <c r="H35" s="601">
        <v>170081</v>
      </c>
      <c r="I35" s="602">
        <v>1281251210.4100001</v>
      </c>
      <c r="J35" s="602">
        <v>4.4242502395635297</v>
      </c>
      <c r="K35" s="602">
        <v>1252937934.3801601</v>
      </c>
      <c r="L35" s="602">
        <v>18365309.350000001</v>
      </c>
      <c r="M35" s="498">
        <v>4.4336806137032401</v>
      </c>
      <c r="N35" s="602">
        <v>5.3915765521598802</v>
      </c>
      <c r="O35" s="602">
        <v>0.957895938456644</v>
      </c>
      <c r="P35" s="498">
        <v>22333131.294705</v>
      </c>
      <c r="Q35" s="602">
        <v>3967821.9447050001</v>
      </c>
      <c r="R35" s="602">
        <v>-0.54418289139912102</v>
      </c>
      <c r="S35" s="602">
        <v>-2254128.7959790002</v>
      </c>
      <c r="T35" s="602">
        <v>0</v>
      </c>
      <c r="U35" s="602">
        <v>0</v>
      </c>
      <c r="V35" s="602">
        <v>0</v>
      </c>
      <c r="W35" s="602">
        <v>0</v>
      </c>
      <c r="X35" s="602">
        <v>0</v>
      </c>
      <c r="Y35" s="602">
        <v>0</v>
      </c>
      <c r="Z35" s="602">
        <v>0</v>
      </c>
      <c r="AA35" s="602">
        <v>0</v>
      </c>
      <c r="AB35" s="602">
        <v>0</v>
      </c>
      <c r="AC35" s="602">
        <v>0</v>
      </c>
      <c r="AD35" s="602">
        <v>0</v>
      </c>
      <c r="AE35" s="602">
        <v>0</v>
      </c>
      <c r="AF35" s="602">
        <v>0</v>
      </c>
      <c r="AG35" s="602">
        <v>0</v>
      </c>
      <c r="AH35" s="602">
        <v>0</v>
      </c>
      <c r="AI35" s="602">
        <v>0</v>
      </c>
      <c r="AJ35" s="498">
        <v>0</v>
      </c>
      <c r="AK35" s="498">
        <v>0</v>
      </c>
      <c r="AL35" s="602">
        <v>4.8473936608491099</v>
      </c>
      <c r="AM35" s="602">
        <v>0.41371304714588097</v>
      </c>
      <c r="AN35" s="498">
        <v>20079002.499092001</v>
      </c>
      <c r="AO35" s="603">
        <v>1713693.149092</v>
      </c>
    </row>
    <row r="36" spans="1:41" ht="12" thickBot="1">
      <c r="A36" s="918"/>
      <c r="B36" s="918"/>
      <c r="C36" s="918"/>
      <c r="D36" s="918"/>
      <c r="E36" s="918"/>
      <c r="F36" s="917" t="s">
        <v>273</v>
      </c>
      <c r="G36" s="600" t="s">
        <v>274</v>
      </c>
      <c r="H36" s="601">
        <v>170082</v>
      </c>
      <c r="I36" s="602">
        <v>7171540000</v>
      </c>
      <c r="J36" s="602">
        <v>4.6565729954793502</v>
      </c>
      <c r="K36" s="602">
        <v>7171540000</v>
      </c>
      <c r="L36" s="602">
        <v>110624097.75</v>
      </c>
      <c r="M36" s="498">
        <v>4.6658742679425398</v>
      </c>
      <c r="N36" s="602">
        <v>5.8721149187930202</v>
      </c>
      <c r="O36" s="602">
        <v>1.2062406508504699</v>
      </c>
      <c r="P36" s="498">
        <v>139223086.06533399</v>
      </c>
      <c r="Q36" s="602">
        <v>28598988.315334</v>
      </c>
      <c r="R36" s="602">
        <v>-0.61123496651487097</v>
      </c>
      <c r="S36" s="602">
        <v>-14491885.721938999</v>
      </c>
      <c r="T36" s="602">
        <v>0</v>
      </c>
      <c r="U36" s="602">
        <v>0</v>
      </c>
      <c r="V36" s="602">
        <v>0</v>
      </c>
      <c r="W36" s="602">
        <v>0</v>
      </c>
      <c r="X36" s="602">
        <v>0</v>
      </c>
      <c r="Y36" s="602">
        <v>0</v>
      </c>
      <c r="Z36" s="602">
        <v>0</v>
      </c>
      <c r="AA36" s="602">
        <v>0</v>
      </c>
      <c r="AB36" s="602">
        <v>0</v>
      </c>
      <c r="AC36" s="602">
        <v>0</v>
      </c>
      <c r="AD36" s="602">
        <v>0</v>
      </c>
      <c r="AE36" s="602">
        <v>0</v>
      </c>
      <c r="AF36" s="602">
        <v>0</v>
      </c>
      <c r="AG36" s="602">
        <v>0</v>
      </c>
      <c r="AH36" s="602">
        <v>0</v>
      </c>
      <c r="AI36" s="602">
        <v>0</v>
      </c>
      <c r="AJ36" s="498">
        <v>0</v>
      </c>
      <c r="AK36" s="498">
        <v>0</v>
      </c>
      <c r="AL36" s="602">
        <v>5.2608799522790299</v>
      </c>
      <c r="AM36" s="602">
        <v>0.59500568433648704</v>
      </c>
      <c r="AN36" s="498">
        <v>124731200.34341601</v>
      </c>
      <c r="AO36" s="603">
        <v>14107102.593416</v>
      </c>
    </row>
    <row r="37" spans="1:41" ht="12" thickBot="1">
      <c r="A37" s="918"/>
      <c r="B37" s="918"/>
      <c r="C37" s="918"/>
      <c r="D37" s="918"/>
      <c r="E37" s="918"/>
      <c r="F37" s="918"/>
      <c r="G37" s="600" t="s">
        <v>275</v>
      </c>
      <c r="H37" s="601">
        <v>170083</v>
      </c>
      <c r="I37" s="602">
        <v>510000000</v>
      </c>
      <c r="J37" s="602">
        <v>4.4385294117647103</v>
      </c>
      <c r="K37" s="602">
        <v>510000000</v>
      </c>
      <c r="L37" s="602">
        <v>7511509.0499999998</v>
      </c>
      <c r="M37" s="498">
        <v>4.45505155128828</v>
      </c>
      <c r="N37" s="602">
        <v>5.1889396352557897</v>
      </c>
      <c r="O37" s="602">
        <v>0.73388808396750604</v>
      </c>
      <c r="P37" s="498">
        <v>8748892.4833780006</v>
      </c>
      <c r="Q37" s="602">
        <v>1237383.433378</v>
      </c>
      <c r="R37" s="602">
        <v>-0.51397410596674797</v>
      </c>
      <c r="S37" s="602">
        <v>-866594.04587999999</v>
      </c>
      <c r="T37" s="602">
        <v>0</v>
      </c>
      <c r="U37" s="602">
        <v>0</v>
      </c>
      <c r="V37" s="602">
        <v>0</v>
      </c>
      <c r="W37" s="602">
        <v>0</v>
      </c>
      <c r="X37" s="602">
        <v>0</v>
      </c>
      <c r="Y37" s="602">
        <v>0</v>
      </c>
      <c r="Z37" s="602">
        <v>0</v>
      </c>
      <c r="AA37" s="602">
        <v>0</v>
      </c>
      <c r="AB37" s="602">
        <v>0</v>
      </c>
      <c r="AC37" s="602">
        <v>0</v>
      </c>
      <c r="AD37" s="602">
        <v>0</v>
      </c>
      <c r="AE37" s="602">
        <v>0</v>
      </c>
      <c r="AF37" s="602">
        <v>0</v>
      </c>
      <c r="AG37" s="602">
        <v>0</v>
      </c>
      <c r="AH37" s="602">
        <v>0</v>
      </c>
      <c r="AI37" s="602">
        <v>0</v>
      </c>
      <c r="AJ37" s="498">
        <v>0</v>
      </c>
      <c r="AK37" s="498">
        <v>0</v>
      </c>
      <c r="AL37" s="602">
        <v>4.6749655293187002</v>
      </c>
      <c r="AM37" s="602">
        <v>0.21991397803041299</v>
      </c>
      <c r="AN37" s="498">
        <v>7882298.4375480004</v>
      </c>
      <c r="AO37" s="603">
        <v>370789.38754800003</v>
      </c>
    </row>
    <row r="38" spans="1:41" ht="12" thickBot="1">
      <c r="A38" s="918"/>
      <c r="B38" s="918"/>
      <c r="C38" s="918"/>
      <c r="D38" s="918"/>
      <c r="E38" s="918"/>
      <c r="F38" s="918"/>
      <c r="G38" s="600" t="s">
        <v>276</v>
      </c>
      <c r="H38" s="601">
        <v>170086</v>
      </c>
      <c r="I38" s="602">
        <v>16500000</v>
      </c>
      <c r="J38" s="602">
        <v>4.7765151515151496</v>
      </c>
      <c r="K38" s="602">
        <v>16500000</v>
      </c>
      <c r="L38" s="602">
        <v>261287.91</v>
      </c>
      <c r="M38" s="498">
        <v>4.7899511675432001</v>
      </c>
      <c r="N38" s="602">
        <v>5.2466319195411</v>
      </c>
      <c r="O38" s="602">
        <v>0.45668075199789598</v>
      </c>
      <c r="P38" s="498">
        <v>286199.47069300001</v>
      </c>
      <c r="Q38" s="602">
        <v>24911.560692999999</v>
      </c>
      <c r="R38" s="602">
        <v>-0.52183403378211901</v>
      </c>
      <c r="S38" s="602">
        <v>-28465.61881</v>
      </c>
      <c r="T38" s="602">
        <v>0</v>
      </c>
      <c r="U38" s="602">
        <v>0</v>
      </c>
      <c r="V38" s="602">
        <v>0</v>
      </c>
      <c r="W38" s="602">
        <v>0</v>
      </c>
      <c r="X38" s="602">
        <v>0</v>
      </c>
      <c r="Y38" s="602">
        <v>0</v>
      </c>
      <c r="Z38" s="602">
        <v>0</v>
      </c>
      <c r="AA38" s="602">
        <v>0</v>
      </c>
      <c r="AB38" s="602">
        <v>0</v>
      </c>
      <c r="AC38" s="602">
        <v>0</v>
      </c>
      <c r="AD38" s="602">
        <v>0</v>
      </c>
      <c r="AE38" s="602">
        <v>0</v>
      </c>
      <c r="AF38" s="602">
        <v>0</v>
      </c>
      <c r="AG38" s="602">
        <v>0</v>
      </c>
      <c r="AH38" s="602">
        <v>0</v>
      </c>
      <c r="AI38" s="602">
        <v>0</v>
      </c>
      <c r="AJ38" s="498">
        <v>0</v>
      </c>
      <c r="AK38" s="498">
        <v>0</v>
      </c>
      <c r="AL38" s="602">
        <v>4.7247978845673897</v>
      </c>
      <c r="AM38" s="602">
        <v>-6.5153282975807997E-2</v>
      </c>
      <c r="AN38" s="498">
        <v>257733.851818</v>
      </c>
      <c r="AO38" s="603">
        <v>-3554.0581820000002</v>
      </c>
    </row>
    <row r="39" spans="1:41" ht="12" thickBot="1">
      <c r="A39" s="918"/>
      <c r="B39" s="918"/>
      <c r="C39" s="918"/>
      <c r="D39" s="918"/>
      <c r="E39" s="919"/>
      <c r="F39" s="919"/>
      <c r="G39" s="600" t="s">
        <v>277</v>
      </c>
      <c r="H39" s="601">
        <v>170088</v>
      </c>
      <c r="I39" s="602">
        <v>0</v>
      </c>
      <c r="J39" s="602">
        <v>0</v>
      </c>
      <c r="K39" s="602">
        <v>33884297.520660996</v>
      </c>
      <c r="L39" s="602">
        <v>-1152540.32</v>
      </c>
      <c r="M39" s="498">
        <v>-10.288530661463501</v>
      </c>
      <c r="N39" s="602">
        <v>5.2321224505870196</v>
      </c>
      <c r="O39" s="602">
        <v>15.5206531120504</v>
      </c>
      <c r="P39" s="498">
        <v>586112.07779799995</v>
      </c>
      <c r="Q39" s="602">
        <v>1738652.3977979999</v>
      </c>
      <c r="R39" s="602">
        <v>-0.51803316985361003</v>
      </c>
      <c r="S39" s="602">
        <v>-58031.038153000001</v>
      </c>
      <c r="T39" s="602">
        <v>0</v>
      </c>
      <c r="U39" s="602">
        <v>0</v>
      </c>
      <c r="V39" s="602">
        <v>0.302360346032927</v>
      </c>
      <c r="W39" s="602">
        <v>33870.967725000002</v>
      </c>
      <c r="X39" s="602">
        <v>0</v>
      </c>
      <c r="Y39" s="602">
        <v>0</v>
      </c>
      <c r="Z39" s="602">
        <v>0</v>
      </c>
      <c r="AA39" s="602">
        <v>0</v>
      </c>
      <c r="AB39" s="602">
        <v>0</v>
      </c>
      <c r="AC39" s="602">
        <v>0</v>
      </c>
      <c r="AD39" s="602">
        <v>0</v>
      </c>
      <c r="AE39" s="602">
        <v>0</v>
      </c>
      <c r="AF39" s="602">
        <v>0</v>
      </c>
      <c r="AG39" s="602">
        <v>0</v>
      </c>
      <c r="AH39" s="602">
        <v>0</v>
      </c>
      <c r="AI39" s="602">
        <v>0</v>
      </c>
      <c r="AJ39" s="498">
        <v>0</v>
      </c>
      <c r="AK39" s="498">
        <v>0</v>
      </c>
      <c r="AL39" s="602">
        <v>5.01644962692703</v>
      </c>
      <c r="AM39" s="602">
        <v>15.3049802883904</v>
      </c>
      <c r="AN39" s="498">
        <v>561952.00738800003</v>
      </c>
      <c r="AO39" s="603">
        <v>1714492.327388</v>
      </c>
    </row>
    <row r="40" spans="1:41" ht="12" thickBot="1">
      <c r="A40" s="918"/>
      <c r="B40" s="918"/>
      <c r="C40" s="918"/>
      <c r="D40" s="918"/>
      <c r="E40" s="917" t="s">
        <v>278</v>
      </c>
      <c r="F40" s="600" t="s">
        <v>279</v>
      </c>
      <c r="G40" s="600" t="s">
        <v>279</v>
      </c>
      <c r="H40" s="601">
        <v>170091</v>
      </c>
      <c r="I40" s="602">
        <v>191538431.52000001</v>
      </c>
      <c r="J40" s="602">
        <v>5.1104760392970601</v>
      </c>
      <c r="K40" s="602">
        <v>189705752.39933801</v>
      </c>
      <c r="L40" s="602">
        <v>3027773.21</v>
      </c>
      <c r="M40" s="498">
        <v>4.8276809065831401</v>
      </c>
      <c r="N40" s="602">
        <v>5.9639347711814503</v>
      </c>
      <c r="O40" s="602">
        <v>1.13625386459833</v>
      </c>
      <c r="P40" s="498">
        <v>3740396.7403370002</v>
      </c>
      <c r="Q40" s="602">
        <v>712623.53033700003</v>
      </c>
      <c r="R40" s="602">
        <v>-0.62554711150342401</v>
      </c>
      <c r="S40" s="602">
        <v>-392323.93823299999</v>
      </c>
      <c r="T40" s="602">
        <v>0</v>
      </c>
      <c r="U40" s="602">
        <v>0</v>
      </c>
      <c r="V40" s="602">
        <v>0</v>
      </c>
      <c r="W40" s="602">
        <v>0</v>
      </c>
      <c r="X40" s="602">
        <v>0</v>
      </c>
      <c r="Y40" s="602">
        <v>0</v>
      </c>
      <c r="Z40" s="602">
        <v>0</v>
      </c>
      <c r="AA40" s="602">
        <v>0</v>
      </c>
      <c r="AB40" s="602">
        <v>0</v>
      </c>
      <c r="AC40" s="602">
        <v>0</v>
      </c>
      <c r="AD40" s="602">
        <v>0</v>
      </c>
      <c r="AE40" s="602">
        <v>0</v>
      </c>
      <c r="AF40" s="602">
        <v>0</v>
      </c>
      <c r="AG40" s="602">
        <v>0</v>
      </c>
      <c r="AH40" s="602">
        <v>-1.8330767993786998E-2</v>
      </c>
      <c r="AI40" s="602">
        <v>-11496.494761</v>
      </c>
      <c r="AJ40" s="498">
        <v>0</v>
      </c>
      <c r="AK40" s="498">
        <v>0</v>
      </c>
      <c r="AL40" s="602">
        <v>5.3200568933871297</v>
      </c>
      <c r="AM40" s="602">
        <v>0.49237598680400901</v>
      </c>
      <c r="AN40" s="498">
        <v>3336576.3084109998</v>
      </c>
      <c r="AO40" s="603">
        <v>308803.09841099998</v>
      </c>
    </row>
    <row r="41" spans="1:41" ht="12" thickBot="1">
      <c r="A41" s="918"/>
      <c r="B41" s="918"/>
      <c r="C41" s="918"/>
      <c r="D41" s="918"/>
      <c r="E41" s="918"/>
      <c r="F41" s="917" t="s">
        <v>280</v>
      </c>
      <c r="G41" s="600" t="s">
        <v>281</v>
      </c>
      <c r="H41" s="601">
        <v>170092</v>
      </c>
      <c r="I41" s="602">
        <v>15243600000</v>
      </c>
      <c r="J41" s="602">
        <v>5.0631320685402397</v>
      </c>
      <c r="K41" s="602">
        <v>15243600000</v>
      </c>
      <c r="L41" s="602">
        <v>255981314.90000001</v>
      </c>
      <c r="M41" s="498">
        <v>5.0794470392235098</v>
      </c>
      <c r="N41" s="602">
        <v>5.99259550419211</v>
      </c>
      <c r="O41" s="602">
        <v>0.91314846496860902</v>
      </c>
      <c r="P41" s="498">
        <v>301999895.85114902</v>
      </c>
      <c r="Q41" s="602">
        <v>46018580.951149002</v>
      </c>
      <c r="R41" s="602">
        <v>-0.62847610210944505</v>
      </c>
      <c r="S41" s="602">
        <v>-31672372.555300001</v>
      </c>
      <c r="T41" s="602">
        <v>0</v>
      </c>
      <c r="U41" s="602">
        <v>0</v>
      </c>
      <c r="V41" s="602">
        <v>0</v>
      </c>
      <c r="W41" s="602">
        <v>0</v>
      </c>
      <c r="X41" s="602">
        <v>0</v>
      </c>
      <c r="Y41" s="602">
        <v>0</v>
      </c>
      <c r="Z41" s="602">
        <v>0</v>
      </c>
      <c r="AA41" s="602">
        <v>0</v>
      </c>
      <c r="AB41" s="602">
        <v>0</v>
      </c>
      <c r="AC41" s="602">
        <v>0</v>
      </c>
      <c r="AD41" s="602">
        <v>0</v>
      </c>
      <c r="AE41" s="602">
        <v>0</v>
      </c>
      <c r="AF41" s="602">
        <v>0</v>
      </c>
      <c r="AG41" s="602">
        <v>0</v>
      </c>
      <c r="AH41" s="602">
        <v>-1.0186092999006999E-2</v>
      </c>
      <c r="AI41" s="602">
        <v>-513333.333224</v>
      </c>
      <c r="AJ41" s="498">
        <v>0</v>
      </c>
      <c r="AK41" s="498">
        <v>0</v>
      </c>
      <c r="AL41" s="602">
        <v>5.35393330908434</v>
      </c>
      <c r="AM41" s="602">
        <v>0.27448626986083202</v>
      </c>
      <c r="AN41" s="498">
        <v>269814189.962659</v>
      </c>
      <c r="AO41" s="603">
        <v>13832875.062658999</v>
      </c>
    </row>
    <row r="42" spans="1:41" ht="12" thickBot="1">
      <c r="A42" s="918"/>
      <c r="B42" s="918"/>
      <c r="C42" s="918"/>
      <c r="D42" s="919"/>
      <c r="E42" s="919"/>
      <c r="F42" s="919"/>
      <c r="G42" s="600" t="s">
        <v>282</v>
      </c>
      <c r="H42" s="601">
        <v>170098</v>
      </c>
      <c r="I42" s="602">
        <v>60000</v>
      </c>
      <c r="J42" s="602">
        <v>5.2249999999999996</v>
      </c>
      <c r="K42" s="602">
        <v>60000</v>
      </c>
      <c r="L42" s="602">
        <v>1042.47</v>
      </c>
      <c r="M42" s="498">
        <v>5.2554272727272702</v>
      </c>
      <c r="N42" s="602">
        <v>5.9074827043801701</v>
      </c>
      <c r="O42" s="602">
        <v>0.65205543165289304</v>
      </c>
      <c r="P42" s="498">
        <v>1171.8121430000001</v>
      </c>
      <c r="Q42" s="602">
        <v>129.34214299999999</v>
      </c>
      <c r="R42" s="602">
        <v>-0.61628999735537204</v>
      </c>
      <c r="S42" s="602">
        <v>-122.247688</v>
      </c>
      <c r="T42" s="602">
        <v>0</v>
      </c>
      <c r="U42" s="602">
        <v>0</v>
      </c>
      <c r="V42" s="602">
        <v>0</v>
      </c>
      <c r="W42" s="602">
        <v>0</v>
      </c>
      <c r="X42" s="602">
        <v>0</v>
      </c>
      <c r="Y42" s="602">
        <v>0</v>
      </c>
      <c r="Z42" s="602">
        <v>0</v>
      </c>
      <c r="AA42" s="602">
        <v>0</v>
      </c>
      <c r="AB42" s="602">
        <v>0</v>
      </c>
      <c r="AC42" s="602">
        <v>0</v>
      </c>
      <c r="AD42" s="602">
        <v>0</v>
      </c>
      <c r="AE42" s="602">
        <v>0</v>
      </c>
      <c r="AF42" s="602">
        <v>0</v>
      </c>
      <c r="AG42" s="602">
        <v>0</v>
      </c>
      <c r="AH42" s="602">
        <v>0</v>
      </c>
      <c r="AI42" s="602">
        <v>0</v>
      </c>
      <c r="AJ42" s="498">
        <v>0</v>
      </c>
      <c r="AK42" s="498">
        <v>0</v>
      </c>
      <c r="AL42" s="602">
        <v>5.29119258603306</v>
      </c>
      <c r="AM42" s="602">
        <v>3.5765313305785001E-2</v>
      </c>
      <c r="AN42" s="498">
        <v>1049.564431</v>
      </c>
      <c r="AO42" s="603">
        <v>7.0944310000000002</v>
      </c>
    </row>
    <row r="43" spans="1:41" ht="12" thickBot="1">
      <c r="A43" s="918"/>
      <c r="B43" s="918"/>
      <c r="C43" s="918"/>
      <c r="D43" s="917" t="s">
        <v>283</v>
      </c>
      <c r="E43" s="917" t="s">
        <v>283</v>
      </c>
      <c r="F43" s="917" t="s">
        <v>283</v>
      </c>
      <c r="G43" s="600" t="s">
        <v>283</v>
      </c>
      <c r="H43" s="601">
        <v>170111</v>
      </c>
      <c r="I43" s="602">
        <v>6225000000</v>
      </c>
      <c r="J43" s="602">
        <v>6.4334618473895597</v>
      </c>
      <c r="K43" s="602">
        <v>6204173553.7190104</v>
      </c>
      <c r="L43" s="602">
        <v>134085703.81</v>
      </c>
      <c r="M43" s="498">
        <v>6.5372373428257404</v>
      </c>
      <c r="N43" s="602">
        <v>6.1932077746921097</v>
      </c>
      <c r="O43" s="602">
        <v>-0.344029568133638</v>
      </c>
      <c r="P43" s="498">
        <v>127029290.778695</v>
      </c>
      <c r="Q43" s="602">
        <v>-7056413.0313050002</v>
      </c>
      <c r="R43" s="602">
        <v>-0.65555834523770296</v>
      </c>
      <c r="S43" s="602">
        <v>-13446200.206603</v>
      </c>
      <c r="T43" s="602">
        <v>0</v>
      </c>
      <c r="U43" s="602">
        <v>0</v>
      </c>
      <c r="V43" s="602">
        <v>0</v>
      </c>
      <c r="W43" s="602">
        <v>0</v>
      </c>
      <c r="X43" s="602">
        <v>0</v>
      </c>
      <c r="Y43" s="602">
        <v>0</v>
      </c>
      <c r="Z43" s="602">
        <v>0</v>
      </c>
      <c r="AA43" s="602">
        <v>0</v>
      </c>
      <c r="AB43" s="602">
        <v>0</v>
      </c>
      <c r="AC43" s="602">
        <v>0</v>
      </c>
      <c r="AD43" s="602">
        <v>0</v>
      </c>
      <c r="AE43" s="602">
        <v>0</v>
      </c>
      <c r="AF43" s="602">
        <v>0</v>
      </c>
      <c r="AG43" s="602">
        <v>0</v>
      </c>
      <c r="AH43" s="602">
        <v>-8.8488820449729999E-3</v>
      </c>
      <c r="AI43" s="602">
        <v>-181499.99987900001</v>
      </c>
      <c r="AJ43" s="498">
        <v>0</v>
      </c>
      <c r="AK43" s="498">
        <v>0</v>
      </c>
      <c r="AL43" s="602">
        <v>5.52880054741357</v>
      </c>
      <c r="AM43" s="602">
        <v>-1.00843679541217</v>
      </c>
      <c r="AN43" s="498">
        <v>113401590.57229801</v>
      </c>
      <c r="AO43" s="603">
        <v>-20684113.237702001</v>
      </c>
    </row>
    <row r="44" spans="1:41" ht="12" thickBot="1">
      <c r="A44" s="918"/>
      <c r="B44" s="918"/>
      <c r="C44" s="918"/>
      <c r="D44" s="919"/>
      <c r="E44" s="919"/>
      <c r="F44" s="919"/>
      <c r="G44" s="600" t="s">
        <v>3945</v>
      </c>
      <c r="H44" s="601">
        <v>170112</v>
      </c>
      <c r="I44" s="602">
        <v>4000000000</v>
      </c>
      <c r="J44" s="602">
        <v>4.45</v>
      </c>
      <c r="K44" s="602">
        <v>5246280991.7355404</v>
      </c>
      <c r="L44" s="602">
        <v>34917777.770000003</v>
      </c>
      <c r="M44" s="498">
        <v>2.0132178109357302</v>
      </c>
      <c r="N44" s="602">
        <v>5.56701947242742</v>
      </c>
      <c r="O44" s="602">
        <v>3.5538016614916899</v>
      </c>
      <c r="P44" s="498">
        <v>96555845.931610003</v>
      </c>
      <c r="Q44" s="602">
        <v>61638068.16161</v>
      </c>
      <c r="R44" s="602">
        <v>-0.56495980063917095</v>
      </c>
      <c r="S44" s="602">
        <v>-9798810.9684629999</v>
      </c>
      <c r="T44" s="602">
        <v>0</v>
      </c>
      <c r="U44" s="602">
        <v>0</v>
      </c>
      <c r="V44" s="602">
        <v>0</v>
      </c>
      <c r="W44" s="602">
        <v>0</v>
      </c>
      <c r="X44" s="602">
        <v>0</v>
      </c>
      <c r="Y44" s="602">
        <v>0</v>
      </c>
      <c r="Z44" s="602">
        <v>0</v>
      </c>
      <c r="AA44" s="602">
        <v>0</v>
      </c>
      <c r="AB44" s="602">
        <v>0</v>
      </c>
      <c r="AC44" s="602">
        <v>0</v>
      </c>
      <c r="AD44" s="602">
        <v>0</v>
      </c>
      <c r="AE44" s="602">
        <v>0</v>
      </c>
      <c r="AF44" s="602">
        <v>0</v>
      </c>
      <c r="AG44" s="602">
        <v>0</v>
      </c>
      <c r="AH44" s="602">
        <v>-0.203333333338311</v>
      </c>
      <c r="AI44" s="602">
        <v>-3526666.6667530001</v>
      </c>
      <c r="AJ44" s="498">
        <v>0</v>
      </c>
      <c r="AK44" s="498">
        <v>0</v>
      </c>
      <c r="AL44" s="602">
        <v>4.7987263384533998</v>
      </c>
      <c r="AM44" s="602">
        <v>2.7855085275176701</v>
      </c>
      <c r="AN44" s="498">
        <v>83230368.296453997</v>
      </c>
      <c r="AO44" s="603">
        <v>48312590.526454002</v>
      </c>
    </row>
    <row r="45" spans="1:41" ht="12" thickBot="1">
      <c r="A45" s="918"/>
      <c r="B45" s="918"/>
      <c r="C45" s="918"/>
      <c r="D45" s="917" t="s">
        <v>284</v>
      </c>
      <c r="E45" s="600" t="s">
        <v>2640</v>
      </c>
      <c r="F45" s="600" t="s">
        <v>2640</v>
      </c>
      <c r="G45" s="600" t="s">
        <v>2640</v>
      </c>
      <c r="H45" s="601">
        <v>170121</v>
      </c>
      <c r="I45" s="602">
        <v>0</v>
      </c>
      <c r="J45" s="602">
        <v>0</v>
      </c>
      <c r="K45" s="602">
        <v>1239669.4214880001</v>
      </c>
      <c r="L45" s="602">
        <v>2291.67</v>
      </c>
      <c r="M45" s="498">
        <v>0.55916747999982097</v>
      </c>
      <c r="N45" s="602">
        <v>3.0426495</v>
      </c>
      <c r="O45" s="602">
        <v>2.4834820199999998</v>
      </c>
      <c r="P45" s="498">
        <v>12469.875</v>
      </c>
      <c r="Q45" s="602">
        <v>10178.205</v>
      </c>
      <c r="R45" s="602">
        <v>-0.2023691775</v>
      </c>
      <c r="S45" s="602">
        <v>-829.38187500000004</v>
      </c>
      <c r="T45" s="602">
        <v>0</v>
      </c>
      <c r="U45" s="602">
        <v>0</v>
      </c>
      <c r="V45" s="602">
        <v>0</v>
      </c>
      <c r="W45" s="602">
        <v>0</v>
      </c>
      <c r="X45" s="602">
        <v>0</v>
      </c>
      <c r="Y45" s="602">
        <v>0</v>
      </c>
      <c r="Z45" s="602">
        <v>0</v>
      </c>
      <c r="AA45" s="602">
        <v>0</v>
      </c>
      <c r="AB45" s="602">
        <v>0</v>
      </c>
      <c r="AC45" s="602">
        <v>0</v>
      </c>
      <c r="AD45" s="602">
        <v>0</v>
      </c>
      <c r="AE45" s="602">
        <v>0</v>
      </c>
      <c r="AF45" s="602">
        <v>0</v>
      </c>
      <c r="AG45" s="602">
        <v>0</v>
      </c>
      <c r="AH45" s="602">
        <v>0</v>
      </c>
      <c r="AI45" s="602">
        <v>0</v>
      </c>
      <c r="AJ45" s="498">
        <v>0</v>
      </c>
      <c r="AK45" s="498">
        <v>0</v>
      </c>
      <c r="AL45" s="602">
        <v>2.8402803225</v>
      </c>
      <c r="AM45" s="602">
        <v>2.2811128424999998</v>
      </c>
      <c r="AN45" s="498">
        <v>11640.493125000001</v>
      </c>
      <c r="AO45" s="603">
        <v>9348.8231250000008</v>
      </c>
    </row>
    <row r="46" spans="1:41" ht="12" thickBot="1">
      <c r="A46" s="918"/>
      <c r="B46" s="918"/>
      <c r="C46" s="918"/>
      <c r="D46" s="918"/>
      <c r="E46" s="600" t="s">
        <v>285</v>
      </c>
      <c r="F46" s="600" t="s">
        <v>285</v>
      </c>
      <c r="G46" s="600" t="s">
        <v>285</v>
      </c>
      <c r="H46" s="601">
        <v>170122</v>
      </c>
      <c r="I46" s="602">
        <v>246940291.05000001</v>
      </c>
      <c r="J46" s="602">
        <v>1.4103989214318999</v>
      </c>
      <c r="K46" s="602">
        <v>284991582.76305801</v>
      </c>
      <c r="L46" s="602">
        <v>1270221.01</v>
      </c>
      <c r="M46" s="498">
        <v>1.3481647688124601</v>
      </c>
      <c r="N46" s="602">
        <v>3.1338018918678299</v>
      </c>
      <c r="O46" s="602">
        <v>1.78563712305537</v>
      </c>
      <c r="P46" s="498">
        <v>2952622.0357579999</v>
      </c>
      <c r="Q46" s="602">
        <v>1682401.0257580001</v>
      </c>
      <c r="R46" s="602">
        <v>-0.21856643488692701</v>
      </c>
      <c r="S46" s="602">
        <v>-205930.07924299999</v>
      </c>
      <c r="T46" s="602">
        <v>0</v>
      </c>
      <c r="U46" s="602">
        <v>0</v>
      </c>
      <c r="V46" s="602">
        <v>0</v>
      </c>
      <c r="W46" s="602">
        <v>0</v>
      </c>
      <c r="X46" s="602">
        <v>0</v>
      </c>
      <c r="Y46" s="602">
        <v>0</v>
      </c>
      <c r="Z46" s="602">
        <v>0</v>
      </c>
      <c r="AA46" s="602">
        <v>0</v>
      </c>
      <c r="AB46" s="602">
        <v>0</v>
      </c>
      <c r="AC46" s="602">
        <v>0</v>
      </c>
      <c r="AD46" s="602">
        <v>0</v>
      </c>
      <c r="AE46" s="602">
        <v>0</v>
      </c>
      <c r="AF46" s="602">
        <v>0</v>
      </c>
      <c r="AG46" s="602">
        <v>0</v>
      </c>
      <c r="AH46" s="602">
        <v>0</v>
      </c>
      <c r="AI46" s="602">
        <v>0</v>
      </c>
      <c r="AJ46" s="498">
        <v>0</v>
      </c>
      <c r="AK46" s="498">
        <v>0</v>
      </c>
      <c r="AL46" s="602">
        <v>2.9152354571496599</v>
      </c>
      <c r="AM46" s="602">
        <v>1.5670706883372001</v>
      </c>
      <c r="AN46" s="498">
        <v>2746691.9566739998</v>
      </c>
      <c r="AO46" s="603">
        <v>1476470.946674</v>
      </c>
    </row>
    <row r="47" spans="1:41" ht="12" thickBot="1">
      <c r="A47" s="918"/>
      <c r="B47" s="918"/>
      <c r="C47" s="918"/>
      <c r="D47" s="918"/>
      <c r="E47" s="600" t="s">
        <v>286</v>
      </c>
      <c r="F47" s="600" t="s">
        <v>286</v>
      </c>
      <c r="G47" s="600" t="s">
        <v>286</v>
      </c>
      <c r="H47" s="601">
        <v>170123</v>
      </c>
      <c r="I47" s="602">
        <v>4151178392.8800001</v>
      </c>
      <c r="J47" s="602">
        <v>1.3134049919798401</v>
      </c>
      <c r="K47" s="602">
        <v>3514571219.2980199</v>
      </c>
      <c r="L47" s="602">
        <v>19151921.09</v>
      </c>
      <c r="M47" s="498">
        <v>1.6482979195490901</v>
      </c>
      <c r="N47" s="602">
        <v>3.1235867043636398</v>
      </c>
      <c r="O47" s="602">
        <v>1.4752887848145499</v>
      </c>
      <c r="P47" s="498">
        <v>36293612.562533997</v>
      </c>
      <c r="Q47" s="602">
        <v>17141691.472534001</v>
      </c>
      <c r="R47" s="602">
        <v>-0.21647961559341899</v>
      </c>
      <c r="S47" s="602">
        <v>-2515322.3008209998</v>
      </c>
      <c r="T47" s="602">
        <v>0</v>
      </c>
      <c r="U47" s="602">
        <v>0</v>
      </c>
      <c r="V47" s="602">
        <v>0</v>
      </c>
      <c r="W47" s="602">
        <v>0</v>
      </c>
      <c r="X47" s="602">
        <v>0</v>
      </c>
      <c r="Y47" s="602">
        <v>0</v>
      </c>
      <c r="Z47" s="602">
        <v>0</v>
      </c>
      <c r="AA47" s="602">
        <v>0</v>
      </c>
      <c r="AB47" s="602">
        <v>0</v>
      </c>
      <c r="AC47" s="602">
        <v>0</v>
      </c>
      <c r="AD47" s="602">
        <v>0</v>
      </c>
      <c r="AE47" s="602">
        <v>0</v>
      </c>
      <c r="AF47" s="602">
        <v>0</v>
      </c>
      <c r="AG47" s="602">
        <v>0</v>
      </c>
      <c r="AH47" s="602">
        <v>0</v>
      </c>
      <c r="AI47" s="602">
        <v>0</v>
      </c>
      <c r="AJ47" s="498">
        <v>0</v>
      </c>
      <c r="AK47" s="498">
        <v>0</v>
      </c>
      <c r="AL47" s="602">
        <v>2.9071070887858799</v>
      </c>
      <c r="AM47" s="602">
        <v>1.25880916923679</v>
      </c>
      <c r="AN47" s="498">
        <v>33778290.261895001</v>
      </c>
      <c r="AO47" s="603">
        <v>14626369.171894999</v>
      </c>
    </row>
    <row r="48" spans="1:41" ht="12" thickBot="1">
      <c r="A48" s="918"/>
      <c r="B48" s="918"/>
      <c r="C48" s="918"/>
      <c r="D48" s="918"/>
      <c r="E48" s="600" t="s">
        <v>287</v>
      </c>
      <c r="F48" s="600" t="s">
        <v>287</v>
      </c>
      <c r="G48" s="600" t="s">
        <v>287</v>
      </c>
      <c r="H48" s="601">
        <v>170124</v>
      </c>
      <c r="I48" s="602">
        <v>826338472.36000001</v>
      </c>
      <c r="J48" s="602">
        <v>0.3</v>
      </c>
      <c r="K48" s="602">
        <v>1022901189.48034</v>
      </c>
      <c r="L48" s="602">
        <v>3020172.77</v>
      </c>
      <c r="M48" s="498">
        <v>0.89308710563262095</v>
      </c>
      <c r="N48" s="602">
        <v>3.24183544438992</v>
      </c>
      <c r="O48" s="602">
        <v>2.3487483387573098</v>
      </c>
      <c r="P48" s="498">
        <v>10962987.901423</v>
      </c>
      <c r="Q48" s="602">
        <v>7942815.1314230002</v>
      </c>
      <c r="R48" s="602">
        <v>-0.234647897191644</v>
      </c>
      <c r="S48" s="602">
        <v>-793514.07624900003</v>
      </c>
      <c r="T48" s="602">
        <v>0</v>
      </c>
      <c r="U48" s="602">
        <v>0</v>
      </c>
      <c r="V48" s="602">
        <v>3.7586597233000002E-5</v>
      </c>
      <c r="W48" s="602">
        <v>127.10744200000001</v>
      </c>
      <c r="X48" s="602">
        <v>0</v>
      </c>
      <c r="Y48" s="602">
        <v>0</v>
      </c>
      <c r="Z48" s="602">
        <v>0</v>
      </c>
      <c r="AA48" s="602">
        <v>0</v>
      </c>
      <c r="AB48" s="602">
        <v>0</v>
      </c>
      <c r="AC48" s="602">
        <v>0</v>
      </c>
      <c r="AD48" s="602">
        <v>0</v>
      </c>
      <c r="AE48" s="602">
        <v>0</v>
      </c>
      <c r="AF48" s="602">
        <v>0</v>
      </c>
      <c r="AG48" s="602">
        <v>0</v>
      </c>
      <c r="AH48" s="602">
        <v>0</v>
      </c>
      <c r="AI48" s="602">
        <v>0</v>
      </c>
      <c r="AJ48" s="498">
        <v>0</v>
      </c>
      <c r="AK48" s="498">
        <v>0</v>
      </c>
      <c r="AL48" s="602">
        <v>3.0072251338765401</v>
      </c>
      <c r="AM48" s="602">
        <v>2.1141380282439202</v>
      </c>
      <c r="AN48" s="498">
        <v>10169600.93289</v>
      </c>
      <c r="AO48" s="603">
        <v>7149428.1628900003</v>
      </c>
    </row>
    <row r="49" spans="1:41" ht="12" thickBot="1">
      <c r="A49" s="918"/>
      <c r="B49" s="918"/>
      <c r="C49" s="918"/>
      <c r="D49" s="918"/>
      <c r="E49" s="600" t="s">
        <v>288</v>
      </c>
      <c r="F49" s="600" t="s">
        <v>288</v>
      </c>
      <c r="G49" s="600" t="s">
        <v>288</v>
      </c>
      <c r="H49" s="601">
        <v>170125</v>
      </c>
      <c r="I49" s="602">
        <v>3688181751.3499999</v>
      </c>
      <c r="J49" s="602">
        <v>2.75967708610413</v>
      </c>
      <c r="K49" s="602">
        <v>3815147368.4493499</v>
      </c>
      <c r="L49" s="602">
        <v>27394609.559999999</v>
      </c>
      <c r="M49" s="498">
        <v>2.1719484432230902</v>
      </c>
      <c r="N49" s="602">
        <v>4.4130864484841998</v>
      </c>
      <c r="O49" s="602">
        <v>2.2411380052611101</v>
      </c>
      <c r="P49" s="498">
        <v>55661901.454414003</v>
      </c>
      <c r="Q49" s="602">
        <v>28267291.894414</v>
      </c>
      <c r="R49" s="602">
        <v>-0.40353425893414302</v>
      </c>
      <c r="S49" s="602">
        <v>-5089744.8795699999</v>
      </c>
      <c r="T49" s="602">
        <v>0</v>
      </c>
      <c r="U49" s="602">
        <v>0</v>
      </c>
      <c r="V49" s="602">
        <v>2.1979921166750001E-3</v>
      </c>
      <c r="W49" s="602">
        <v>27723.096301000001</v>
      </c>
      <c r="X49" s="602">
        <v>0</v>
      </c>
      <c r="Y49" s="602">
        <v>0</v>
      </c>
      <c r="Z49" s="602">
        <v>0</v>
      </c>
      <c r="AA49" s="602">
        <v>0</v>
      </c>
      <c r="AB49" s="602">
        <v>0</v>
      </c>
      <c r="AC49" s="602">
        <v>0</v>
      </c>
      <c r="AD49" s="602">
        <v>0</v>
      </c>
      <c r="AE49" s="602">
        <v>0</v>
      </c>
      <c r="AF49" s="602">
        <v>0</v>
      </c>
      <c r="AG49" s="602">
        <v>0</v>
      </c>
      <c r="AH49" s="602">
        <v>-6.3131004716750996E-2</v>
      </c>
      <c r="AI49" s="602">
        <v>-796266.24229600001</v>
      </c>
      <c r="AJ49" s="498">
        <v>0</v>
      </c>
      <c r="AK49" s="498">
        <v>0</v>
      </c>
      <c r="AL49" s="602">
        <v>3.94861917707399</v>
      </c>
      <c r="AM49" s="602">
        <v>1.77667073385089</v>
      </c>
      <c r="AN49" s="498">
        <v>49803613.430413</v>
      </c>
      <c r="AO49" s="603">
        <v>22409003.870413002</v>
      </c>
    </row>
    <row r="50" spans="1:41" ht="12" thickBot="1">
      <c r="A50" s="918"/>
      <c r="B50" s="918"/>
      <c r="C50" s="918"/>
      <c r="D50" s="918"/>
      <c r="E50" s="917" t="s">
        <v>289</v>
      </c>
      <c r="F50" s="917" t="s">
        <v>289</v>
      </c>
      <c r="G50" s="600" t="s">
        <v>290</v>
      </c>
      <c r="H50" s="601">
        <v>170126</v>
      </c>
      <c r="I50" s="602">
        <v>2350626685.4699998</v>
      </c>
      <c r="J50" s="602">
        <v>4.45797739365109</v>
      </c>
      <c r="K50" s="602">
        <v>2288069767.2234702</v>
      </c>
      <c r="L50" s="602">
        <v>21771952.5</v>
      </c>
      <c r="M50" s="498">
        <v>2.8782189651114201</v>
      </c>
      <c r="N50" s="602">
        <v>5.3416246411677397</v>
      </c>
      <c r="O50" s="602">
        <v>2.4634056760563201</v>
      </c>
      <c r="P50" s="498">
        <v>40406098.135702997</v>
      </c>
      <c r="Q50" s="602">
        <v>18634145.635703001</v>
      </c>
      <c r="R50" s="602">
        <v>-0.53609165180265195</v>
      </c>
      <c r="S50" s="602">
        <v>-4055202.929372</v>
      </c>
      <c r="T50" s="602">
        <v>0</v>
      </c>
      <c r="U50" s="602">
        <v>0</v>
      </c>
      <c r="V50" s="602">
        <v>0</v>
      </c>
      <c r="W50" s="602">
        <v>0</v>
      </c>
      <c r="X50" s="602">
        <v>0</v>
      </c>
      <c r="Y50" s="602">
        <v>0</v>
      </c>
      <c r="Z50" s="602">
        <v>0</v>
      </c>
      <c r="AA50" s="602">
        <v>0</v>
      </c>
      <c r="AB50" s="602">
        <v>0</v>
      </c>
      <c r="AC50" s="602">
        <v>0</v>
      </c>
      <c r="AD50" s="602">
        <v>0</v>
      </c>
      <c r="AE50" s="602">
        <v>0</v>
      </c>
      <c r="AF50" s="602">
        <v>0</v>
      </c>
      <c r="AG50" s="602">
        <v>0</v>
      </c>
      <c r="AH50" s="602">
        <v>0</v>
      </c>
      <c r="AI50" s="602">
        <v>0</v>
      </c>
      <c r="AJ50" s="498">
        <v>0</v>
      </c>
      <c r="AK50" s="498">
        <v>0</v>
      </c>
      <c r="AL50" s="602">
        <v>4.80553298938002</v>
      </c>
      <c r="AM50" s="602">
        <v>1.9273140242686</v>
      </c>
      <c r="AN50" s="498">
        <v>36350895.206444003</v>
      </c>
      <c r="AO50" s="603">
        <v>14578942.706444001</v>
      </c>
    </row>
    <row r="51" spans="1:41" ht="12" thickBot="1">
      <c r="A51" s="918"/>
      <c r="B51" s="918"/>
      <c r="C51" s="918"/>
      <c r="D51" s="918"/>
      <c r="E51" s="918"/>
      <c r="F51" s="918"/>
      <c r="G51" s="600" t="s">
        <v>291</v>
      </c>
      <c r="H51" s="601">
        <v>170127</v>
      </c>
      <c r="I51" s="602">
        <v>289236133.93000001</v>
      </c>
      <c r="J51" s="602">
        <v>3.9009295407812501</v>
      </c>
      <c r="K51" s="602">
        <v>272886540.35314101</v>
      </c>
      <c r="L51" s="602">
        <v>2902078.75</v>
      </c>
      <c r="M51" s="498">
        <v>3.2167906135431501</v>
      </c>
      <c r="N51" s="602">
        <v>5.1594248334792701</v>
      </c>
      <c r="O51" s="602">
        <v>1.94263421993612</v>
      </c>
      <c r="P51" s="498">
        <v>4654657.0698210001</v>
      </c>
      <c r="Q51" s="602">
        <v>1752578.3198210001</v>
      </c>
      <c r="R51" s="602">
        <v>-0.50975369431552198</v>
      </c>
      <c r="S51" s="602">
        <v>-459882.39264899999</v>
      </c>
      <c r="T51" s="602">
        <v>0</v>
      </c>
      <c r="U51" s="602">
        <v>0</v>
      </c>
      <c r="V51" s="602">
        <v>0</v>
      </c>
      <c r="W51" s="602">
        <v>0</v>
      </c>
      <c r="X51" s="602">
        <v>0</v>
      </c>
      <c r="Y51" s="602">
        <v>0</v>
      </c>
      <c r="Z51" s="602">
        <v>0</v>
      </c>
      <c r="AA51" s="602">
        <v>0</v>
      </c>
      <c r="AB51" s="602">
        <v>0</v>
      </c>
      <c r="AC51" s="602">
        <v>0</v>
      </c>
      <c r="AD51" s="602">
        <v>0</v>
      </c>
      <c r="AE51" s="602">
        <v>0</v>
      </c>
      <c r="AF51" s="602">
        <v>0</v>
      </c>
      <c r="AG51" s="602">
        <v>0</v>
      </c>
      <c r="AH51" s="602">
        <v>0</v>
      </c>
      <c r="AI51" s="602">
        <v>0</v>
      </c>
      <c r="AJ51" s="498">
        <v>0</v>
      </c>
      <c r="AK51" s="498">
        <v>0</v>
      </c>
      <c r="AL51" s="602">
        <v>4.6496711393167196</v>
      </c>
      <c r="AM51" s="602">
        <v>1.43288052577356</v>
      </c>
      <c r="AN51" s="498">
        <v>4194774.6773100002</v>
      </c>
      <c r="AO51" s="603">
        <v>1292695.9273099999</v>
      </c>
    </row>
    <row r="52" spans="1:41" ht="12" thickBot="1">
      <c r="A52" s="918"/>
      <c r="B52" s="918"/>
      <c r="C52" s="918"/>
      <c r="D52" s="919"/>
      <c r="E52" s="919"/>
      <c r="F52" s="919"/>
      <c r="G52" s="600" t="s">
        <v>292</v>
      </c>
      <c r="H52" s="601">
        <v>170128</v>
      </c>
      <c r="I52" s="602">
        <v>83195470.400000006</v>
      </c>
      <c r="J52" s="602">
        <v>5.2249999999999996</v>
      </c>
      <c r="K52" s="602">
        <v>83195470.400000006</v>
      </c>
      <c r="L52" s="602">
        <v>1441681.89</v>
      </c>
      <c r="M52" s="498">
        <v>5.2416193190860403</v>
      </c>
      <c r="N52" s="602">
        <v>5.85953765634933</v>
      </c>
      <c r="O52" s="602">
        <v>0.61791833726328604</v>
      </c>
      <c r="P52" s="498">
        <v>1611637.3221100001</v>
      </c>
      <c r="Q52" s="602">
        <v>169955.43210999999</v>
      </c>
      <c r="R52" s="602">
        <v>-0.61142196235735902</v>
      </c>
      <c r="S52" s="602">
        <v>-168168.635801</v>
      </c>
      <c r="T52" s="602">
        <v>0</v>
      </c>
      <c r="U52" s="602">
        <v>0</v>
      </c>
      <c r="V52" s="602">
        <v>0</v>
      </c>
      <c r="W52" s="602">
        <v>0</v>
      </c>
      <c r="X52" s="602">
        <v>0</v>
      </c>
      <c r="Y52" s="602">
        <v>0</v>
      </c>
      <c r="Z52" s="602">
        <v>0</v>
      </c>
      <c r="AA52" s="602">
        <v>0</v>
      </c>
      <c r="AB52" s="602">
        <v>0</v>
      </c>
      <c r="AC52" s="602">
        <v>0</v>
      </c>
      <c r="AD52" s="602">
        <v>0</v>
      </c>
      <c r="AE52" s="602">
        <v>0</v>
      </c>
      <c r="AF52" s="602">
        <v>0</v>
      </c>
      <c r="AG52" s="602">
        <v>0</v>
      </c>
      <c r="AH52" s="602">
        <v>0</v>
      </c>
      <c r="AI52" s="602">
        <v>0</v>
      </c>
      <c r="AJ52" s="498">
        <v>0</v>
      </c>
      <c r="AK52" s="498">
        <v>0</v>
      </c>
      <c r="AL52" s="602">
        <v>5.2481156940101501</v>
      </c>
      <c r="AM52" s="602">
        <v>6.4963749241060001E-3</v>
      </c>
      <c r="AN52" s="498">
        <v>1443468.686314</v>
      </c>
      <c r="AO52" s="603">
        <v>1786.7963139999999</v>
      </c>
    </row>
    <row r="53" spans="1:41" ht="12" thickBot="1">
      <c r="A53" s="918"/>
      <c r="B53" s="918"/>
      <c r="C53" s="918"/>
      <c r="D53" s="600" t="s">
        <v>2668</v>
      </c>
      <c r="E53" s="600" t="s">
        <v>2668</v>
      </c>
      <c r="F53" s="600" t="s">
        <v>2668</v>
      </c>
      <c r="G53" s="600" t="s">
        <v>2668</v>
      </c>
      <c r="H53" s="601">
        <v>170139</v>
      </c>
      <c r="I53" s="602">
        <v>511500000</v>
      </c>
      <c r="J53" s="602">
        <v>2.5284164222873899</v>
      </c>
      <c r="K53" s="602">
        <v>804867768.59504294</v>
      </c>
      <c r="L53" s="602">
        <v>3679822.04</v>
      </c>
      <c r="M53" s="498">
        <v>1.38292298579921</v>
      </c>
      <c r="N53" s="602">
        <v>2.9242088871881502</v>
      </c>
      <c r="O53" s="602">
        <v>1.54128590138893</v>
      </c>
      <c r="P53" s="498">
        <v>7781032.2217039997</v>
      </c>
      <c r="Q53" s="602">
        <v>4101210.1817040001</v>
      </c>
      <c r="R53" s="602">
        <v>-0.19126736412339601</v>
      </c>
      <c r="S53" s="602">
        <v>-508943.64274899999</v>
      </c>
      <c r="T53" s="602">
        <v>0</v>
      </c>
      <c r="U53" s="602">
        <v>0</v>
      </c>
      <c r="V53" s="602">
        <v>0</v>
      </c>
      <c r="W53" s="602">
        <v>0</v>
      </c>
      <c r="X53" s="602">
        <v>0</v>
      </c>
      <c r="Y53" s="602">
        <v>0</v>
      </c>
      <c r="Z53" s="602">
        <v>0</v>
      </c>
      <c r="AA53" s="602">
        <v>0</v>
      </c>
      <c r="AB53" s="602">
        <v>0</v>
      </c>
      <c r="AC53" s="602">
        <v>0</v>
      </c>
      <c r="AD53" s="602">
        <v>0</v>
      </c>
      <c r="AE53" s="602">
        <v>0</v>
      </c>
      <c r="AF53" s="602">
        <v>0</v>
      </c>
      <c r="AG53" s="602">
        <v>0</v>
      </c>
      <c r="AH53" s="602">
        <v>0</v>
      </c>
      <c r="AI53" s="602">
        <v>0</v>
      </c>
      <c r="AJ53" s="498">
        <v>0</v>
      </c>
      <c r="AK53" s="498">
        <v>0</v>
      </c>
      <c r="AL53" s="602">
        <v>2.7329415230925602</v>
      </c>
      <c r="AM53" s="602">
        <v>1.35001853729334</v>
      </c>
      <c r="AN53" s="498">
        <v>7272088.5790290004</v>
      </c>
      <c r="AO53" s="603">
        <v>3592266.5390289999</v>
      </c>
    </row>
    <row r="54" spans="1:41" ht="12" thickBot="1">
      <c r="A54" s="918"/>
      <c r="B54" s="918"/>
      <c r="C54" s="919"/>
      <c r="D54" s="600" t="s">
        <v>2870</v>
      </c>
      <c r="E54" s="600" t="s">
        <v>2870</v>
      </c>
      <c r="F54" s="600" t="s">
        <v>2870</v>
      </c>
      <c r="G54" s="600" t="s">
        <v>2871</v>
      </c>
      <c r="H54" s="601">
        <v>170140</v>
      </c>
      <c r="I54" s="602">
        <v>401050000</v>
      </c>
      <c r="J54" s="602">
        <v>3.1533349956364498</v>
      </c>
      <c r="K54" s="602">
        <v>529121074.38016498</v>
      </c>
      <c r="L54" s="602">
        <v>5899571.8200000003</v>
      </c>
      <c r="M54" s="498">
        <v>3.3725713640506298</v>
      </c>
      <c r="N54" s="602">
        <v>3.2809032560743101</v>
      </c>
      <c r="O54" s="602">
        <v>-9.1668107976317997E-2</v>
      </c>
      <c r="P54" s="498">
        <v>5739218.6270700004</v>
      </c>
      <c r="Q54" s="602">
        <v>-160353.19292999999</v>
      </c>
      <c r="R54" s="602">
        <v>0</v>
      </c>
      <c r="S54" s="602">
        <v>0</v>
      </c>
      <c r="T54" s="602">
        <v>0</v>
      </c>
      <c r="U54" s="602">
        <v>0</v>
      </c>
      <c r="V54" s="602">
        <v>0</v>
      </c>
      <c r="W54" s="602">
        <v>0</v>
      </c>
      <c r="X54" s="602">
        <v>0</v>
      </c>
      <c r="Y54" s="602">
        <v>0</v>
      </c>
      <c r="Z54" s="602">
        <v>0</v>
      </c>
      <c r="AA54" s="602">
        <v>0</v>
      </c>
      <c r="AB54" s="602">
        <v>0</v>
      </c>
      <c r="AC54" s="602">
        <v>0</v>
      </c>
      <c r="AD54" s="602">
        <v>0</v>
      </c>
      <c r="AE54" s="602">
        <v>0</v>
      </c>
      <c r="AF54" s="602">
        <v>0</v>
      </c>
      <c r="AG54" s="602">
        <v>0</v>
      </c>
      <c r="AH54" s="602">
        <v>0</v>
      </c>
      <c r="AI54" s="602">
        <v>0</v>
      </c>
      <c r="AJ54" s="498">
        <v>0</v>
      </c>
      <c r="AK54" s="498">
        <v>0</v>
      </c>
      <c r="AL54" s="602">
        <v>3.2809032560743101</v>
      </c>
      <c r="AM54" s="602">
        <v>-9.1668107976317997E-2</v>
      </c>
      <c r="AN54" s="498">
        <v>5739218.6270700004</v>
      </c>
      <c r="AO54" s="603">
        <v>-160353.19292999999</v>
      </c>
    </row>
    <row r="55" spans="1:41" ht="12" thickBot="1">
      <c r="A55" s="918"/>
      <c r="B55" s="918"/>
      <c r="C55" s="917" t="s">
        <v>293</v>
      </c>
      <c r="D55" s="917" t="s">
        <v>293</v>
      </c>
      <c r="E55" s="917" t="s">
        <v>293</v>
      </c>
      <c r="F55" s="917" t="s">
        <v>294</v>
      </c>
      <c r="G55" s="600" t="s">
        <v>295</v>
      </c>
      <c r="H55" s="601">
        <v>170141</v>
      </c>
      <c r="I55" s="602">
        <v>23707.4</v>
      </c>
      <c r="J55" s="602">
        <v>0.3</v>
      </c>
      <c r="K55" s="602">
        <v>25075.162727999999</v>
      </c>
      <c r="L55" s="602">
        <v>25.29</v>
      </c>
      <c r="M55" s="498">
        <v>0.30507090072826798</v>
      </c>
      <c r="N55" s="602">
        <v>3.2579546836753499</v>
      </c>
      <c r="O55" s="602">
        <v>2.9528837829382302</v>
      </c>
      <c r="P55" s="498">
        <v>270.08040999999997</v>
      </c>
      <c r="Q55" s="602">
        <v>244.79041000000001</v>
      </c>
      <c r="R55" s="602">
        <v>-0.235773026319096</v>
      </c>
      <c r="S55" s="602">
        <v>-19.545292</v>
      </c>
      <c r="T55" s="602">
        <v>0</v>
      </c>
      <c r="U55" s="602">
        <v>0</v>
      </c>
      <c r="V55" s="602">
        <v>6.0868508490748999E-2</v>
      </c>
      <c r="W55" s="602">
        <v>5.0459240000000003</v>
      </c>
      <c r="X55" s="602">
        <v>0</v>
      </c>
      <c r="Y55" s="602">
        <v>0</v>
      </c>
      <c r="Z55" s="602">
        <v>0</v>
      </c>
      <c r="AA55" s="602">
        <v>0</v>
      </c>
      <c r="AB55" s="602">
        <v>0</v>
      </c>
      <c r="AC55" s="602">
        <v>0</v>
      </c>
      <c r="AD55" s="602">
        <v>0</v>
      </c>
      <c r="AE55" s="602">
        <v>0</v>
      </c>
      <c r="AF55" s="602">
        <v>0</v>
      </c>
      <c r="AG55" s="602">
        <v>0</v>
      </c>
      <c r="AH55" s="602">
        <v>0</v>
      </c>
      <c r="AI55" s="602">
        <v>0</v>
      </c>
      <c r="AJ55" s="498">
        <v>0</v>
      </c>
      <c r="AK55" s="498">
        <v>0</v>
      </c>
      <c r="AL55" s="602">
        <v>3.0830479945238598</v>
      </c>
      <c r="AM55" s="602">
        <v>2.7779770937867498</v>
      </c>
      <c r="AN55" s="498">
        <v>255.580862</v>
      </c>
      <c r="AO55" s="603">
        <v>230.290862</v>
      </c>
    </row>
    <row r="56" spans="1:41" ht="12" thickBot="1">
      <c r="A56" s="918"/>
      <c r="B56" s="918"/>
      <c r="C56" s="918"/>
      <c r="D56" s="918"/>
      <c r="E56" s="918"/>
      <c r="F56" s="918"/>
      <c r="G56" s="600" t="s">
        <v>296</v>
      </c>
      <c r="H56" s="601">
        <v>170142</v>
      </c>
      <c r="I56" s="602">
        <v>5088.79</v>
      </c>
      <c r="J56" s="602">
        <v>0.3</v>
      </c>
      <c r="K56" s="602">
        <v>5086.2379339999998</v>
      </c>
      <c r="L56" s="602">
        <v>5.13</v>
      </c>
      <c r="M56" s="498">
        <v>0.30508187552369098</v>
      </c>
      <c r="N56" s="602">
        <v>3.2606627519383502</v>
      </c>
      <c r="O56" s="602">
        <v>2.95558087640772</v>
      </c>
      <c r="P56" s="498">
        <v>54.828560000000003</v>
      </c>
      <c r="Q56" s="602">
        <v>49.698560000000001</v>
      </c>
      <c r="R56" s="602">
        <v>-0.23597845191689601</v>
      </c>
      <c r="S56" s="602">
        <v>-3.9680149999999998</v>
      </c>
      <c r="T56" s="602">
        <v>0</v>
      </c>
      <c r="U56" s="602">
        <v>0</v>
      </c>
      <c r="V56" s="602">
        <v>0</v>
      </c>
      <c r="W56" s="602">
        <v>0</v>
      </c>
      <c r="X56" s="602">
        <v>0</v>
      </c>
      <c r="Y56" s="602">
        <v>0</v>
      </c>
      <c r="Z56" s="602">
        <v>0</v>
      </c>
      <c r="AA56" s="602">
        <v>0</v>
      </c>
      <c r="AB56" s="602">
        <v>0</v>
      </c>
      <c r="AC56" s="602">
        <v>0</v>
      </c>
      <c r="AD56" s="602">
        <v>0</v>
      </c>
      <c r="AE56" s="602">
        <v>0</v>
      </c>
      <c r="AF56" s="602">
        <v>0</v>
      </c>
      <c r="AG56" s="602">
        <v>0</v>
      </c>
      <c r="AH56" s="602">
        <v>0</v>
      </c>
      <c r="AI56" s="602">
        <v>0</v>
      </c>
      <c r="AJ56" s="498">
        <v>0</v>
      </c>
      <c r="AK56" s="498">
        <v>0</v>
      </c>
      <c r="AL56" s="602">
        <v>3.0246830511482798</v>
      </c>
      <c r="AM56" s="602">
        <v>2.7196011756176501</v>
      </c>
      <c r="AN56" s="498">
        <v>50.860523999999998</v>
      </c>
      <c r="AO56" s="603">
        <v>45.730524000000003</v>
      </c>
    </row>
    <row r="57" spans="1:41" ht="12" thickBot="1">
      <c r="A57" s="918"/>
      <c r="B57" s="918"/>
      <c r="C57" s="918"/>
      <c r="D57" s="918"/>
      <c r="E57" s="918"/>
      <c r="F57" s="918"/>
      <c r="G57" s="600" t="s">
        <v>297</v>
      </c>
      <c r="H57" s="601">
        <v>170143</v>
      </c>
      <c r="I57" s="602">
        <v>0</v>
      </c>
      <c r="J57" s="602">
        <v>0</v>
      </c>
      <c r="K57" s="602">
        <v>0</v>
      </c>
      <c r="L57" s="602">
        <v>0</v>
      </c>
      <c r="M57" s="498">
        <v>0</v>
      </c>
      <c r="N57" s="602">
        <v>0</v>
      </c>
      <c r="O57" s="602">
        <v>0</v>
      </c>
      <c r="P57" s="498">
        <v>0</v>
      </c>
      <c r="Q57" s="602">
        <v>0</v>
      </c>
      <c r="R57" s="602">
        <v>0</v>
      </c>
      <c r="S57" s="602">
        <v>0</v>
      </c>
      <c r="T57" s="602">
        <v>0</v>
      </c>
      <c r="U57" s="602">
        <v>0</v>
      </c>
      <c r="V57" s="602">
        <v>0</v>
      </c>
      <c r="W57" s="602">
        <v>0</v>
      </c>
      <c r="X57" s="602">
        <v>0</v>
      </c>
      <c r="Y57" s="602">
        <v>0</v>
      </c>
      <c r="Z57" s="602">
        <v>0</v>
      </c>
      <c r="AA57" s="602">
        <v>0</v>
      </c>
      <c r="AB57" s="602">
        <v>0</v>
      </c>
      <c r="AC57" s="602">
        <v>0</v>
      </c>
      <c r="AD57" s="602">
        <v>0</v>
      </c>
      <c r="AE57" s="602">
        <v>0</v>
      </c>
      <c r="AF57" s="602">
        <v>0</v>
      </c>
      <c r="AG57" s="602">
        <v>0</v>
      </c>
      <c r="AH57" s="602">
        <v>0</v>
      </c>
      <c r="AI57" s="602">
        <v>0</v>
      </c>
      <c r="AJ57" s="498">
        <v>0</v>
      </c>
      <c r="AK57" s="498">
        <v>0</v>
      </c>
      <c r="AL57" s="602">
        <v>0</v>
      </c>
      <c r="AM57" s="602">
        <v>0</v>
      </c>
      <c r="AN57" s="498">
        <v>0</v>
      </c>
      <c r="AO57" s="603">
        <v>0</v>
      </c>
    </row>
    <row r="58" spans="1:41" ht="12" thickBot="1">
      <c r="A58" s="918"/>
      <c r="B58" s="918"/>
      <c r="C58" s="918"/>
      <c r="D58" s="918"/>
      <c r="E58" s="918"/>
      <c r="F58" s="918"/>
      <c r="G58" s="600" t="s">
        <v>298</v>
      </c>
      <c r="H58" s="601">
        <v>170144</v>
      </c>
      <c r="I58" s="602">
        <v>43192715.049999997</v>
      </c>
      <c r="J58" s="602">
        <v>0.3</v>
      </c>
      <c r="K58" s="602">
        <v>43448141.940661997</v>
      </c>
      <c r="L58" s="602">
        <v>43810.18</v>
      </c>
      <c r="M58" s="498">
        <v>0.304999792605396</v>
      </c>
      <c r="N58" s="602">
        <v>3.24802736212661</v>
      </c>
      <c r="O58" s="602">
        <v>2.94302756952121</v>
      </c>
      <c r="P58" s="498">
        <v>466546.75455399998</v>
      </c>
      <c r="Q58" s="602">
        <v>422736.57455399999</v>
      </c>
      <c r="R58" s="602">
        <v>-0.23469893085784199</v>
      </c>
      <c r="S58" s="602">
        <v>-33712.161961999998</v>
      </c>
      <c r="T58" s="602">
        <v>0</v>
      </c>
      <c r="U58" s="602">
        <v>0</v>
      </c>
      <c r="V58" s="602">
        <v>0</v>
      </c>
      <c r="W58" s="602">
        <v>0</v>
      </c>
      <c r="X58" s="602">
        <v>0</v>
      </c>
      <c r="Y58" s="602">
        <v>0</v>
      </c>
      <c r="Z58" s="602">
        <v>0</v>
      </c>
      <c r="AA58" s="602">
        <v>0</v>
      </c>
      <c r="AB58" s="602">
        <v>0</v>
      </c>
      <c r="AC58" s="602">
        <v>0</v>
      </c>
      <c r="AD58" s="602">
        <v>0</v>
      </c>
      <c r="AE58" s="602">
        <v>0</v>
      </c>
      <c r="AF58" s="602">
        <v>0</v>
      </c>
      <c r="AG58" s="602">
        <v>0</v>
      </c>
      <c r="AH58" s="602">
        <v>0</v>
      </c>
      <c r="AI58" s="602">
        <v>0</v>
      </c>
      <c r="AJ58" s="498">
        <v>0</v>
      </c>
      <c r="AK58" s="498">
        <v>0</v>
      </c>
      <c r="AL58" s="602">
        <v>3.0133284320485001</v>
      </c>
      <c r="AM58" s="602">
        <v>2.7083286394431001</v>
      </c>
      <c r="AN58" s="498">
        <v>432834.59270400001</v>
      </c>
      <c r="AO58" s="603">
        <v>389024.41270400002</v>
      </c>
    </row>
    <row r="59" spans="1:41" ht="12" thickBot="1">
      <c r="A59" s="918"/>
      <c r="B59" s="918"/>
      <c r="C59" s="918"/>
      <c r="D59" s="918"/>
      <c r="E59" s="918"/>
      <c r="F59" s="918"/>
      <c r="G59" s="600" t="s">
        <v>320</v>
      </c>
      <c r="H59" s="601">
        <v>170145</v>
      </c>
      <c r="I59" s="602">
        <v>1687623.99</v>
      </c>
      <c r="J59" s="602">
        <v>0.3</v>
      </c>
      <c r="K59" s="602">
        <v>2587360.5321490001</v>
      </c>
      <c r="L59" s="602">
        <v>2608.92</v>
      </c>
      <c r="M59" s="498">
        <v>0.30499978139450501</v>
      </c>
      <c r="N59" s="602">
        <v>3.2338086648928601</v>
      </c>
      <c r="O59" s="602">
        <v>2.9288088834983301</v>
      </c>
      <c r="P59" s="498">
        <v>27661.489012999999</v>
      </c>
      <c r="Q59" s="602">
        <v>25052.569013</v>
      </c>
      <c r="R59" s="602">
        <v>-0.234253887899878</v>
      </c>
      <c r="S59" s="602">
        <v>-2003.7707909999999</v>
      </c>
      <c r="T59" s="602">
        <v>0</v>
      </c>
      <c r="U59" s="602">
        <v>0</v>
      </c>
      <c r="V59" s="602">
        <v>0</v>
      </c>
      <c r="W59" s="602">
        <v>0</v>
      </c>
      <c r="X59" s="602">
        <v>0</v>
      </c>
      <c r="Y59" s="602">
        <v>0</v>
      </c>
      <c r="Z59" s="602">
        <v>0</v>
      </c>
      <c r="AA59" s="602">
        <v>0</v>
      </c>
      <c r="AB59" s="602">
        <v>0</v>
      </c>
      <c r="AC59" s="602">
        <v>0</v>
      </c>
      <c r="AD59" s="602">
        <v>0</v>
      </c>
      <c r="AE59" s="602">
        <v>0</v>
      </c>
      <c r="AF59" s="602">
        <v>0</v>
      </c>
      <c r="AG59" s="602">
        <v>0</v>
      </c>
      <c r="AH59" s="602">
        <v>0</v>
      </c>
      <c r="AI59" s="602">
        <v>0</v>
      </c>
      <c r="AJ59" s="498">
        <v>0</v>
      </c>
      <c r="AK59" s="498">
        <v>0</v>
      </c>
      <c r="AL59" s="602">
        <v>2.9995547761746399</v>
      </c>
      <c r="AM59" s="602">
        <v>2.6945549947801002</v>
      </c>
      <c r="AN59" s="498">
        <v>25657.718215000001</v>
      </c>
      <c r="AO59" s="603">
        <v>23048.798214999999</v>
      </c>
    </row>
    <row r="60" spans="1:41" ht="12" thickBot="1">
      <c r="A60" s="918"/>
      <c r="B60" s="918"/>
      <c r="C60" s="918"/>
      <c r="D60" s="918"/>
      <c r="E60" s="918"/>
      <c r="F60" s="919"/>
      <c r="G60" s="600" t="s">
        <v>299</v>
      </c>
      <c r="H60" s="601">
        <v>170146</v>
      </c>
      <c r="I60" s="602">
        <v>405123346.29000002</v>
      </c>
      <c r="J60" s="602">
        <v>0.30000000000000299</v>
      </c>
      <c r="K60" s="602">
        <v>396267125.454795</v>
      </c>
      <c r="L60" s="602">
        <v>399569.19</v>
      </c>
      <c r="M60" s="498">
        <v>0.30499987672333601</v>
      </c>
      <c r="N60" s="602">
        <v>3.2510961664702598</v>
      </c>
      <c r="O60" s="602">
        <v>2.9460962897469298</v>
      </c>
      <c r="P60" s="498">
        <v>4259142.2521360004</v>
      </c>
      <c r="Q60" s="602">
        <v>3859573.062136</v>
      </c>
      <c r="R60" s="602">
        <v>-0.23541221300059001</v>
      </c>
      <c r="S60" s="602">
        <v>-308404.93535699998</v>
      </c>
      <c r="T60" s="602">
        <v>0</v>
      </c>
      <c r="U60" s="602">
        <v>0</v>
      </c>
      <c r="V60" s="602">
        <v>2.5861340000000001E-9</v>
      </c>
      <c r="W60" s="602">
        <v>3.388E-3</v>
      </c>
      <c r="X60" s="602">
        <v>0</v>
      </c>
      <c r="Y60" s="602">
        <v>0</v>
      </c>
      <c r="Z60" s="602">
        <v>0</v>
      </c>
      <c r="AA60" s="602">
        <v>0</v>
      </c>
      <c r="AB60" s="602">
        <v>0</v>
      </c>
      <c r="AC60" s="602">
        <v>0</v>
      </c>
      <c r="AD60" s="602">
        <v>0</v>
      </c>
      <c r="AE60" s="602">
        <v>0</v>
      </c>
      <c r="AF60" s="602">
        <v>0</v>
      </c>
      <c r="AG60" s="602">
        <v>0</v>
      </c>
      <c r="AH60" s="602">
        <v>0</v>
      </c>
      <c r="AI60" s="602">
        <v>0</v>
      </c>
      <c r="AJ60" s="498">
        <v>0</v>
      </c>
      <c r="AK60" s="498">
        <v>0</v>
      </c>
      <c r="AL60" s="602">
        <v>3.0156839551398198</v>
      </c>
      <c r="AM60" s="602">
        <v>2.7106840784164801</v>
      </c>
      <c r="AN60" s="498">
        <v>3950737.3189670001</v>
      </c>
      <c r="AO60" s="603">
        <v>3551168.1289670002</v>
      </c>
    </row>
    <row r="61" spans="1:41" ht="12" thickBot="1">
      <c r="A61" s="918"/>
      <c r="B61" s="918"/>
      <c r="C61" s="918"/>
      <c r="D61" s="918"/>
      <c r="E61" s="918"/>
      <c r="F61" s="917" t="s">
        <v>300</v>
      </c>
      <c r="G61" s="600" t="s">
        <v>301</v>
      </c>
      <c r="H61" s="601">
        <v>170154</v>
      </c>
      <c r="I61" s="602">
        <v>778.15</v>
      </c>
      <c r="J61" s="602">
        <v>0.3</v>
      </c>
      <c r="K61" s="602">
        <v>777.75991699999997</v>
      </c>
      <c r="L61" s="602">
        <v>0.78</v>
      </c>
      <c r="M61" s="498">
        <v>0.30335053162365599</v>
      </c>
      <c r="N61" s="602">
        <v>3.26065963757963</v>
      </c>
      <c r="O61" s="602">
        <v>2.95730910609459</v>
      </c>
      <c r="P61" s="498">
        <v>8.3840780000000006</v>
      </c>
      <c r="Q61" s="602">
        <v>7.6040780000000003</v>
      </c>
      <c r="R61" s="602">
        <v>-0.235953043785952</v>
      </c>
      <c r="S61" s="602">
        <v>-0.60670199999999996</v>
      </c>
      <c r="T61" s="602">
        <v>0</v>
      </c>
      <c r="U61" s="602">
        <v>0</v>
      </c>
      <c r="V61" s="602">
        <v>0</v>
      </c>
      <c r="W61" s="602">
        <v>0</v>
      </c>
      <c r="X61" s="602">
        <v>0</v>
      </c>
      <c r="Y61" s="602">
        <v>0</v>
      </c>
      <c r="Z61" s="602">
        <v>0</v>
      </c>
      <c r="AA61" s="602">
        <v>0</v>
      </c>
      <c r="AB61" s="602">
        <v>0</v>
      </c>
      <c r="AC61" s="602">
        <v>0</v>
      </c>
      <c r="AD61" s="602">
        <v>0</v>
      </c>
      <c r="AE61" s="602">
        <v>0</v>
      </c>
      <c r="AF61" s="602">
        <v>0</v>
      </c>
      <c r="AG61" s="602">
        <v>0</v>
      </c>
      <c r="AH61" s="602">
        <v>0</v>
      </c>
      <c r="AI61" s="602">
        <v>0</v>
      </c>
      <c r="AJ61" s="498">
        <v>0</v>
      </c>
      <c r="AK61" s="498">
        <v>0</v>
      </c>
      <c r="AL61" s="602">
        <v>3.0246828702264801</v>
      </c>
      <c r="AM61" s="602">
        <v>2.7213323387414299</v>
      </c>
      <c r="AN61" s="498">
        <v>7.7773149999999998</v>
      </c>
      <c r="AO61" s="603">
        <v>6.9973150000000004</v>
      </c>
    </row>
    <row r="62" spans="1:41" ht="12" thickBot="1">
      <c r="A62" s="918"/>
      <c r="B62" s="918"/>
      <c r="C62" s="918"/>
      <c r="D62" s="918"/>
      <c r="E62" s="918"/>
      <c r="F62" s="919"/>
      <c r="G62" s="600" t="s">
        <v>302</v>
      </c>
      <c r="H62" s="601">
        <v>170156</v>
      </c>
      <c r="I62" s="602">
        <v>129.53</v>
      </c>
      <c r="J62" s="602">
        <v>0.3</v>
      </c>
      <c r="K62" s="602">
        <v>129.46388400000001</v>
      </c>
      <c r="L62" s="602">
        <v>0.13</v>
      </c>
      <c r="M62" s="498">
        <v>0.30373191993519</v>
      </c>
      <c r="N62" s="602">
        <v>3.2607186917695499</v>
      </c>
      <c r="O62" s="602">
        <v>2.9569867725323702</v>
      </c>
      <c r="P62" s="498">
        <v>1.3956170000000001</v>
      </c>
      <c r="Q62" s="602">
        <v>1.265617</v>
      </c>
      <c r="R62" s="602">
        <v>-0.236062784030519</v>
      </c>
      <c r="S62" s="602">
        <v>-0.101037</v>
      </c>
      <c r="T62" s="602">
        <v>0</v>
      </c>
      <c r="U62" s="602">
        <v>0</v>
      </c>
      <c r="V62" s="602">
        <v>0</v>
      </c>
      <c r="W62" s="602">
        <v>0</v>
      </c>
      <c r="X62" s="602">
        <v>0</v>
      </c>
      <c r="Y62" s="602">
        <v>0</v>
      </c>
      <c r="Z62" s="602">
        <v>0</v>
      </c>
      <c r="AA62" s="602">
        <v>0</v>
      </c>
      <c r="AB62" s="602">
        <v>0</v>
      </c>
      <c r="AC62" s="602">
        <v>0</v>
      </c>
      <c r="AD62" s="602">
        <v>0</v>
      </c>
      <c r="AE62" s="602">
        <v>0</v>
      </c>
      <c r="AF62" s="602">
        <v>0</v>
      </c>
      <c r="AG62" s="602">
        <v>0</v>
      </c>
      <c r="AH62" s="602">
        <v>0</v>
      </c>
      <c r="AI62" s="602">
        <v>0</v>
      </c>
      <c r="AJ62" s="498">
        <v>0</v>
      </c>
      <c r="AK62" s="498">
        <v>0</v>
      </c>
      <c r="AL62" s="602">
        <v>3.0246091797514598</v>
      </c>
      <c r="AM62" s="602">
        <v>2.7208772605142801</v>
      </c>
      <c r="AN62" s="498">
        <v>1.2945599999999999</v>
      </c>
      <c r="AO62" s="603">
        <v>1.16456</v>
      </c>
    </row>
    <row r="63" spans="1:41" ht="12" thickBot="1">
      <c r="A63" s="918"/>
      <c r="B63" s="918"/>
      <c r="C63" s="918"/>
      <c r="D63" s="918"/>
      <c r="E63" s="918"/>
      <c r="F63" s="917" t="s">
        <v>303</v>
      </c>
      <c r="G63" s="600" t="s">
        <v>2872</v>
      </c>
      <c r="H63" s="601">
        <v>170164</v>
      </c>
      <c r="I63" s="602">
        <v>0</v>
      </c>
      <c r="J63" s="602">
        <v>0</v>
      </c>
      <c r="K63" s="602">
        <v>173579.75206599999</v>
      </c>
      <c r="L63" s="602">
        <v>175.03</v>
      </c>
      <c r="M63" s="498">
        <v>0.30500653473427902</v>
      </c>
      <c r="N63" s="602">
        <v>3.2763811074910199</v>
      </c>
      <c r="O63" s="602">
        <v>2.9713745727569401</v>
      </c>
      <c r="P63" s="498">
        <v>1880.172783</v>
      </c>
      <c r="Q63" s="602">
        <v>1705.142783</v>
      </c>
      <c r="R63" s="602">
        <v>-0.23513252269302501</v>
      </c>
      <c r="S63" s="602">
        <v>-134.93234000000001</v>
      </c>
      <c r="T63" s="602">
        <v>0</v>
      </c>
      <c r="U63" s="602">
        <v>0</v>
      </c>
      <c r="V63" s="602">
        <v>0</v>
      </c>
      <c r="W63" s="602">
        <v>0</v>
      </c>
      <c r="X63" s="602">
        <v>0</v>
      </c>
      <c r="Y63" s="602">
        <v>0</v>
      </c>
      <c r="Z63" s="602">
        <v>0</v>
      </c>
      <c r="AA63" s="602">
        <v>0</v>
      </c>
      <c r="AB63" s="602">
        <v>0</v>
      </c>
      <c r="AC63" s="602">
        <v>0</v>
      </c>
      <c r="AD63" s="602">
        <v>0</v>
      </c>
      <c r="AE63" s="602">
        <v>0</v>
      </c>
      <c r="AF63" s="602">
        <v>0</v>
      </c>
      <c r="AG63" s="602">
        <v>0</v>
      </c>
      <c r="AH63" s="602">
        <v>0</v>
      </c>
      <c r="AI63" s="602">
        <v>0</v>
      </c>
      <c r="AJ63" s="498">
        <v>0</v>
      </c>
      <c r="AK63" s="498">
        <v>0</v>
      </c>
      <c r="AL63" s="602">
        <v>3.04124858479799</v>
      </c>
      <c r="AM63" s="602">
        <v>2.73624205006392</v>
      </c>
      <c r="AN63" s="498">
        <v>1745.2404429999999</v>
      </c>
      <c r="AO63" s="603">
        <v>1570.2104429999999</v>
      </c>
    </row>
    <row r="64" spans="1:41" ht="12" thickBot="1">
      <c r="A64" s="918"/>
      <c r="B64" s="918"/>
      <c r="C64" s="918"/>
      <c r="D64" s="918"/>
      <c r="E64" s="918"/>
      <c r="F64" s="918"/>
      <c r="G64" s="600" t="s">
        <v>304</v>
      </c>
      <c r="H64" s="601">
        <v>170165</v>
      </c>
      <c r="I64" s="602">
        <v>75.47</v>
      </c>
      <c r="J64" s="602">
        <v>0.3</v>
      </c>
      <c r="K64" s="602">
        <v>75.430329999999998</v>
      </c>
      <c r="L64" s="602">
        <v>0.08</v>
      </c>
      <c r="M64" s="498">
        <v>0.32080394063552398</v>
      </c>
      <c r="N64" s="602">
        <v>3.2606432075134699</v>
      </c>
      <c r="O64" s="602">
        <v>2.9398392693383499</v>
      </c>
      <c r="P64" s="498">
        <v>0.81311800000000001</v>
      </c>
      <c r="Q64" s="602">
        <v>0.73311800000000005</v>
      </c>
      <c r="R64" s="602">
        <v>-0.235859065395576</v>
      </c>
      <c r="S64" s="602">
        <v>-5.8817000000000001E-2</v>
      </c>
      <c r="T64" s="602">
        <v>0</v>
      </c>
      <c r="U64" s="602">
        <v>0</v>
      </c>
      <c r="V64" s="602">
        <v>0</v>
      </c>
      <c r="W64" s="602">
        <v>0</v>
      </c>
      <c r="X64" s="602">
        <v>0</v>
      </c>
      <c r="Y64" s="602">
        <v>0</v>
      </c>
      <c r="Z64" s="602">
        <v>0</v>
      </c>
      <c r="AA64" s="602">
        <v>0</v>
      </c>
      <c r="AB64" s="602">
        <v>0</v>
      </c>
      <c r="AC64" s="602">
        <v>0</v>
      </c>
      <c r="AD64" s="602">
        <v>0</v>
      </c>
      <c r="AE64" s="602">
        <v>0</v>
      </c>
      <c r="AF64" s="602">
        <v>0</v>
      </c>
      <c r="AG64" s="602">
        <v>0</v>
      </c>
      <c r="AH64" s="602">
        <v>0</v>
      </c>
      <c r="AI64" s="602">
        <v>0</v>
      </c>
      <c r="AJ64" s="498">
        <v>0</v>
      </c>
      <c r="AK64" s="498">
        <v>0</v>
      </c>
      <c r="AL64" s="602">
        <v>3.0245635894104002</v>
      </c>
      <c r="AM64" s="602">
        <v>2.7037596512352802</v>
      </c>
      <c r="AN64" s="498">
        <v>0.75424599999999997</v>
      </c>
      <c r="AO64" s="603">
        <v>0.67424600000000001</v>
      </c>
    </row>
    <row r="65" spans="1:41" ht="12" thickBot="1">
      <c r="A65" s="918"/>
      <c r="B65" s="918"/>
      <c r="C65" s="918"/>
      <c r="D65" s="918"/>
      <c r="E65" s="918"/>
      <c r="F65" s="919"/>
      <c r="G65" s="600" t="s">
        <v>305</v>
      </c>
      <c r="H65" s="601">
        <v>170166</v>
      </c>
      <c r="I65" s="602">
        <v>40948675.07</v>
      </c>
      <c r="J65" s="602">
        <v>0.3</v>
      </c>
      <c r="K65" s="602">
        <v>36755355.685625002</v>
      </c>
      <c r="L65" s="602">
        <v>37061.61</v>
      </c>
      <c r="M65" s="498">
        <v>0.304999668215442</v>
      </c>
      <c r="N65" s="602">
        <v>3.2480514838055998</v>
      </c>
      <c r="O65" s="602">
        <v>2.94305181559012</v>
      </c>
      <c r="P65" s="498">
        <v>394682.45344999997</v>
      </c>
      <c r="Q65" s="602">
        <v>357620.84344999999</v>
      </c>
      <c r="R65" s="602">
        <v>-0.23443542259937999</v>
      </c>
      <c r="S65" s="602">
        <v>-28487.093948000002</v>
      </c>
      <c r="T65" s="602">
        <v>0</v>
      </c>
      <c r="U65" s="602">
        <v>0</v>
      </c>
      <c r="V65" s="602">
        <v>0</v>
      </c>
      <c r="W65" s="602">
        <v>0</v>
      </c>
      <c r="X65" s="602">
        <v>0</v>
      </c>
      <c r="Y65" s="602">
        <v>0</v>
      </c>
      <c r="Z65" s="602">
        <v>0</v>
      </c>
      <c r="AA65" s="602">
        <v>0</v>
      </c>
      <c r="AB65" s="602">
        <v>0</v>
      </c>
      <c r="AC65" s="602">
        <v>0</v>
      </c>
      <c r="AD65" s="602">
        <v>0</v>
      </c>
      <c r="AE65" s="602">
        <v>0</v>
      </c>
      <c r="AF65" s="602">
        <v>0</v>
      </c>
      <c r="AG65" s="602">
        <v>0</v>
      </c>
      <c r="AH65" s="602">
        <v>0</v>
      </c>
      <c r="AI65" s="602">
        <v>0</v>
      </c>
      <c r="AJ65" s="498">
        <v>0</v>
      </c>
      <c r="AK65" s="498">
        <v>0</v>
      </c>
      <c r="AL65" s="602">
        <v>3.0136160610745502</v>
      </c>
      <c r="AM65" s="602">
        <v>2.7086163928590601</v>
      </c>
      <c r="AN65" s="498">
        <v>366195.35948599997</v>
      </c>
      <c r="AO65" s="603">
        <v>329133.74948599999</v>
      </c>
    </row>
    <row r="66" spans="1:41" ht="12" thickBot="1">
      <c r="A66" s="918"/>
      <c r="B66" s="918"/>
      <c r="C66" s="918"/>
      <c r="D66" s="918"/>
      <c r="E66" s="918"/>
      <c r="F66" s="600" t="s">
        <v>306</v>
      </c>
      <c r="G66" s="600" t="s">
        <v>307</v>
      </c>
      <c r="H66" s="601">
        <v>170171</v>
      </c>
      <c r="I66" s="602">
        <v>5821418.736246</v>
      </c>
      <c r="J66" s="602">
        <v>0.173508022905143</v>
      </c>
      <c r="K66" s="602">
        <v>89879731.499926001</v>
      </c>
      <c r="L66" s="602">
        <v>79169.696955000007</v>
      </c>
      <c r="M66" s="498">
        <v>0.26643601612635898</v>
      </c>
      <c r="N66" s="602">
        <v>2.8856156153071502</v>
      </c>
      <c r="O66" s="602">
        <v>2.6191795991807898</v>
      </c>
      <c r="P66" s="498">
        <v>857441.56181999994</v>
      </c>
      <c r="Q66" s="602">
        <v>778271.86486500001</v>
      </c>
      <c r="R66" s="602">
        <v>-0.20806815605697801</v>
      </c>
      <c r="S66" s="602">
        <v>-61826.074044000001</v>
      </c>
      <c r="T66" s="602">
        <v>0</v>
      </c>
      <c r="U66" s="602">
        <v>0</v>
      </c>
      <c r="V66" s="602">
        <v>0</v>
      </c>
      <c r="W66" s="602">
        <v>0</v>
      </c>
      <c r="X66" s="602">
        <v>0</v>
      </c>
      <c r="Y66" s="602">
        <v>0</v>
      </c>
      <c r="Z66" s="602">
        <v>0</v>
      </c>
      <c r="AA66" s="602">
        <v>0</v>
      </c>
      <c r="AB66" s="602">
        <v>0</v>
      </c>
      <c r="AC66" s="602">
        <v>0</v>
      </c>
      <c r="AD66" s="602">
        <v>0</v>
      </c>
      <c r="AE66" s="602">
        <v>0</v>
      </c>
      <c r="AF66" s="602">
        <v>0</v>
      </c>
      <c r="AG66" s="602">
        <v>0</v>
      </c>
      <c r="AH66" s="602">
        <v>0</v>
      </c>
      <c r="AI66" s="602">
        <v>0</v>
      </c>
      <c r="AJ66" s="498">
        <v>0</v>
      </c>
      <c r="AK66" s="498">
        <v>0</v>
      </c>
      <c r="AL66" s="602">
        <v>2.6775474599568998</v>
      </c>
      <c r="AM66" s="602">
        <v>2.4111114438305399</v>
      </c>
      <c r="AN66" s="498">
        <v>795615.48798600002</v>
      </c>
      <c r="AO66" s="603">
        <v>716445.79103099997</v>
      </c>
    </row>
    <row r="67" spans="1:41" ht="12" thickBot="1">
      <c r="A67" s="918"/>
      <c r="B67" s="918"/>
      <c r="C67" s="918"/>
      <c r="D67" s="918"/>
      <c r="E67" s="918"/>
      <c r="F67" s="600" t="s">
        <v>308</v>
      </c>
      <c r="G67" s="600" t="s">
        <v>308</v>
      </c>
      <c r="H67" s="601">
        <v>170177</v>
      </c>
      <c r="I67" s="602">
        <v>470381271.42305601</v>
      </c>
      <c r="J67" s="602">
        <v>0.97545586429749798</v>
      </c>
      <c r="K67" s="602">
        <v>1261759875.61201</v>
      </c>
      <c r="L67" s="602">
        <v>8331187.8768680003</v>
      </c>
      <c r="M67" s="498">
        <v>1.9972201125426701</v>
      </c>
      <c r="N67" s="602">
        <v>1.9810315263377301</v>
      </c>
      <c r="O67" s="602">
        <v>-1.6188586204945E-2</v>
      </c>
      <c r="P67" s="498">
        <v>8263658.9388769995</v>
      </c>
      <c r="Q67" s="602">
        <v>-67528.937990998893</v>
      </c>
      <c r="R67" s="602">
        <v>-0.120792928816309</v>
      </c>
      <c r="S67" s="602">
        <v>-503874.649492</v>
      </c>
      <c r="T67" s="602">
        <v>0</v>
      </c>
      <c r="U67" s="602">
        <v>0</v>
      </c>
      <c r="V67" s="602">
        <v>2.00119014542E-4</v>
      </c>
      <c r="W67" s="602">
        <v>834.77484400000003</v>
      </c>
      <c r="X67" s="602">
        <v>0</v>
      </c>
      <c r="Y67" s="602">
        <v>0</v>
      </c>
      <c r="Z67" s="602">
        <v>0</v>
      </c>
      <c r="AA67" s="602">
        <v>0</v>
      </c>
      <c r="AB67" s="602">
        <v>0</v>
      </c>
      <c r="AC67" s="602">
        <v>0</v>
      </c>
      <c r="AD67" s="602">
        <v>0</v>
      </c>
      <c r="AE67" s="602">
        <v>0</v>
      </c>
      <c r="AF67" s="602">
        <v>0</v>
      </c>
      <c r="AG67" s="602">
        <v>0</v>
      </c>
      <c r="AH67" s="602">
        <v>0</v>
      </c>
      <c r="AI67" s="602">
        <v>0</v>
      </c>
      <c r="AJ67" s="498">
        <v>0</v>
      </c>
      <c r="AK67" s="498">
        <v>0</v>
      </c>
      <c r="AL67" s="602">
        <v>1.8604387168713401</v>
      </c>
      <c r="AM67" s="602">
        <v>-0.13678139567133299</v>
      </c>
      <c r="AN67" s="498">
        <v>7760619.0656279996</v>
      </c>
      <c r="AO67" s="603">
        <v>-570568.81123999995</v>
      </c>
    </row>
    <row r="68" spans="1:41" ht="12" thickBot="1">
      <c r="A68" s="918"/>
      <c r="B68" s="918"/>
      <c r="C68" s="918"/>
      <c r="D68" s="918"/>
      <c r="E68" s="918"/>
      <c r="F68" s="600" t="s">
        <v>309</v>
      </c>
      <c r="G68" s="600" t="s">
        <v>309</v>
      </c>
      <c r="H68" s="601">
        <v>170178</v>
      </c>
      <c r="I68" s="602">
        <v>9373557.4700000007</v>
      </c>
      <c r="J68" s="602">
        <v>0.3</v>
      </c>
      <c r="K68" s="602">
        <v>9270018.5410750005</v>
      </c>
      <c r="L68" s="602">
        <v>9347.27</v>
      </c>
      <c r="M68" s="498">
        <v>0.30500004256290297</v>
      </c>
      <c r="N68" s="602">
        <v>3.2605772614572301</v>
      </c>
      <c r="O68" s="602">
        <v>2.9555772188943101</v>
      </c>
      <c r="P68" s="498">
        <v>99926.202510000003</v>
      </c>
      <c r="Q68" s="602">
        <v>90578.932509999999</v>
      </c>
      <c r="R68" s="602">
        <v>-0.235968985109757</v>
      </c>
      <c r="S68" s="602">
        <v>-7231.6901889999999</v>
      </c>
      <c r="T68" s="602">
        <v>0</v>
      </c>
      <c r="U68" s="602">
        <v>0</v>
      </c>
      <c r="V68" s="602">
        <v>0.30499999867577199</v>
      </c>
      <c r="W68" s="602">
        <v>9347.2686549999999</v>
      </c>
      <c r="X68" s="602">
        <v>0</v>
      </c>
      <c r="Y68" s="602">
        <v>0</v>
      </c>
      <c r="Z68" s="602">
        <v>0</v>
      </c>
      <c r="AA68" s="602">
        <v>0</v>
      </c>
      <c r="AB68" s="602">
        <v>0</v>
      </c>
      <c r="AC68" s="602">
        <v>0</v>
      </c>
      <c r="AD68" s="602">
        <v>0</v>
      </c>
      <c r="AE68" s="602">
        <v>0</v>
      </c>
      <c r="AF68" s="602">
        <v>0</v>
      </c>
      <c r="AG68" s="602">
        <v>0</v>
      </c>
      <c r="AH68" s="602">
        <v>0</v>
      </c>
      <c r="AI68" s="602">
        <v>0</v>
      </c>
      <c r="AJ68" s="498">
        <v>0</v>
      </c>
      <c r="AK68" s="498">
        <v>0</v>
      </c>
      <c r="AL68" s="602">
        <v>3.3296082775357401</v>
      </c>
      <c r="AM68" s="602">
        <v>3.0246082349728201</v>
      </c>
      <c r="AN68" s="498">
        <v>102041.781053</v>
      </c>
      <c r="AO68" s="603">
        <v>92694.511052999995</v>
      </c>
    </row>
    <row r="69" spans="1:41" ht="12" thickBot="1">
      <c r="A69" s="918"/>
      <c r="B69" s="918"/>
      <c r="C69" s="918"/>
      <c r="D69" s="918"/>
      <c r="E69" s="918"/>
      <c r="F69" s="600" t="s">
        <v>310</v>
      </c>
      <c r="G69" s="600" t="s">
        <v>310</v>
      </c>
      <c r="H69" s="601">
        <v>170179</v>
      </c>
      <c r="I69" s="602">
        <v>4933.63</v>
      </c>
      <c r="J69" s="602">
        <v>0.3</v>
      </c>
      <c r="K69" s="602">
        <v>4931.1638849999999</v>
      </c>
      <c r="L69" s="602">
        <v>4.97</v>
      </c>
      <c r="M69" s="498">
        <v>0.30486155988903801</v>
      </c>
      <c r="N69" s="602">
        <v>3.2606601864549001</v>
      </c>
      <c r="O69" s="602">
        <v>2.9557986265224301</v>
      </c>
      <c r="P69" s="498">
        <v>53.156852999999998</v>
      </c>
      <c r="Q69" s="602">
        <v>48.186852999999999</v>
      </c>
      <c r="R69" s="602">
        <v>-0.235979347942986</v>
      </c>
      <c r="S69" s="602">
        <v>-3.8470490000000002</v>
      </c>
      <c r="T69" s="602">
        <v>0</v>
      </c>
      <c r="U69" s="602">
        <v>0</v>
      </c>
      <c r="V69" s="602">
        <v>0</v>
      </c>
      <c r="W69" s="602">
        <v>0</v>
      </c>
      <c r="X69" s="602">
        <v>0</v>
      </c>
      <c r="Y69" s="602">
        <v>0</v>
      </c>
      <c r="Z69" s="602">
        <v>0</v>
      </c>
      <c r="AA69" s="602">
        <v>0</v>
      </c>
      <c r="AB69" s="602">
        <v>0</v>
      </c>
      <c r="AC69" s="602">
        <v>0</v>
      </c>
      <c r="AD69" s="602">
        <v>0</v>
      </c>
      <c r="AE69" s="602">
        <v>0</v>
      </c>
      <c r="AF69" s="602">
        <v>0</v>
      </c>
      <c r="AG69" s="602">
        <v>0</v>
      </c>
      <c r="AH69" s="602">
        <v>0</v>
      </c>
      <c r="AI69" s="602">
        <v>0</v>
      </c>
      <c r="AJ69" s="498">
        <v>0</v>
      </c>
      <c r="AK69" s="498">
        <v>0</v>
      </c>
      <c r="AL69" s="602">
        <v>3.0246838441892701</v>
      </c>
      <c r="AM69" s="602">
        <v>2.7198222842568001</v>
      </c>
      <c r="AN69" s="498">
        <v>49.309852999999997</v>
      </c>
      <c r="AO69" s="603">
        <v>44.339852999999998</v>
      </c>
    </row>
    <row r="70" spans="1:41" ht="12" thickBot="1">
      <c r="A70" s="918"/>
      <c r="B70" s="918"/>
      <c r="C70" s="918"/>
      <c r="D70" s="918"/>
      <c r="E70" s="918"/>
      <c r="F70" s="600" t="s">
        <v>311</v>
      </c>
      <c r="G70" s="600" t="s">
        <v>311</v>
      </c>
      <c r="H70" s="601">
        <v>170180</v>
      </c>
      <c r="I70" s="602">
        <v>1210.22</v>
      </c>
      <c r="J70" s="602">
        <v>0.3</v>
      </c>
      <c r="K70" s="602">
        <v>1174.147273</v>
      </c>
      <c r="L70" s="602">
        <v>1.19</v>
      </c>
      <c r="M70" s="498">
        <v>0.30656325786410998</v>
      </c>
      <c r="N70" s="602">
        <v>3.2601768499903798</v>
      </c>
      <c r="O70" s="602">
        <v>2.9536135920550599</v>
      </c>
      <c r="P70" s="498">
        <v>12.655170999999999</v>
      </c>
      <c r="Q70" s="602">
        <v>11.465171</v>
      </c>
      <c r="R70" s="602">
        <v>-0.23590094221359301</v>
      </c>
      <c r="S70" s="602">
        <v>-0.91570700000000005</v>
      </c>
      <c r="T70" s="602">
        <v>0</v>
      </c>
      <c r="U70" s="602">
        <v>0</v>
      </c>
      <c r="V70" s="602">
        <v>0</v>
      </c>
      <c r="W70" s="602">
        <v>0</v>
      </c>
      <c r="X70" s="602">
        <v>0</v>
      </c>
      <c r="Y70" s="602">
        <v>0</v>
      </c>
      <c r="Z70" s="602">
        <v>0</v>
      </c>
      <c r="AA70" s="602">
        <v>0</v>
      </c>
      <c r="AB70" s="602">
        <v>0</v>
      </c>
      <c r="AC70" s="602">
        <v>0</v>
      </c>
      <c r="AD70" s="602">
        <v>0</v>
      </c>
      <c r="AE70" s="602">
        <v>0</v>
      </c>
      <c r="AF70" s="602">
        <v>0</v>
      </c>
      <c r="AG70" s="602">
        <v>0</v>
      </c>
      <c r="AH70" s="602">
        <v>0</v>
      </c>
      <c r="AI70" s="602">
        <v>0</v>
      </c>
      <c r="AJ70" s="498">
        <v>0</v>
      </c>
      <c r="AK70" s="498">
        <v>0</v>
      </c>
      <c r="AL70" s="602">
        <v>3.0242810601004502</v>
      </c>
      <c r="AM70" s="602">
        <v>2.7177178021651298</v>
      </c>
      <c r="AN70" s="498">
        <v>11.739483999999999</v>
      </c>
      <c r="AO70" s="603">
        <v>10.549484</v>
      </c>
    </row>
    <row r="71" spans="1:41" ht="12" thickBot="1">
      <c r="A71" s="918"/>
      <c r="B71" s="918"/>
      <c r="C71" s="918"/>
      <c r="D71" s="918"/>
      <c r="E71" s="918"/>
      <c r="F71" s="600" t="s">
        <v>312</v>
      </c>
      <c r="G71" s="600" t="s">
        <v>312</v>
      </c>
      <c r="H71" s="601">
        <v>170181</v>
      </c>
      <c r="I71" s="602">
        <v>184205493.53136599</v>
      </c>
      <c r="J71" s="602">
        <v>0.28017642553043598</v>
      </c>
      <c r="K71" s="602">
        <v>366610686.024665</v>
      </c>
      <c r="L71" s="602">
        <v>1414336.135973</v>
      </c>
      <c r="M71" s="498">
        <v>1.1669257760862399</v>
      </c>
      <c r="N71" s="602">
        <v>2.57540782460427</v>
      </c>
      <c r="O71" s="602">
        <v>1.4084820485180101</v>
      </c>
      <c r="P71" s="498">
        <v>3121443.0479219998</v>
      </c>
      <c r="Q71" s="602">
        <v>1707106.9119490001</v>
      </c>
      <c r="R71" s="602">
        <v>-0.16779518081463701</v>
      </c>
      <c r="S71" s="602">
        <v>-203370.93629400001</v>
      </c>
      <c r="T71" s="602">
        <v>0</v>
      </c>
      <c r="U71" s="602">
        <v>0</v>
      </c>
      <c r="V71" s="602">
        <v>2.4759735884929998E-3</v>
      </c>
      <c r="W71" s="602">
        <v>3000.9268710000001</v>
      </c>
      <c r="X71" s="602">
        <v>0</v>
      </c>
      <c r="Y71" s="602">
        <v>0</v>
      </c>
      <c r="Z71" s="602">
        <v>0</v>
      </c>
      <c r="AA71" s="602">
        <v>0</v>
      </c>
      <c r="AB71" s="602">
        <v>0</v>
      </c>
      <c r="AC71" s="602">
        <v>0</v>
      </c>
      <c r="AD71" s="602">
        <v>0</v>
      </c>
      <c r="AE71" s="602">
        <v>0</v>
      </c>
      <c r="AF71" s="602">
        <v>0</v>
      </c>
      <c r="AG71" s="602">
        <v>0</v>
      </c>
      <c r="AH71" s="602">
        <v>0</v>
      </c>
      <c r="AI71" s="602">
        <v>0</v>
      </c>
      <c r="AJ71" s="498">
        <v>0</v>
      </c>
      <c r="AK71" s="498">
        <v>0</v>
      </c>
      <c r="AL71" s="602">
        <v>2.4100886169111302</v>
      </c>
      <c r="AM71" s="602">
        <v>1.24316284082488</v>
      </c>
      <c r="AN71" s="498">
        <v>2921073.0379329999</v>
      </c>
      <c r="AO71" s="603">
        <v>1506736.9019599999</v>
      </c>
    </row>
    <row r="72" spans="1:41" ht="12" thickBot="1">
      <c r="A72" s="918"/>
      <c r="B72" s="918"/>
      <c r="C72" s="918"/>
      <c r="D72" s="918"/>
      <c r="E72" s="918"/>
      <c r="F72" s="917" t="s">
        <v>313</v>
      </c>
      <c r="G72" s="600" t="s">
        <v>314</v>
      </c>
      <c r="H72" s="601">
        <v>170182</v>
      </c>
      <c r="I72" s="602">
        <v>0</v>
      </c>
      <c r="J72" s="602">
        <v>0</v>
      </c>
      <c r="K72" s="602">
        <v>0</v>
      </c>
      <c r="L72" s="602">
        <v>0</v>
      </c>
      <c r="M72" s="498">
        <v>0</v>
      </c>
      <c r="N72" s="602">
        <v>0</v>
      </c>
      <c r="O72" s="602">
        <v>0</v>
      </c>
      <c r="P72" s="498">
        <v>0</v>
      </c>
      <c r="Q72" s="602">
        <v>0</v>
      </c>
      <c r="R72" s="602">
        <v>0</v>
      </c>
      <c r="S72" s="602">
        <v>0</v>
      </c>
      <c r="T72" s="602">
        <v>0</v>
      </c>
      <c r="U72" s="602">
        <v>0</v>
      </c>
      <c r="V72" s="602">
        <v>0</v>
      </c>
      <c r="W72" s="602">
        <v>0</v>
      </c>
      <c r="X72" s="602">
        <v>0</v>
      </c>
      <c r="Y72" s="602">
        <v>0</v>
      </c>
      <c r="Z72" s="602">
        <v>0</v>
      </c>
      <c r="AA72" s="602">
        <v>0</v>
      </c>
      <c r="AB72" s="602">
        <v>0</v>
      </c>
      <c r="AC72" s="602">
        <v>0</v>
      </c>
      <c r="AD72" s="602">
        <v>0</v>
      </c>
      <c r="AE72" s="602">
        <v>0</v>
      </c>
      <c r="AF72" s="602">
        <v>0</v>
      </c>
      <c r="AG72" s="602">
        <v>0</v>
      </c>
      <c r="AH72" s="602">
        <v>0</v>
      </c>
      <c r="AI72" s="602">
        <v>0</v>
      </c>
      <c r="AJ72" s="498">
        <v>0</v>
      </c>
      <c r="AK72" s="498">
        <v>0</v>
      </c>
      <c r="AL72" s="602">
        <v>0</v>
      </c>
      <c r="AM72" s="602">
        <v>0</v>
      </c>
      <c r="AN72" s="498">
        <v>0</v>
      </c>
      <c r="AO72" s="603">
        <v>0</v>
      </c>
    </row>
    <row r="73" spans="1:41" ht="12" thickBot="1">
      <c r="A73" s="918"/>
      <c r="B73" s="918"/>
      <c r="C73" s="918"/>
      <c r="D73" s="918"/>
      <c r="E73" s="918"/>
      <c r="F73" s="919"/>
      <c r="G73" s="600" t="s">
        <v>315</v>
      </c>
      <c r="H73" s="601">
        <v>170283</v>
      </c>
      <c r="I73" s="602">
        <v>113808007.56999999</v>
      </c>
      <c r="J73" s="602">
        <v>0.3</v>
      </c>
      <c r="K73" s="602">
        <v>143188873.824545</v>
      </c>
      <c r="L73" s="602">
        <v>144382.10999999999</v>
      </c>
      <c r="M73" s="498">
        <v>0.30499999062125099</v>
      </c>
      <c r="N73" s="602">
        <v>3.2618406149984498</v>
      </c>
      <c r="O73" s="602">
        <v>2.9568406243771999</v>
      </c>
      <c r="P73" s="498">
        <v>1544103.0982260001</v>
      </c>
      <c r="Q73" s="602">
        <v>1399720.988226</v>
      </c>
      <c r="R73" s="602">
        <v>-0.236198671268947</v>
      </c>
      <c r="S73" s="602">
        <v>-111812.66749399999</v>
      </c>
      <c r="T73" s="602">
        <v>0</v>
      </c>
      <c r="U73" s="602">
        <v>0</v>
      </c>
      <c r="V73" s="602">
        <v>0</v>
      </c>
      <c r="W73" s="602">
        <v>0</v>
      </c>
      <c r="X73" s="602">
        <v>0</v>
      </c>
      <c r="Y73" s="602">
        <v>0</v>
      </c>
      <c r="Z73" s="602">
        <v>0</v>
      </c>
      <c r="AA73" s="602">
        <v>0</v>
      </c>
      <c r="AB73" s="602">
        <v>0</v>
      </c>
      <c r="AC73" s="602">
        <v>0</v>
      </c>
      <c r="AD73" s="602">
        <v>0</v>
      </c>
      <c r="AE73" s="602">
        <v>0</v>
      </c>
      <c r="AF73" s="602">
        <v>0</v>
      </c>
      <c r="AG73" s="602">
        <v>0</v>
      </c>
      <c r="AH73" s="602">
        <v>0</v>
      </c>
      <c r="AI73" s="602">
        <v>0</v>
      </c>
      <c r="AJ73" s="498">
        <v>0</v>
      </c>
      <c r="AK73" s="498">
        <v>0</v>
      </c>
      <c r="AL73" s="602">
        <v>3.0256419436492301</v>
      </c>
      <c r="AM73" s="602">
        <v>2.7206419530279802</v>
      </c>
      <c r="AN73" s="498">
        <v>1432290.4306940001</v>
      </c>
      <c r="AO73" s="603">
        <v>1287908.320694</v>
      </c>
    </row>
    <row r="74" spans="1:41" ht="12" thickBot="1">
      <c r="A74" s="918"/>
      <c r="B74" s="918"/>
      <c r="C74" s="919"/>
      <c r="D74" s="919"/>
      <c r="E74" s="919"/>
      <c r="F74" s="600" t="s">
        <v>3512</v>
      </c>
      <c r="G74" s="600" t="s">
        <v>3512</v>
      </c>
      <c r="H74" s="601">
        <v>170147</v>
      </c>
      <c r="I74" s="602">
        <v>300000</v>
      </c>
      <c r="J74" s="602">
        <v>0.3</v>
      </c>
      <c r="K74" s="602">
        <v>9917.355372</v>
      </c>
      <c r="L74" s="602">
        <v>10</v>
      </c>
      <c r="M74" s="498">
        <v>0.30499999999694999</v>
      </c>
      <c r="N74" s="602">
        <v>3.21300725</v>
      </c>
      <c r="O74" s="602">
        <v>2.9080072499999998</v>
      </c>
      <c r="P74" s="498">
        <v>105.3445</v>
      </c>
      <c r="Q74" s="602">
        <v>95.344499999999996</v>
      </c>
      <c r="R74" s="602">
        <v>-0.227071036</v>
      </c>
      <c r="S74" s="602">
        <v>-7.4449519999999998</v>
      </c>
      <c r="T74" s="602">
        <v>0</v>
      </c>
      <c r="U74" s="602">
        <v>0</v>
      </c>
      <c r="V74" s="602">
        <v>0</v>
      </c>
      <c r="W74" s="602">
        <v>0</v>
      </c>
      <c r="X74" s="602">
        <v>0</v>
      </c>
      <c r="Y74" s="602">
        <v>0</v>
      </c>
      <c r="Z74" s="602">
        <v>0</v>
      </c>
      <c r="AA74" s="602">
        <v>0</v>
      </c>
      <c r="AB74" s="602">
        <v>0</v>
      </c>
      <c r="AC74" s="602">
        <v>0</v>
      </c>
      <c r="AD74" s="602">
        <v>0</v>
      </c>
      <c r="AE74" s="602">
        <v>0</v>
      </c>
      <c r="AF74" s="602">
        <v>0</v>
      </c>
      <c r="AG74" s="602">
        <v>0</v>
      </c>
      <c r="AH74" s="602">
        <v>0</v>
      </c>
      <c r="AI74" s="602">
        <v>0</v>
      </c>
      <c r="AJ74" s="498">
        <v>0</v>
      </c>
      <c r="AK74" s="498">
        <v>0</v>
      </c>
      <c r="AL74" s="602">
        <v>2.9859362140000001</v>
      </c>
      <c r="AM74" s="602">
        <v>2.6809362139999999</v>
      </c>
      <c r="AN74" s="498">
        <v>97.899547999999996</v>
      </c>
      <c r="AO74" s="603">
        <v>87.899547999999996</v>
      </c>
    </row>
    <row r="75" spans="1:41" ht="12" thickBot="1">
      <c r="A75" s="918"/>
      <c r="B75" s="918"/>
      <c r="C75" s="600" t="s">
        <v>324</v>
      </c>
      <c r="D75" s="600" t="s">
        <v>324</v>
      </c>
      <c r="E75" s="600" t="s">
        <v>324</v>
      </c>
      <c r="F75" s="600" t="s">
        <v>324</v>
      </c>
      <c r="G75" s="600" t="s">
        <v>324</v>
      </c>
      <c r="H75" s="601">
        <v>170280</v>
      </c>
      <c r="I75" s="602">
        <v>283751636.13999999</v>
      </c>
      <c r="J75" s="602">
        <v>0.34993942396514899</v>
      </c>
      <c r="K75" s="602">
        <v>286852651.44628203</v>
      </c>
      <c r="L75" s="602">
        <v>337392.5</v>
      </c>
      <c r="M75" s="498">
        <v>0.35577241422044098</v>
      </c>
      <c r="N75" s="602">
        <v>3.2604416448796898</v>
      </c>
      <c r="O75" s="602">
        <v>2.9046692306592501</v>
      </c>
      <c r="P75" s="498">
        <v>3092000.7108490001</v>
      </c>
      <c r="Q75" s="602">
        <v>2754608.2108490001</v>
      </c>
      <c r="R75" s="602">
        <v>0</v>
      </c>
      <c r="S75" s="602">
        <v>0</v>
      </c>
      <c r="T75" s="602">
        <v>0</v>
      </c>
      <c r="U75" s="602">
        <v>0</v>
      </c>
      <c r="V75" s="602">
        <v>0</v>
      </c>
      <c r="W75" s="602">
        <v>0</v>
      </c>
      <c r="X75" s="602">
        <v>0</v>
      </c>
      <c r="Y75" s="602">
        <v>0</v>
      </c>
      <c r="Z75" s="602">
        <v>0</v>
      </c>
      <c r="AA75" s="602">
        <v>0</v>
      </c>
      <c r="AB75" s="602">
        <v>0</v>
      </c>
      <c r="AC75" s="602">
        <v>0</v>
      </c>
      <c r="AD75" s="602">
        <v>0</v>
      </c>
      <c r="AE75" s="602">
        <v>0</v>
      </c>
      <c r="AF75" s="602">
        <v>0</v>
      </c>
      <c r="AG75" s="602">
        <v>0</v>
      </c>
      <c r="AH75" s="602">
        <v>0</v>
      </c>
      <c r="AI75" s="602">
        <v>0</v>
      </c>
      <c r="AJ75" s="498">
        <v>0</v>
      </c>
      <c r="AK75" s="498">
        <v>0</v>
      </c>
      <c r="AL75" s="602">
        <v>3.2604416448796898</v>
      </c>
      <c r="AM75" s="602">
        <v>2.9046692306592501</v>
      </c>
      <c r="AN75" s="498">
        <v>3092000.7108490001</v>
      </c>
      <c r="AO75" s="603">
        <v>2754608.2108490001</v>
      </c>
    </row>
    <row r="76" spans="1:41" ht="12" thickBot="1">
      <c r="A76" s="918"/>
      <c r="B76" s="918"/>
      <c r="C76" s="917" t="s">
        <v>316</v>
      </c>
      <c r="D76" s="917" t="s">
        <v>316</v>
      </c>
      <c r="E76" s="917" t="s">
        <v>317</v>
      </c>
      <c r="F76" s="917" t="s">
        <v>294</v>
      </c>
      <c r="G76" s="600" t="s">
        <v>295</v>
      </c>
      <c r="H76" s="601">
        <v>170185</v>
      </c>
      <c r="I76" s="602">
        <v>7062000</v>
      </c>
      <c r="J76" s="602">
        <v>1.1000000000000001</v>
      </c>
      <c r="K76" s="602">
        <v>9533247.7076030001</v>
      </c>
      <c r="L76" s="602">
        <v>29139.3</v>
      </c>
      <c r="M76" s="498">
        <v>0.92455755569192799</v>
      </c>
      <c r="N76" s="602">
        <v>3.2488596478124001</v>
      </c>
      <c r="O76" s="602">
        <v>2.32430209212052</v>
      </c>
      <c r="P76" s="498">
        <v>102394.378103</v>
      </c>
      <c r="Q76" s="602">
        <v>73255.078103000007</v>
      </c>
      <c r="R76" s="602">
        <v>-0.23929736968847301</v>
      </c>
      <c r="S76" s="602">
        <v>-7541.9402520000003</v>
      </c>
      <c r="T76" s="602">
        <v>0</v>
      </c>
      <c r="U76" s="602">
        <v>0</v>
      </c>
      <c r="V76" s="602">
        <v>0</v>
      </c>
      <c r="W76" s="602">
        <v>0</v>
      </c>
      <c r="X76" s="602">
        <v>0</v>
      </c>
      <c r="Y76" s="602">
        <v>0</v>
      </c>
      <c r="Z76" s="602">
        <v>0</v>
      </c>
      <c r="AA76" s="602">
        <v>0</v>
      </c>
      <c r="AB76" s="602">
        <v>0</v>
      </c>
      <c r="AC76" s="602">
        <v>0</v>
      </c>
      <c r="AD76" s="602">
        <v>0</v>
      </c>
      <c r="AE76" s="602">
        <v>0</v>
      </c>
      <c r="AF76" s="602">
        <v>0</v>
      </c>
      <c r="AG76" s="602">
        <v>0</v>
      </c>
      <c r="AH76" s="602">
        <v>0</v>
      </c>
      <c r="AI76" s="602">
        <v>0</v>
      </c>
      <c r="AJ76" s="498">
        <v>0</v>
      </c>
      <c r="AK76" s="498">
        <v>0</v>
      </c>
      <c r="AL76" s="602">
        <v>3.0095622781239202</v>
      </c>
      <c r="AM76" s="602">
        <v>2.0850047224320498</v>
      </c>
      <c r="AN76" s="498">
        <v>94852.437850999995</v>
      </c>
      <c r="AO76" s="603">
        <v>65713.137851000007</v>
      </c>
    </row>
    <row r="77" spans="1:41" ht="12" thickBot="1">
      <c r="A77" s="918"/>
      <c r="B77" s="918"/>
      <c r="C77" s="918"/>
      <c r="D77" s="918"/>
      <c r="E77" s="918"/>
      <c r="F77" s="918"/>
      <c r="G77" s="600" t="s">
        <v>296</v>
      </c>
      <c r="H77" s="601">
        <v>170186</v>
      </c>
      <c r="I77" s="602">
        <v>0</v>
      </c>
      <c r="J77" s="602">
        <v>0</v>
      </c>
      <c r="K77" s="602">
        <v>0</v>
      </c>
      <c r="L77" s="602">
        <v>0</v>
      </c>
      <c r="M77" s="498">
        <v>0</v>
      </c>
      <c r="N77" s="602">
        <v>0</v>
      </c>
      <c r="O77" s="602">
        <v>0</v>
      </c>
      <c r="P77" s="498">
        <v>0</v>
      </c>
      <c r="Q77" s="602">
        <v>0</v>
      </c>
      <c r="R77" s="602">
        <v>0</v>
      </c>
      <c r="S77" s="602">
        <v>0</v>
      </c>
      <c r="T77" s="602">
        <v>0</v>
      </c>
      <c r="U77" s="602">
        <v>0</v>
      </c>
      <c r="V77" s="602">
        <v>0</v>
      </c>
      <c r="W77" s="602">
        <v>0</v>
      </c>
      <c r="X77" s="602">
        <v>0</v>
      </c>
      <c r="Y77" s="602">
        <v>0</v>
      </c>
      <c r="Z77" s="602">
        <v>0</v>
      </c>
      <c r="AA77" s="602">
        <v>0</v>
      </c>
      <c r="AB77" s="602">
        <v>0</v>
      </c>
      <c r="AC77" s="602">
        <v>0</v>
      </c>
      <c r="AD77" s="602">
        <v>0</v>
      </c>
      <c r="AE77" s="602">
        <v>0</v>
      </c>
      <c r="AF77" s="602">
        <v>0</v>
      </c>
      <c r="AG77" s="602">
        <v>0</v>
      </c>
      <c r="AH77" s="602">
        <v>0</v>
      </c>
      <c r="AI77" s="602">
        <v>0</v>
      </c>
      <c r="AJ77" s="498">
        <v>0</v>
      </c>
      <c r="AK77" s="498">
        <v>0</v>
      </c>
      <c r="AL77" s="602">
        <v>0</v>
      </c>
      <c r="AM77" s="602">
        <v>0</v>
      </c>
      <c r="AN77" s="498">
        <v>0</v>
      </c>
      <c r="AO77" s="603">
        <v>0</v>
      </c>
    </row>
    <row r="78" spans="1:41" ht="12" thickBot="1">
      <c r="A78" s="918"/>
      <c r="B78" s="918"/>
      <c r="C78" s="918"/>
      <c r="D78" s="918"/>
      <c r="E78" s="918"/>
      <c r="F78" s="918"/>
      <c r="G78" s="600" t="s">
        <v>297</v>
      </c>
      <c r="H78" s="601">
        <v>170187</v>
      </c>
      <c r="I78" s="602">
        <v>0</v>
      </c>
      <c r="J78" s="602">
        <v>0</v>
      </c>
      <c r="K78" s="602">
        <v>0</v>
      </c>
      <c r="L78" s="602">
        <v>0</v>
      </c>
      <c r="M78" s="498">
        <v>0</v>
      </c>
      <c r="N78" s="602">
        <v>0</v>
      </c>
      <c r="O78" s="602">
        <v>0</v>
      </c>
      <c r="P78" s="498">
        <v>0</v>
      </c>
      <c r="Q78" s="602">
        <v>0</v>
      </c>
      <c r="R78" s="602">
        <v>0</v>
      </c>
      <c r="S78" s="602">
        <v>0</v>
      </c>
      <c r="T78" s="602">
        <v>0</v>
      </c>
      <c r="U78" s="602">
        <v>0</v>
      </c>
      <c r="V78" s="602">
        <v>0</v>
      </c>
      <c r="W78" s="602">
        <v>0</v>
      </c>
      <c r="X78" s="602">
        <v>0</v>
      </c>
      <c r="Y78" s="602">
        <v>0</v>
      </c>
      <c r="Z78" s="602">
        <v>0</v>
      </c>
      <c r="AA78" s="602">
        <v>0</v>
      </c>
      <c r="AB78" s="602">
        <v>0</v>
      </c>
      <c r="AC78" s="602">
        <v>0</v>
      </c>
      <c r="AD78" s="602">
        <v>0</v>
      </c>
      <c r="AE78" s="602">
        <v>0</v>
      </c>
      <c r="AF78" s="602">
        <v>0</v>
      </c>
      <c r="AG78" s="602">
        <v>0</v>
      </c>
      <c r="AH78" s="602">
        <v>0</v>
      </c>
      <c r="AI78" s="602">
        <v>0</v>
      </c>
      <c r="AJ78" s="498">
        <v>0</v>
      </c>
      <c r="AK78" s="498">
        <v>0</v>
      </c>
      <c r="AL78" s="602">
        <v>0</v>
      </c>
      <c r="AM78" s="602">
        <v>0</v>
      </c>
      <c r="AN78" s="498">
        <v>0</v>
      </c>
      <c r="AO78" s="603">
        <v>0</v>
      </c>
    </row>
    <row r="79" spans="1:41" ht="12" thickBot="1">
      <c r="A79" s="918"/>
      <c r="B79" s="918"/>
      <c r="C79" s="918"/>
      <c r="D79" s="918"/>
      <c r="E79" s="918"/>
      <c r="F79" s="918"/>
      <c r="G79" s="600" t="s">
        <v>298</v>
      </c>
      <c r="H79" s="601">
        <v>170188</v>
      </c>
      <c r="I79" s="602">
        <v>8511510.3000000007</v>
      </c>
      <c r="J79" s="602">
        <v>0.99862137716029098</v>
      </c>
      <c r="K79" s="602">
        <v>13092291.657604</v>
      </c>
      <c r="L79" s="602">
        <v>43917.94</v>
      </c>
      <c r="M79" s="498">
        <v>1.0146634219556201</v>
      </c>
      <c r="N79" s="602">
        <v>3.3030392409671099</v>
      </c>
      <c r="O79" s="602">
        <v>2.2883758190114301</v>
      </c>
      <c r="P79" s="498">
        <v>142966.30396200001</v>
      </c>
      <c r="Q79" s="602">
        <v>99048.363962000003</v>
      </c>
      <c r="R79" s="602">
        <v>-0.24586341386550301</v>
      </c>
      <c r="S79" s="602">
        <v>-10641.769896</v>
      </c>
      <c r="T79" s="602">
        <v>0</v>
      </c>
      <c r="U79" s="602">
        <v>0</v>
      </c>
      <c r="V79" s="602">
        <v>0</v>
      </c>
      <c r="W79" s="602">
        <v>0</v>
      </c>
      <c r="X79" s="602">
        <v>0</v>
      </c>
      <c r="Y79" s="602">
        <v>0</v>
      </c>
      <c r="Z79" s="602">
        <v>0</v>
      </c>
      <c r="AA79" s="602">
        <v>0</v>
      </c>
      <c r="AB79" s="602">
        <v>0</v>
      </c>
      <c r="AC79" s="602">
        <v>0</v>
      </c>
      <c r="AD79" s="602">
        <v>0</v>
      </c>
      <c r="AE79" s="602">
        <v>0</v>
      </c>
      <c r="AF79" s="602">
        <v>0</v>
      </c>
      <c r="AG79" s="602">
        <v>0</v>
      </c>
      <c r="AH79" s="602">
        <v>0</v>
      </c>
      <c r="AI79" s="602">
        <v>0</v>
      </c>
      <c r="AJ79" s="498">
        <v>0</v>
      </c>
      <c r="AK79" s="498">
        <v>0</v>
      </c>
      <c r="AL79" s="602">
        <v>3.05717582758678</v>
      </c>
      <c r="AM79" s="602">
        <v>2.0425124056311001</v>
      </c>
      <c r="AN79" s="498">
        <v>132324.53408700001</v>
      </c>
      <c r="AO79" s="603">
        <v>88406.594087000005</v>
      </c>
    </row>
    <row r="80" spans="1:41" ht="12" thickBot="1">
      <c r="A80" s="918"/>
      <c r="B80" s="918"/>
      <c r="C80" s="918"/>
      <c r="D80" s="918"/>
      <c r="E80" s="918"/>
      <c r="F80" s="919"/>
      <c r="G80" s="600" t="s">
        <v>299</v>
      </c>
      <c r="H80" s="601">
        <v>170190</v>
      </c>
      <c r="I80" s="602">
        <v>294751481.83999997</v>
      </c>
      <c r="J80" s="602">
        <v>0.69636596306551801</v>
      </c>
      <c r="K80" s="602">
        <v>339216323.52809298</v>
      </c>
      <c r="L80" s="602">
        <v>933570.81</v>
      </c>
      <c r="M80" s="498">
        <v>0.83246548525402597</v>
      </c>
      <c r="N80" s="602">
        <v>2.9006735247548399</v>
      </c>
      <c r="O80" s="602">
        <v>2.0682080395008202</v>
      </c>
      <c r="P80" s="498">
        <v>3252968.6575830001</v>
      </c>
      <c r="Q80" s="602">
        <v>2319397.8475830001</v>
      </c>
      <c r="R80" s="602">
        <v>-0.18727387274353399</v>
      </c>
      <c r="S80" s="602">
        <v>-210018.82260099999</v>
      </c>
      <c r="T80" s="602">
        <v>0</v>
      </c>
      <c r="U80" s="602">
        <v>0</v>
      </c>
      <c r="V80" s="602">
        <v>0</v>
      </c>
      <c r="W80" s="602">
        <v>0</v>
      </c>
      <c r="X80" s="602">
        <v>0</v>
      </c>
      <c r="Y80" s="602">
        <v>0</v>
      </c>
      <c r="Z80" s="602">
        <v>0</v>
      </c>
      <c r="AA80" s="602">
        <v>0</v>
      </c>
      <c r="AB80" s="602">
        <v>0</v>
      </c>
      <c r="AC80" s="602">
        <v>0</v>
      </c>
      <c r="AD80" s="602">
        <v>0</v>
      </c>
      <c r="AE80" s="602">
        <v>0</v>
      </c>
      <c r="AF80" s="602">
        <v>0</v>
      </c>
      <c r="AG80" s="602">
        <v>0</v>
      </c>
      <c r="AH80" s="602">
        <v>0</v>
      </c>
      <c r="AI80" s="602">
        <v>0</v>
      </c>
      <c r="AJ80" s="498">
        <v>0</v>
      </c>
      <c r="AK80" s="498">
        <v>0</v>
      </c>
      <c r="AL80" s="602">
        <v>2.7133996521860801</v>
      </c>
      <c r="AM80" s="602">
        <v>1.8809341669320601</v>
      </c>
      <c r="AN80" s="498">
        <v>3042949.8351779999</v>
      </c>
      <c r="AO80" s="603">
        <v>2109379.0251779999</v>
      </c>
    </row>
    <row r="81" spans="1:41" ht="12" thickBot="1">
      <c r="A81" s="918"/>
      <c r="B81" s="918"/>
      <c r="C81" s="918"/>
      <c r="D81" s="918"/>
      <c r="E81" s="918"/>
      <c r="F81" s="600" t="s">
        <v>300</v>
      </c>
      <c r="G81" s="600" t="s">
        <v>302</v>
      </c>
      <c r="H81" s="601">
        <v>170197</v>
      </c>
      <c r="I81" s="602">
        <v>0</v>
      </c>
      <c r="J81" s="602">
        <v>0</v>
      </c>
      <c r="K81" s="602">
        <v>0</v>
      </c>
      <c r="L81" s="602">
        <v>0</v>
      </c>
      <c r="M81" s="498">
        <v>0</v>
      </c>
      <c r="N81" s="602">
        <v>0</v>
      </c>
      <c r="O81" s="602">
        <v>0</v>
      </c>
      <c r="P81" s="498">
        <v>0</v>
      </c>
      <c r="Q81" s="602">
        <v>0</v>
      </c>
      <c r="R81" s="602">
        <v>0</v>
      </c>
      <c r="S81" s="602">
        <v>0</v>
      </c>
      <c r="T81" s="602">
        <v>0</v>
      </c>
      <c r="U81" s="602">
        <v>0</v>
      </c>
      <c r="V81" s="602">
        <v>0</v>
      </c>
      <c r="W81" s="602">
        <v>0</v>
      </c>
      <c r="X81" s="602">
        <v>0</v>
      </c>
      <c r="Y81" s="602">
        <v>0</v>
      </c>
      <c r="Z81" s="602">
        <v>0</v>
      </c>
      <c r="AA81" s="602">
        <v>0</v>
      </c>
      <c r="AB81" s="602">
        <v>0</v>
      </c>
      <c r="AC81" s="602">
        <v>0</v>
      </c>
      <c r="AD81" s="602">
        <v>0</v>
      </c>
      <c r="AE81" s="602">
        <v>0</v>
      </c>
      <c r="AF81" s="602">
        <v>0</v>
      </c>
      <c r="AG81" s="602">
        <v>0</v>
      </c>
      <c r="AH81" s="602">
        <v>0</v>
      </c>
      <c r="AI81" s="602">
        <v>0</v>
      </c>
      <c r="AJ81" s="498">
        <v>0</v>
      </c>
      <c r="AK81" s="498">
        <v>0</v>
      </c>
      <c r="AL81" s="602">
        <v>0</v>
      </c>
      <c r="AM81" s="602">
        <v>0</v>
      </c>
      <c r="AN81" s="498">
        <v>0</v>
      </c>
      <c r="AO81" s="603">
        <v>0</v>
      </c>
    </row>
    <row r="82" spans="1:41" ht="12" thickBot="1">
      <c r="A82" s="918"/>
      <c r="B82" s="918"/>
      <c r="C82" s="918"/>
      <c r="D82" s="918"/>
      <c r="E82" s="918"/>
      <c r="F82" s="600" t="s">
        <v>303</v>
      </c>
      <c r="G82" s="600" t="s">
        <v>305</v>
      </c>
      <c r="H82" s="601">
        <v>170204</v>
      </c>
      <c r="I82" s="602">
        <v>4086250</v>
      </c>
      <c r="J82" s="602">
        <v>1.0951820128479699</v>
      </c>
      <c r="K82" s="602">
        <v>5937933.101818</v>
      </c>
      <c r="L82" s="602">
        <v>19448.509999999998</v>
      </c>
      <c r="M82" s="498">
        <v>0.99071046194169499</v>
      </c>
      <c r="N82" s="602">
        <v>3.1552401681770599</v>
      </c>
      <c r="O82" s="602">
        <v>2.1645297062353999</v>
      </c>
      <c r="P82" s="498">
        <v>61940.115018999997</v>
      </c>
      <c r="Q82" s="602">
        <v>42491.605019000002</v>
      </c>
      <c r="R82" s="602">
        <v>-0.22284458729881501</v>
      </c>
      <c r="S82" s="602">
        <v>-4374.6335090000002</v>
      </c>
      <c r="T82" s="602">
        <v>0</v>
      </c>
      <c r="U82" s="602">
        <v>0</v>
      </c>
      <c r="V82" s="602">
        <v>0</v>
      </c>
      <c r="W82" s="602">
        <v>0</v>
      </c>
      <c r="X82" s="602">
        <v>0</v>
      </c>
      <c r="Y82" s="602">
        <v>0</v>
      </c>
      <c r="Z82" s="602">
        <v>0</v>
      </c>
      <c r="AA82" s="602">
        <v>0</v>
      </c>
      <c r="AB82" s="602">
        <v>0</v>
      </c>
      <c r="AC82" s="602">
        <v>0</v>
      </c>
      <c r="AD82" s="602">
        <v>0</v>
      </c>
      <c r="AE82" s="602">
        <v>0</v>
      </c>
      <c r="AF82" s="602">
        <v>0</v>
      </c>
      <c r="AG82" s="602">
        <v>0</v>
      </c>
      <c r="AH82" s="602">
        <v>0</v>
      </c>
      <c r="AI82" s="602">
        <v>0</v>
      </c>
      <c r="AJ82" s="498">
        <v>0</v>
      </c>
      <c r="AK82" s="498">
        <v>0</v>
      </c>
      <c r="AL82" s="602">
        <v>2.9323955867873099</v>
      </c>
      <c r="AM82" s="602">
        <v>1.9416851248456499</v>
      </c>
      <c r="AN82" s="498">
        <v>57565.481626000001</v>
      </c>
      <c r="AO82" s="603">
        <v>38116.971625999999</v>
      </c>
    </row>
    <row r="83" spans="1:41" ht="12" thickBot="1">
      <c r="A83" s="918"/>
      <c r="B83" s="918"/>
      <c r="C83" s="918"/>
      <c r="D83" s="918"/>
      <c r="E83" s="918"/>
      <c r="F83" s="600" t="s">
        <v>318</v>
      </c>
      <c r="G83" s="600" t="s">
        <v>307</v>
      </c>
      <c r="H83" s="601">
        <v>170206</v>
      </c>
      <c r="I83" s="602">
        <v>11550000</v>
      </c>
      <c r="J83" s="602">
        <v>0.74285714285714299</v>
      </c>
      <c r="K83" s="602">
        <v>10988032.595042</v>
      </c>
      <c r="L83" s="602">
        <v>27403.599999999999</v>
      </c>
      <c r="M83" s="498">
        <v>0.75436824001209402</v>
      </c>
      <c r="N83" s="602">
        <v>2.6628627557325402</v>
      </c>
      <c r="O83" s="602">
        <v>1.9084945157204001</v>
      </c>
      <c r="P83" s="498">
        <v>96732.632608999993</v>
      </c>
      <c r="Q83" s="602">
        <v>69329.032609000002</v>
      </c>
      <c r="R83" s="602">
        <v>-0.15354045510101599</v>
      </c>
      <c r="S83" s="602">
        <v>-5577.5959169999996</v>
      </c>
      <c r="T83" s="602">
        <v>0</v>
      </c>
      <c r="U83" s="602">
        <v>0</v>
      </c>
      <c r="V83" s="602">
        <v>0</v>
      </c>
      <c r="W83" s="602">
        <v>0</v>
      </c>
      <c r="X83" s="602">
        <v>0</v>
      </c>
      <c r="Y83" s="602">
        <v>0</v>
      </c>
      <c r="Z83" s="602">
        <v>0</v>
      </c>
      <c r="AA83" s="602">
        <v>0</v>
      </c>
      <c r="AB83" s="602">
        <v>0</v>
      </c>
      <c r="AC83" s="602">
        <v>0</v>
      </c>
      <c r="AD83" s="602">
        <v>0</v>
      </c>
      <c r="AE83" s="602">
        <v>0</v>
      </c>
      <c r="AF83" s="602">
        <v>0</v>
      </c>
      <c r="AG83" s="602">
        <v>0</v>
      </c>
      <c r="AH83" s="602">
        <v>0</v>
      </c>
      <c r="AI83" s="602">
        <v>0</v>
      </c>
      <c r="AJ83" s="498">
        <v>0</v>
      </c>
      <c r="AK83" s="498">
        <v>0</v>
      </c>
      <c r="AL83" s="602">
        <v>2.5093223010995001</v>
      </c>
      <c r="AM83" s="602">
        <v>1.75495406108736</v>
      </c>
      <c r="AN83" s="498">
        <v>91155.036709000007</v>
      </c>
      <c r="AO83" s="603">
        <v>63751.436709000001</v>
      </c>
    </row>
    <row r="84" spans="1:41" ht="12" thickBot="1">
      <c r="A84" s="918"/>
      <c r="B84" s="918"/>
      <c r="C84" s="918"/>
      <c r="D84" s="918"/>
      <c r="E84" s="918"/>
      <c r="F84" s="600" t="s">
        <v>308</v>
      </c>
      <c r="G84" s="600" t="s">
        <v>308</v>
      </c>
      <c r="H84" s="601">
        <v>170209</v>
      </c>
      <c r="I84" s="602">
        <v>51803313.18</v>
      </c>
      <c r="J84" s="602">
        <v>1.0032509852200899</v>
      </c>
      <c r="K84" s="602">
        <v>38196185.329007</v>
      </c>
      <c r="L84" s="602">
        <v>97955.54</v>
      </c>
      <c r="M84" s="498">
        <v>0.77571953115185299</v>
      </c>
      <c r="N84" s="602">
        <v>3.0811499460827898</v>
      </c>
      <c r="O84" s="602">
        <v>2.3054304149309699</v>
      </c>
      <c r="P84" s="498">
        <v>389078.39066700003</v>
      </c>
      <c r="Q84" s="602">
        <v>291122.85066699999</v>
      </c>
      <c r="R84" s="602">
        <v>-0.21292351818739</v>
      </c>
      <c r="S84" s="602">
        <v>-26887.344413999999</v>
      </c>
      <c r="T84" s="602">
        <v>0</v>
      </c>
      <c r="U84" s="602">
        <v>0</v>
      </c>
      <c r="V84" s="602">
        <v>0</v>
      </c>
      <c r="W84" s="602">
        <v>0</v>
      </c>
      <c r="X84" s="602">
        <v>0</v>
      </c>
      <c r="Y84" s="602">
        <v>0</v>
      </c>
      <c r="Z84" s="602">
        <v>0</v>
      </c>
      <c r="AA84" s="602">
        <v>0</v>
      </c>
      <c r="AB84" s="602">
        <v>0</v>
      </c>
      <c r="AC84" s="602">
        <v>0</v>
      </c>
      <c r="AD84" s="602">
        <v>0</v>
      </c>
      <c r="AE84" s="602">
        <v>0</v>
      </c>
      <c r="AF84" s="602">
        <v>0</v>
      </c>
      <c r="AG84" s="602">
        <v>0</v>
      </c>
      <c r="AH84" s="602">
        <v>0</v>
      </c>
      <c r="AI84" s="602">
        <v>0</v>
      </c>
      <c r="AJ84" s="498">
        <v>0</v>
      </c>
      <c r="AK84" s="498">
        <v>0</v>
      </c>
      <c r="AL84" s="602">
        <v>2.86822643078587</v>
      </c>
      <c r="AM84" s="602">
        <v>2.0925068996340501</v>
      </c>
      <c r="AN84" s="498">
        <v>362191.04661800002</v>
      </c>
      <c r="AO84" s="603">
        <v>264235.50661799998</v>
      </c>
    </row>
    <row r="85" spans="1:41" ht="12" thickBot="1">
      <c r="A85" s="918"/>
      <c r="B85" s="918"/>
      <c r="C85" s="918"/>
      <c r="D85" s="918"/>
      <c r="E85" s="919"/>
      <c r="F85" s="600" t="s">
        <v>312</v>
      </c>
      <c r="G85" s="600" t="s">
        <v>312</v>
      </c>
      <c r="H85" s="601">
        <v>170213</v>
      </c>
      <c r="I85" s="602">
        <v>3078.33</v>
      </c>
      <c r="J85" s="602">
        <v>0.49692381908372402</v>
      </c>
      <c r="K85" s="602">
        <v>48395473.289174996</v>
      </c>
      <c r="L85" s="602">
        <v>165768.88</v>
      </c>
      <c r="M85" s="498">
        <v>1.03608163770879</v>
      </c>
      <c r="N85" s="602">
        <v>3.3579314709905499</v>
      </c>
      <c r="O85" s="602">
        <v>2.3218498332817301</v>
      </c>
      <c r="P85" s="498">
        <v>537255.48142500001</v>
      </c>
      <c r="Q85" s="602">
        <v>371486.601425</v>
      </c>
      <c r="R85" s="602">
        <v>-0.251927847262372</v>
      </c>
      <c r="S85" s="602">
        <v>-40307.438682</v>
      </c>
      <c r="T85" s="602">
        <v>0</v>
      </c>
      <c r="U85" s="602">
        <v>0</v>
      </c>
      <c r="V85" s="602">
        <v>0</v>
      </c>
      <c r="W85" s="602">
        <v>0</v>
      </c>
      <c r="X85" s="602">
        <v>0</v>
      </c>
      <c r="Y85" s="602">
        <v>0</v>
      </c>
      <c r="Z85" s="602">
        <v>0</v>
      </c>
      <c r="AA85" s="602">
        <v>0</v>
      </c>
      <c r="AB85" s="602">
        <v>0</v>
      </c>
      <c r="AC85" s="602">
        <v>0</v>
      </c>
      <c r="AD85" s="602">
        <v>0</v>
      </c>
      <c r="AE85" s="602">
        <v>0</v>
      </c>
      <c r="AF85" s="602">
        <v>0</v>
      </c>
      <c r="AG85" s="602">
        <v>0</v>
      </c>
      <c r="AH85" s="602">
        <v>0</v>
      </c>
      <c r="AI85" s="602">
        <v>0</v>
      </c>
      <c r="AJ85" s="498">
        <v>0</v>
      </c>
      <c r="AK85" s="498">
        <v>0</v>
      </c>
      <c r="AL85" s="602">
        <v>3.10600362240314</v>
      </c>
      <c r="AM85" s="602">
        <v>2.0699219846943202</v>
      </c>
      <c r="AN85" s="498">
        <v>496948.04253099998</v>
      </c>
      <c r="AO85" s="603">
        <v>331179.16253099998</v>
      </c>
    </row>
    <row r="86" spans="1:41" ht="12" thickBot="1">
      <c r="A86" s="918"/>
      <c r="B86" s="918"/>
      <c r="C86" s="918"/>
      <c r="D86" s="918"/>
      <c r="E86" s="917" t="s">
        <v>319</v>
      </c>
      <c r="F86" s="917" t="s">
        <v>294</v>
      </c>
      <c r="G86" s="600" t="s">
        <v>295</v>
      </c>
      <c r="H86" s="601">
        <v>170216</v>
      </c>
      <c r="I86" s="602">
        <v>60749398.210000001</v>
      </c>
      <c r="J86" s="602">
        <v>1.2999999937447899</v>
      </c>
      <c r="K86" s="602">
        <v>43196425.424133003</v>
      </c>
      <c r="L86" s="602">
        <v>193079.79</v>
      </c>
      <c r="M86" s="498">
        <v>1.3520250032196399</v>
      </c>
      <c r="N86" s="602">
        <v>3.5033381887193902</v>
      </c>
      <c r="O86" s="602">
        <v>2.1513131854997298</v>
      </c>
      <c r="P86" s="498">
        <v>500304.21047400002</v>
      </c>
      <c r="Q86" s="602">
        <v>307224.42047399998</v>
      </c>
      <c r="R86" s="602">
        <v>-0.27343909675428102</v>
      </c>
      <c r="S86" s="602">
        <v>-39049.250756000001</v>
      </c>
      <c r="T86" s="602">
        <v>0</v>
      </c>
      <c r="U86" s="602">
        <v>0</v>
      </c>
      <c r="V86" s="602">
        <v>0</v>
      </c>
      <c r="W86" s="602">
        <v>0</v>
      </c>
      <c r="X86" s="602">
        <v>0</v>
      </c>
      <c r="Y86" s="602">
        <v>0</v>
      </c>
      <c r="Z86" s="602">
        <v>0</v>
      </c>
      <c r="AA86" s="602">
        <v>0</v>
      </c>
      <c r="AB86" s="602">
        <v>0</v>
      </c>
      <c r="AC86" s="602">
        <v>0</v>
      </c>
      <c r="AD86" s="602">
        <v>0</v>
      </c>
      <c r="AE86" s="602">
        <v>0</v>
      </c>
      <c r="AF86" s="602">
        <v>0</v>
      </c>
      <c r="AG86" s="602">
        <v>0</v>
      </c>
      <c r="AH86" s="602">
        <v>0</v>
      </c>
      <c r="AI86" s="602">
        <v>0</v>
      </c>
      <c r="AJ86" s="498">
        <v>0</v>
      </c>
      <c r="AK86" s="498">
        <v>0</v>
      </c>
      <c r="AL86" s="602">
        <v>3.2298990925183002</v>
      </c>
      <c r="AM86" s="602">
        <v>1.8778740892986401</v>
      </c>
      <c r="AN86" s="498">
        <v>461254.95979699999</v>
      </c>
      <c r="AO86" s="603">
        <v>268175.16979700001</v>
      </c>
    </row>
    <row r="87" spans="1:41" ht="12" thickBot="1">
      <c r="A87" s="918"/>
      <c r="B87" s="918"/>
      <c r="C87" s="918"/>
      <c r="D87" s="918"/>
      <c r="E87" s="918"/>
      <c r="F87" s="918"/>
      <c r="G87" s="600" t="s">
        <v>296</v>
      </c>
      <c r="H87" s="601">
        <v>170217</v>
      </c>
      <c r="I87" s="602">
        <v>0</v>
      </c>
      <c r="J87" s="602">
        <v>0</v>
      </c>
      <c r="K87" s="602">
        <v>0</v>
      </c>
      <c r="L87" s="602">
        <v>0</v>
      </c>
      <c r="M87" s="498">
        <v>0</v>
      </c>
      <c r="N87" s="602">
        <v>0</v>
      </c>
      <c r="O87" s="602">
        <v>0</v>
      </c>
      <c r="P87" s="498">
        <v>0</v>
      </c>
      <c r="Q87" s="602">
        <v>0</v>
      </c>
      <c r="R87" s="602">
        <v>0</v>
      </c>
      <c r="S87" s="602">
        <v>0</v>
      </c>
      <c r="T87" s="602">
        <v>0</v>
      </c>
      <c r="U87" s="602">
        <v>0</v>
      </c>
      <c r="V87" s="602">
        <v>0</v>
      </c>
      <c r="W87" s="602">
        <v>0</v>
      </c>
      <c r="X87" s="602">
        <v>0</v>
      </c>
      <c r="Y87" s="602">
        <v>0</v>
      </c>
      <c r="Z87" s="602">
        <v>0</v>
      </c>
      <c r="AA87" s="602">
        <v>0</v>
      </c>
      <c r="AB87" s="602">
        <v>0</v>
      </c>
      <c r="AC87" s="602">
        <v>0</v>
      </c>
      <c r="AD87" s="602">
        <v>0</v>
      </c>
      <c r="AE87" s="602">
        <v>0</v>
      </c>
      <c r="AF87" s="602">
        <v>0</v>
      </c>
      <c r="AG87" s="602">
        <v>0</v>
      </c>
      <c r="AH87" s="602">
        <v>0</v>
      </c>
      <c r="AI87" s="602">
        <v>0</v>
      </c>
      <c r="AJ87" s="498">
        <v>0</v>
      </c>
      <c r="AK87" s="498">
        <v>0</v>
      </c>
      <c r="AL87" s="602">
        <v>0</v>
      </c>
      <c r="AM87" s="602">
        <v>0</v>
      </c>
      <c r="AN87" s="498">
        <v>0</v>
      </c>
      <c r="AO87" s="603">
        <v>0</v>
      </c>
    </row>
    <row r="88" spans="1:41" ht="12" thickBot="1">
      <c r="A88" s="918"/>
      <c r="B88" s="918"/>
      <c r="C88" s="918"/>
      <c r="D88" s="918"/>
      <c r="E88" s="918"/>
      <c r="F88" s="918"/>
      <c r="G88" s="600" t="s">
        <v>297</v>
      </c>
      <c r="H88" s="601">
        <v>170218</v>
      </c>
      <c r="I88" s="602">
        <v>0</v>
      </c>
      <c r="J88" s="602">
        <v>0</v>
      </c>
      <c r="K88" s="602">
        <v>0</v>
      </c>
      <c r="L88" s="602">
        <v>0</v>
      </c>
      <c r="M88" s="498">
        <v>0</v>
      </c>
      <c r="N88" s="602">
        <v>0</v>
      </c>
      <c r="O88" s="602">
        <v>0</v>
      </c>
      <c r="P88" s="498">
        <v>0</v>
      </c>
      <c r="Q88" s="602">
        <v>0</v>
      </c>
      <c r="R88" s="602">
        <v>0</v>
      </c>
      <c r="S88" s="602">
        <v>0</v>
      </c>
      <c r="T88" s="602">
        <v>0</v>
      </c>
      <c r="U88" s="602">
        <v>0</v>
      </c>
      <c r="V88" s="602">
        <v>0</v>
      </c>
      <c r="W88" s="602">
        <v>0</v>
      </c>
      <c r="X88" s="602">
        <v>0</v>
      </c>
      <c r="Y88" s="602">
        <v>0</v>
      </c>
      <c r="Z88" s="602">
        <v>0</v>
      </c>
      <c r="AA88" s="602">
        <v>0</v>
      </c>
      <c r="AB88" s="602">
        <v>0</v>
      </c>
      <c r="AC88" s="602">
        <v>0</v>
      </c>
      <c r="AD88" s="602">
        <v>0</v>
      </c>
      <c r="AE88" s="602">
        <v>0</v>
      </c>
      <c r="AF88" s="602">
        <v>0</v>
      </c>
      <c r="AG88" s="602">
        <v>0</v>
      </c>
      <c r="AH88" s="602">
        <v>0</v>
      </c>
      <c r="AI88" s="602">
        <v>0</v>
      </c>
      <c r="AJ88" s="498">
        <v>0</v>
      </c>
      <c r="AK88" s="498">
        <v>0</v>
      </c>
      <c r="AL88" s="602">
        <v>0</v>
      </c>
      <c r="AM88" s="602">
        <v>0</v>
      </c>
      <c r="AN88" s="498">
        <v>0</v>
      </c>
      <c r="AO88" s="603">
        <v>0</v>
      </c>
    </row>
    <row r="89" spans="1:41" ht="12" thickBot="1">
      <c r="A89" s="918"/>
      <c r="B89" s="918"/>
      <c r="C89" s="918"/>
      <c r="D89" s="918"/>
      <c r="E89" s="918"/>
      <c r="F89" s="918"/>
      <c r="G89" s="600" t="s">
        <v>298</v>
      </c>
      <c r="H89" s="601">
        <v>170219</v>
      </c>
      <c r="I89" s="602">
        <v>188682095.78999999</v>
      </c>
      <c r="J89" s="602">
        <v>1.30868654897879</v>
      </c>
      <c r="K89" s="602">
        <v>185064555.60619801</v>
      </c>
      <c r="L89" s="602">
        <v>835273.86</v>
      </c>
      <c r="M89" s="498">
        <v>1.3652159599012801</v>
      </c>
      <c r="N89" s="602">
        <v>3.5027881993549301</v>
      </c>
      <c r="O89" s="602">
        <v>2.1375722394536498</v>
      </c>
      <c r="P89" s="498">
        <v>2143094.9431980001</v>
      </c>
      <c r="Q89" s="602">
        <v>1307821.083198</v>
      </c>
      <c r="R89" s="602">
        <v>-0.27347067917913398</v>
      </c>
      <c r="S89" s="602">
        <v>-167316.31954500001</v>
      </c>
      <c r="T89" s="602">
        <v>0</v>
      </c>
      <c r="U89" s="602">
        <v>0</v>
      </c>
      <c r="V89" s="602">
        <v>0</v>
      </c>
      <c r="W89" s="602">
        <v>0</v>
      </c>
      <c r="X89" s="602">
        <v>0</v>
      </c>
      <c r="Y89" s="602">
        <v>0</v>
      </c>
      <c r="Z89" s="602">
        <v>0</v>
      </c>
      <c r="AA89" s="602">
        <v>0</v>
      </c>
      <c r="AB89" s="602">
        <v>0</v>
      </c>
      <c r="AC89" s="602">
        <v>0</v>
      </c>
      <c r="AD89" s="602">
        <v>0</v>
      </c>
      <c r="AE89" s="602">
        <v>0</v>
      </c>
      <c r="AF89" s="602">
        <v>0</v>
      </c>
      <c r="AG89" s="602">
        <v>0</v>
      </c>
      <c r="AH89" s="602">
        <v>0</v>
      </c>
      <c r="AI89" s="602">
        <v>0</v>
      </c>
      <c r="AJ89" s="498">
        <v>0</v>
      </c>
      <c r="AK89" s="498">
        <v>0</v>
      </c>
      <c r="AL89" s="602">
        <v>3.22931752044548</v>
      </c>
      <c r="AM89" s="602">
        <v>1.8641015605442</v>
      </c>
      <c r="AN89" s="498">
        <v>1975778.6238180001</v>
      </c>
      <c r="AO89" s="603">
        <v>1140504.763818</v>
      </c>
    </row>
    <row r="90" spans="1:41" ht="12" thickBot="1">
      <c r="A90" s="918"/>
      <c r="B90" s="918"/>
      <c r="C90" s="918"/>
      <c r="D90" s="918"/>
      <c r="E90" s="918"/>
      <c r="F90" s="919"/>
      <c r="G90" s="600" t="s">
        <v>299</v>
      </c>
      <c r="H90" s="601">
        <v>170221</v>
      </c>
      <c r="I90" s="602">
        <v>1177215499.29</v>
      </c>
      <c r="J90" s="602">
        <v>1.31445215415509</v>
      </c>
      <c r="K90" s="602">
        <v>1555103127.1006601</v>
      </c>
      <c r="L90" s="602">
        <v>8129456.8099999996</v>
      </c>
      <c r="M90" s="498">
        <v>1.5812409339217699</v>
      </c>
      <c r="N90" s="602">
        <v>3.5367013197275998</v>
      </c>
      <c r="O90" s="602">
        <v>1.9554603858058199</v>
      </c>
      <c r="P90" s="498">
        <v>18182846.150641002</v>
      </c>
      <c r="Q90" s="602">
        <v>10053389.340640999</v>
      </c>
      <c r="R90" s="602">
        <v>-0.27883660421326401</v>
      </c>
      <c r="S90" s="602">
        <v>-1433551.3850990001</v>
      </c>
      <c r="T90" s="602">
        <v>0</v>
      </c>
      <c r="U90" s="602">
        <v>0</v>
      </c>
      <c r="V90" s="602">
        <v>0</v>
      </c>
      <c r="W90" s="602">
        <v>0</v>
      </c>
      <c r="X90" s="602">
        <v>0</v>
      </c>
      <c r="Y90" s="602">
        <v>0</v>
      </c>
      <c r="Z90" s="602">
        <v>0</v>
      </c>
      <c r="AA90" s="602">
        <v>0</v>
      </c>
      <c r="AB90" s="602">
        <v>0</v>
      </c>
      <c r="AC90" s="602">
        <v>0</v>
      </c>
      <c r="AD90" s="602">
        <v>0</v>
      </c>
      <c r="AE90" s="602">
        <v>0</v>
      </c>
      <c r="AF90" s="602">
        <v>0</v>
      </c>
      <c r="AG90" s="602">
        <v>0</v>
      </c>
      <c r="AH90" s="602">
        <v>0</v>
      </c>
      <c r="AI90" s="602">
        <v>0</v>
      </c>
      <c r="AJ90" s="498">
        <v>0</v>
      </c>
      <c r="AK90" s="498">
        <v>0</v>
      </c>
      <c r="AL90" s="602">
        <v>3.2578647152910398</v>
      </c>
      <c r="AM90" s="602">
        <v>1.6766237813692699</v>
      </c>
      <c r="AN90" s="498">
        <v>16749294.764394</v>
      </c>
      <c r="AO90" s="603">
        <v>8619837.9543939997</v>
      </c>
    </row>
    <row r="91" spans="1:41" ht="12" thickBot="1">
      <c r="A91" s="918"/>
      <c r="B91" s="918"/>
      <c r="C91" s="918"/>
      <c r="D91" s="918"/>
      <c r="E91" s="918"/>
      <c r="F91" s="600" t="s">
        <v>300</v>
      </c>
      <c r="G91" s="600" t="s">
        <v>302</v>
      </c>
      <c r="H91" s="601">
        <v>170228</v>
      </c>
      <c r="I91" s="602">
        <v>0</v>
      </c>
      <c r="J91" s="602">
        <v>0</v>
      </c>
      <c r="K91" s="602">
        <v>0</v>
      </c>
      <c r="L91" s="602">
        <v>0</v>
      </c>
      <c r="M91" s="498">
        <v>0</v>
      </c>
      <c r="N91" s="602">
        <v>0</v>
      </c>
      <c r="O91" s="602">
        <v>0</v>
      </c>
      <c r="P91" s="498">
        <v>0</v>
      </c>
      <c r="Q91" s="602">
        <v>0</v>
      </c>
      <c r="R91" s="602">
        <v>0</v>
      </c>
      <c r="S91" s="602">
        <v>0</v>
      </c>
      <c r="T91" s="602">
        <v>0</v>
      </c>
      <c r="U91" s="602">
        <v>0</v>
      </c>
      <c r="V91" s="602">
        <v>0</v>
      </c>
      <c r="W91" s="602">
        <v>0</v>
      </c>
      <c r="X91" s="602">
        <v>0</v>
      </c>
      <c r="Y91" s="602">
        <v>0</v>
      </c>
      <c r="Z91" s="602">
        <v>0</v>
      </c>
      <c r="AA91" s="602">
        <v>0</v>
      </c>
      <c r="AB91" s="602">
        <v>0</v>
      </c>
      <c r="AC91" s="602">
        <v>0</v>
      </c>
      <c r="AD91" s="602">
        <v>0</v>
      </c>
      <c r="AE91" s="602">
        <v>0</v>
      </c>
      <c r="AF91" s="602">
        <v>0</v>
      </c>
      <c r="AG91" s="602">
        <v>0</v>
      </c>
      <c r="AH91" s="602">
        <v>0</v>
      </c>
      <c r="AI91" s="602">
        <v>0</v>
      </c>
      <c r="AJ91" s="498">
        <v>0</v>
      </c>
      <c r="AK91" s="498">
        <v>0</v>
      </c>
      <c r="AL91" s="602">
        <v>0</v>
      </c>
      <c r="AM91" s="602">
        <v>0</v>
      </c>
      <c r="AN91" s="498">
        <v>0</v>
      </c>
      <c r="AO91" s="603">
        <v>0</v>
      </c>
    </row>
    <row r="92" spans="1:41" ht="12" thickBot="1">
      <c r="A92" s="918"/>
      <c r="B92" s="918"/>
      <c r="C92" s="918"/>
      <c r="D92" s="918"/>
      <c r="E92" s="918"/>
      <c r="F92" s="917" t="s">
        <v>303</v>
      </c>
      <c r="G92" s="600" t="s">
        <v>2642</v>
      </c>
      <c r="H92" s="601">
        <v>170230</v>
      </c>
      <c r="I92" s="602">
        <v>170000</v>
      </c>
      <c r="J92" s="602">
        <v>0.35</v>
      </c>
      <c r="K92" s="602">
        <v>170000</v>
      </c>
      <c r="L92" s="602">
        <v>171.42</v>
      </c>
      <c r="M92" s="498">
        <v>0.30500593096742801</v>
      </c>
      <c r="N92" s="602">
        <v>1.8586927434808</v>
      </c>
      <c r="O92" s="602">
        <v>1.55368681251337</v>
      </c>
      <c r="P92" s="498">
        <v>1044.625949</v>
      </c>
      <c r="Q92" s="602">
        <v>873.20594900000003</v>
      </c>
      <c r="R92" s="602">
        <v>-3.9455999241613998E-2</v>
      </c>
      <c r="S92" s="602">
        <v>-22.175134</v>
      </c>
      <c r="T92" s="602">
        <v>0</v>
      </c>
      <c r="U92" s="602">
        <v>0</v>
      </c>
      <c r="V92" s="602">
        <v>0</v>
      </c>
      <c r="W92" s="602">
        <v>0</v>
      </c>
      <c r="X92" s="602">
        <v>0</v>
      </c>
      <c r="Y92" s="602">
        <v>0</v>
      </c>
      <c r="Z92" s="602">
        <v>0</v>
      </c>
      <c r="AA92" s="602">
        <v>0</v>
      </c>
      <c r="AB92" s="602">
        <v>0</v>
      </c>
      <c r="AC92" s="602">
        <v>0</v>
      </c>
      <c r="AD92" s="602">
        <v>0</v>
      </c>
      <c r="AE92" s="602">
        <v>0</v>
      </c>
      <c r="AF92" s="602">
        <v>0</v>
      </c>
      <c r="AG92" s="602">
        <v>0</v>
      </c>
      <c r="AH92" s="602">
        <v>0</v>
      </c>
      <c r="AI92" s="602">
        <v>0</v>
      </c>
      <c r="AJ92" s="498">
        <v>0</v>
      </c>
      <c r="AK92" s="498">
        <v>0</v>
      </c>
      <c r="AL92" s="602">
        <v>1.8192368972581401</v>
      </c>
      <c r="AM92" s="602">
        <v>1.5142309662907101</v>
      </c>
      <c r="AN92" s="498">
        <v>1022.450901</v>
      </c>
      <c r="AO92" s="603">
        <v>851.03090099999997</v>
      </c>
    </row>
    <row r="93" spans="1:41" ht="12" thickBot="1">
      <c r="A93" s="918"/>
      <c r="B93" s="918"/>
      <c r="C93" s="918"/>
      <c r="D93" s="918"/>
      <c r="E93" s="918"/>
      <c r="F93" s="918"/>
      <c r="G93" s="600" t="s">
        <v>2641</v>
      </c>
      <c r="H93" s="601">
        <v>170231</v>
      </c>
      <c r="I93" s="602">
        <v>5310000</v>
      </c>
      <c r="J93" s="602">
        <v>1.3</v>
      </c>
      <c r="K93" s="602">
        <v>1823388.4297519999</v>
      </c>
      <c r="L93" s="602">
        <v>7775.45</v>
      </c>
      <c r="M93" s="498">
        <v>1.2898584508000299</v>
      </c>
      <c r="N93" s="602">
        <v>3.4133368687848402</v>
      </c>
      <c r="O93" s="602">
        <v>2.12347841798486</v>
      </c>
      <c r="P93" s="498">
        <v>20576.079600000001</v>
      </c>
      <c r="Q93" s="602">
        <v>12800.6296</v>
      </c>
      <c r="R93" s="602">
        <v>-0.26028115148710501</v>
      </c>
      <c r="S93" s="602">
        <v>-1569.011761</v>
      </c>
      <c r="T93" s="602">
        <v>0</v>
      </c>
      <c r="U93" s="602">
        <v>0</v>
      </c>
      <c r="V93" s="602">
        <v>0</v>
      </c>
      <c r="W93" s="602">
        <v>0</v>
      </c>
      <c r="X93" s="602">
        <v>0</v>
      </c>
      <c r="Y93" s="602">
        <v>0</v>
      </c>
      <c r="Z93" s="602">
        <v>0</v>
      </c>
      <c r="AA93" s="602">
        <v>0</v>
      </c>
      <c r="AB93" s="602">
        <v>0</v>
      </c>
      <c r="AC93" s="602">
        <v>0</v>
      </c>
      <c r="AD93" s="602">
        <v>0</v>
      </c>
      <c r="AE93" s="602">
        <v>0</v>
      </c>
      <c r="AF93" s="602">
        <v>0</v>
      </c>
      <c r="AG93" s="602">
        <v>0</v>
      </c>
      <c r="AH93" s="602">
        <v>0</v>
      </c>
      <c r="AI93" s="602">
        <v>0</v>
      </c>
      <c r="AJ93" s="498">
        <v>0</v>
      </c>
      <c r="AK93" s="498">
        <v>0</v>
      </c>
      <c r="AL93" s="602">
        <v>3.1530557121551901</v>
      </c>
      <c r="AM93" s="602">
        <v>1.8631972613552099</v>
      </c>
      <c r="AN93" s="498">
        <v>19007.067808</v>
      </c>
      <c r="AO93" s="603">
        <v>11231.617808000001</v>
      </c>
    </row>
    <row r="94" spans="1:41" ht="12" thickBot="1">
      <c r="A94" s="918"/>
      <c r="B94" s="918"/>
      <c r="C94" s="918"/>
      <c r="D94" s="918"/>
      <c r="E94" s="918"/>
      <c r="F94" s="919"/>
      <c r="G94" s="600" t="s">
        <v>305</v>
      </c>
      <c r="H94" s="601">
        <v>170235</v>
      </c>
      <c r="I94" s="602">
        <v>15712222.949999999</v>
      </c>
      <c r="J94" s="602">
        <v>1.2424369187683899</v>
      </c>
      <c r="K94" s="602">
        <v>3466257.996694</v>
      </c>
      <c r="L94" s="602">
        <v>11837.7</v>
      </c>
      <c r="M94" s="498">
        <v>1.0330043732568699</v>
      </c>
      <c r="N94" s="602">
        <v>2.95289500328313</v>
      </c>
      <c r="O94" s="602">
        <v>1.9198906300263701</v>
      </c>
      <c r="P94" s="498">
        <v>33838.661370000002</v>
      </c>
      <c r="Q94" s="602">
        <v>22000.961370000001</v>
      </c>
      <c r="R94" s="602">
        <v>-0.19463645397898599</v>
      </c>
      <c r="S94" s="602">
        <v>-2230.4338790000002</v>
      </c>
      <c r="T94" s="602">
        <v>0</v>
      </c>
      <c r="U94" s="602">
        <v>0</v>
      </c>
      <c r="V94" s="602">
        <v>0</v>
      </c>
      <c r="W94" s="602">
        <v>0</v>
      </c>
      <c r="X94" s="602">
        <v>0</v>
      </c>
      <c r="Y94" s="602">
        <v>0</v>
      </c>
      <c r="Z94" s="602">
        <v>0</v>
      </c>
      <c r="AA94" s="602">
        <v>0</v>
      </c>
      <c r="AB94" s="602">
        <v>0</v>
      </c>
      <c r="AC94" s="602">
        <v>0</v>
      </c>
      <c r="AD94" s="602">
        <v>0</v>
      </c>
      <c r="AE94" s="602">
        <v>0</v>
      </c>
      <c r="AF94" s="602">
        <v>0</v>
      </c>
      <c r="AG94" s="602">
        <v>0</v>
      </c>
      <c r="AH94" s="602">
        <v>0</v>
      </c>
      <c r="AI94" s="602">
        <v>0</v>
      </c>
      <c r="AJ94" s="498">
        <v>0</v>
      </c>
      <c r="AK94" s="498">
        <v>0</v>
      </c>
      <c r="AL94" s="602">
        <v>2.7582585511366902</v>
      </c>
      <c r="AM94" s="602">
        <v>1.72525417787992</v>
      </c>
      <c r="AN94" s="498">
        <v>31608.227512000001</v>
      </c>
      <c r="AO94" s="603">
        <v>19770.527512000001</v>
      </c>
    </row>
    <row r="95" spans="1:41" ht="12" thickBot="1">
      <c r="A95" s="918"/>
      <c r="B95" s="918"/>
      <c r="C95" s="918"/>
      <c r="D95" s="918"/>
      <c r="E95" s="918"/>
      <c r="F95" s="600" t="s">
        <v>318</v>
      </c>
      <c r="G95" s="600" t="s">
        <v>307</v>
      </c>
      <c r="H95" s="601">
        <v>170237</v>
      </c>
      <c r="I95" s="602">
        <v>9668457</v>
      </c>
      <c r="J95" s="602">
        <v>1.3</v>
      </c>
      <c r="K95" s="602">
        <v>10290075.198348001</v>
      </c>
      <c r="L95" s="602">
        <v>35472.199999999997</v>
      </c>
      <c r="M95" s="498">
        <v>1.04271420728085</v>
      </c>
      <c r="N95" s="602">
        <v>3.0361518777319598</v>
      </c>
      <c r="O95" s="602">
        <v>1.9934376704510699</v>
      </c>
      <c r="P95" s="498">
        <v>103287.15757900001</v>
      </c>
      <c r="Q95" s="602">
        <v>67814.957578999994</v>
      </c>
      <c r="R95" s="602">
        <v>-0.20627784268823701</v>
      </c>
      <c r="S95" s="602">
        <v>-7017.386778</v>
      </c>
      <c r="T95" s="602">
        <v>0</v>
      </c>
      <c r="U95" s="602">
        <v>0</v>
      </c>
      <c r="V95" s="602">
        <v>0</v>
      </c>
      <c r="W95" s="602">
        <v>0</v>
      </c>
      <c r="X95" s="602">
        <v>0</v>
      </c>
      <c r="Y95" s="602">
        <v>0</v>
      </c>
      <c r="Z95" s="602">
        <v>0</v>
      </c>
      <c r="AA95" s="602">
        <v>0</v>
      </c>
      <c r="AB95" s="602">
        <v>0</v>
      </c>
      <c r="AC95" s="602">
        <v>0</v>
      </c>
      <c r="AD95" s="602">
        <v>0</v>
      </c>
      <c r="AE95" s="602">
        <v>0</v>
      </c>
      <c r="AF95" s="602">
        <v>0</v>
      </c>
      <c r="AG95" s="602">
        <v>0</v>
      </c>
      <c r="AH95" s="602">
        <v>0</v>
      </c>
      <c r="AI95" s="602">
        <v>0</v>
      </c>
      <c r="AJ95" s="498">
        <v>0</v>
      </c>
      <c r="AK95" s="498">
        <v>0</v>
      </c>
      <c r="AL95" s="602">
        <v>2.8298740362489299</v>
      </c>
      <c r="AM95" s="602">
        <v>1.7871598289680399</v>
      </c>
      <c r="AN95" s="498">
        <v>96269.770841999998</v>
      </c>
      <c r="AO95" s="603">
        <v>60797.570842000001</v>
      </c>
    </row>
    <row r="96" spans="1:41" ht="12" thickBot="1">
      <c r="A96" s="918"/>
      <c r="B96" s="918"/>
      <c r="C96" s="918"/>
      <c r="D96" s="918"/>
      <c r="E96" s="918"/>
      <c r="F96" s="600" t="s">
        <v>308</v>
      </c>
      <c r="G96" s="600" t="s">
        <v>308</v>
      </c>
      <c r="H96" s="601">
        <v>170240</v>
      </c>
      <c r="I96" s="602">
        <v>482668016.45999998</v>
      </c>
      <c r="J96" s="602">
        <v>1.4326402596044101</v>
      </c>
      <c r="K96" s="602">
        <v>684380959.00644505</v>
      </c>
      <c r="L96" s="602">
        <v>3343928.39</v>
      </c>
      <c r="M96" s="498">
        <v>1.4779330652534</v>
      </c>
      <c r="N96" s="602">
        <v>3.5007297034147502</v>
      </c>
      <c r="O96" s="602">
        <v>2.0227966381613598</v>
      </c>
      <c r="P96" s="498">
        <v>7920649.2609040001</v>
      </c>
      <c r="Q96" s="602">
        <v>4576720.8709039995</v>
      </c>
      <c r="R96" s="602">
        <v>-0.27341034840914502</v>
      </c>
      <c r="S96" s="602">
        <v>-618610.30628500006</v>
      </c>
      <c r="T96" s="602">
        <v>0</v>
      </c>
      <c r="U96" s="602">
        <v>0</v>
      </c>
      <c r="V96" s="602">
        <v>0</v>
      </c>
      <c r="W96" s="602">
        <v>0</v>
      </c>
      <c r="X96" s="602">
        <v>0</v>
      </c>
      <c r="Y96" s="602">
        <v>0</v>
      </c>
      <c r="Z96" s="602">
        <v>0</v>
      </c>
      <c r="AA96" s="602">
        <v>0</v>
      </c>
      <c r="AB96" s="602">
        <v>0</v>
      </c>
      <c r="AC96" s="602">
        <v>0</v>
      </c>
      <c r="AD96" s="602">
        <v>0</v>
      </c>
      <c r="AE96" s="602">
        <v>0</v>
      </c>
      <c r="AF96" s="602">
        <v>0</v>
      </c>
      <c r="AG96" s="602">
        <v>0</v>
      </c>
      <c r="AH96" s="602">
        <v>0</v>
      </c>
      <c r="AI96" s="602">
        <v>0</v>
      </c>
      <c r="AJ96" s="498">
        <v>0</v>
      </c>
      <c r="AK96" s="498">
        <v>0</v>
      </c>
      <c r="AL96" s="602">
        <v>3.22731935479037</v>
      </c>
      <c r="AM96" s="602">
        <v>1.7493862895369701</v>
      </c>
      <c r="AN96" s="498">
        <v>7302038.954132</v>
      </c>
      <c r="AO96" s="603">
        <v>3958110.5641319999</v>
      </c>
    </row>
    <row r="97" spans="1:41" ht="12" thickBot="1">
      <c r="A97" s="918"/>
      <c r="B97" s="918"/>
      <c r="C97" s="918"/>
      <c r="D97" s="918"/>
      <c r="E97" s="919"/>
      <c r="F97" s="600" t="s">
        <v>312</v>
      </c>
      <c r="G97" s="600" t="s">
        <v>312</v>
      </c>
      <c r="H97" s="601">
        <v>170244</v>
      </c>
      <c r="I97" s="602">
        <v>22999118.399999999</v>
      </c>
      <c r="J97" s="602">
        <v>1.29937552041125</v>
      </c>
      <c r="K97" s="602">
        <v>68508686.230910003</v>
      </c>
      <c r="L97" s="602">
        <v>381692.68</v>
      </c>
      <c r="M97" s="498">
        <v>1.6852483362250199</v>
      </c>
      <c r="N97" s="602">
        <v>3.5854921427284401</v>
      </c>
      <c r="O97" s="602">
        <v>1.9002438065034</v>
      </c>
      <c r="P97" s="498">
        <v>812079.784124</v>
      </c>
      <c r="Q97" s="602">
        <v>430387.104124</v>
      </c>
      <c r="R97" s="602">
        <v>-0.28603783507283698</v>
      </c>
      <c r="S97" s="602">
        <v>-64784.842389999998</v>
      </c>
      <c r="T97" s="602">
        <v>0</v>
      </c>
      <c r="U97" s="602">
        <v>0</v>
      </c>
      <c r="V97" s="602">
        <v>0</v>
      </c>
      <c r="W97" s="602">
        <v>0</v>
      </c>
      <c r="X97" s="602">
        <v>0</v>
      </c>
      <c r="Y97" s="602">
        <v>0</v>
      </c>
      <c r="Z97" s="602">
        <v>0</v>
      </c>
      <c r="AA97" s="602">
        <v>0</v>
      </c>
      <c r="AB97" s="602">
        <v>0</v>
      </c>
      <c r="AC97" s="602">
        <v>0</v>
      </c>
      <c r="AD97" s="602">
        <v>0</v>
      </c>
      <c r="AE97" s="602">
        <v>0</v>
      </c>
      <c r="AF97" s="602">
        <v>0</v>
      </c>
      <c r="AG97" s="602">
        <v>0</v>
      </c>
      <c r="AH97" s="602">
        <v>0</v>
      </c>
      <c r="AI97" s="602">
        <v>0</v>
      </c>
      <c r="AJ97" s="498">
        <v>0</v>
      </c>
      <c r="AK97" s="498">
        <v>0</v>
      </c>
      <c r="AL97" s="602">
        <v>3.2994543081147798</v>
      </c>
      <c r="AM97" s="602">
        <v>1.6142059718897399</v>
      </c>
      <c r="AN97" s="498">
        <v>747294.94183799997</v>
      </c>
      <c r="AO97" s="603">
        <v>365602.26183799998</v>
      </c>
    </row>
    <row r="98" spans="1:41" ht="12" thickBot="1">
      <c r="A98" s="918"/>
      <c r="B98" s="918"/>
      <c r="C98" s="918"/>
      <c r="D98" s="918"/>
      <c r="E98" s="917" t="s">
        <v>321</v>
      </c>
      <c r="F98" s="917" t="s">
        <v>294</v>
      </c>
      <c r="G98" s="600" t="s">
        <v>295</v>
      </c>
      <c r="H98" s="601">
        <v>170247</v>
      </c>
      <c r="I98" s="602">
        <v>66965000</v>
      </c>
      <c r="J98" s="602">
        <v>2.1055402075711198</v>
      </c>
      <c r="K98" s="602">
        <v>66856818.181818001</v>
      </c>
      <c r="L98" s="602">
        <v>466714.14</v>
      </c>
      <c r="M98" s="498">
        <v>2.1115480565041298</v>
      </c>
      <c r="N98" s="602">
        <v>3.83989700422581</v>
      </c>
      <c r="O98" s="602">
        <v>1.72834894772168</v>
      </c>
      <c r="P98" s="498">
        <v>848730.02179399994</v>
      </c>
      <c r="Q98" s="602">
        <v>382015.88179399999</v>
      </c>
      <c r="R98" s="602">
        <v>-0.32092269708063698</v>
      </c>
      <c r="S98" s="602">
        <v>-70933.342063000004</v>
      </c>
      <c r="T98" s="602">
        <v>0</v>
      </c>
      <c r="U98" s="602">
        <v>0</v>
      </c>
      <c r="V98" s="602">
        <v>0</v>
      </c>
      <c r="W98" s="602">
        <v>0</v>
      </c>
      <c r="X98" s="602">
        <v>0</v>
      </c>
      <c r="Y98" s="602">
        <v>0</v>
      </c>
      <c r="Z98" s="602">
        <v>0</v>
      </c>
      <c r="AA98" s="602">
        <v>0</v>
      </c>
      <c r="AB98" s="602">
        <v>0</v>
      </c>
      <c r="AC98" s="602">
        <v>0</v>
      </c>
      <c r="AD98" s="602">
        <v>0</v>
      </c>
      <c r="AE98" s="602">
        <v>0</v>
      </c>
      <c r="AF98" s="602">
        <v>0</v>
      </c>
      <c r="AG98" s="602">
        <v>0</v>
      </c>
      <c r="AH98" s="602">
        <v>0</v>
      </c>
      <c r="AI98" s="602">
        <v>0</v>
      </c>
      <c r="AJ98" s="498">
        <v>0</v>
      </c>
      <c r="AK98" s="498">
        <v>0</v>
      </c>
      <c r="AL98" s="602">
        <v>3.51897430749354</v>
      </c>
      <c r="AM98" s="602">
        <v>1.40742625098942</v>
      </c>
      <c r="AN98" s="498">
        <v>777796.67980799999</v>
      </c>
      <c r="AO98" s="603">
        <v>311082.53980799997</v>
      </c>
    </row>
    <row r="99" spans="1:41" ht="12" thickBot="1">
      <c r="A99" s="918"/>
      <c r="B99" s="918"/>
      <c r="C99" s="918"/>
      <c r="D99" s="918"/>
      <c r="E99" s="918"/>
      <c r="F99" s="918"/>
      <c r="G99" s="600" t="s">
        <v>296</v>
      </c>
      <c r="H99" s="601">
        <v>170248</v>
      </c>
      <c r="I99" s="602">
        <v>110000</v>
      </c>
      <c r="J99" s="602">
        <v>1.5</v>
      </c>
      <c r="K99" s="602">
        <v>1818.181818</v>
      </c>
      <c r="L99" s="602">
        <v>9.17</v>
      </c>
      <c r="M99" s="498">
        <v>1.5255545456071</v>
      </c>
      <c r="N99" s="602">
        <v>3.48716681454545</v>
      </c>
      <c r="O99" s="602">
        <v>1.9616122690909099</v>
      </c>
      <c r="P99" s="498">
        <v>20.961112</v>
      </c>
      <c r="Q99" s="602">
        <v>11.791112</v>
      </c>
      <c r="R99" s="602">
        <v>-0.26682431454545502</v>
      </c>
      <c r="S99" s="602">
        <v>-1.6038619999999999</v>
      </c>
      <c r="T99" s="602">
        <v>0</v>
      </c>
      <c r="U99" s="602">
        <v>0</v>
      </c>
      <c r="V99" s="602">
        <v>0</v>
      </c>
      <c r="W99" s="602">
        <v>0</v>
      </c>
      <c r="X99" s="602">
        <v>0</v>
      </c>
      <c r="Y99" s="602">
        <v>0</v>
      </c>
      <c r="Z99" s="602">
        <v>0</v>
      </c>
      <c r="AA99" s="602">
        <v>0</v>
      </c>
      <c r="AB99" s="602">
        <v>0</v>
      </c>
      <c r="AC99" s="602">
        <v>0</v>
      </c>
      <c r="AD99" s="602">
        <v>0</v>
      </c>
      <c r="AE99" s="602">
        <v>0</v>
      </c>
      <c r="AF99" s="602">
        <v>0</v>
      </c>
      <c r="AG99" s="602">
        <v>0</v>
      </c>
      <c r="AH99" s="602">
        <v>0</v>
      </c>
      <c r="AI99" s="602">
        <v>0</v>
      </c>
      <c r="AJ99" s="498">
        <v>0</v>
      </c>
      <c r="AK99" s="498">
        <v>0</v>
      </c>
      <c r="AL99" s="602">
        <v>3.2203425000000001</v>
      </c>
      <c r="AM99" s="602">
        <v>1.6947879545454501</v>
      </c>
      <c r="AN99" s="498">
        <v>19.357250000000001</v>
      </c>
      <c r="AO99" s="603">
        <v>10.187250000000001</v>
      </c>
    </row>
    <row r="100" spans="1:41" ht="12" thickBot="1">
      <c r="A100" s="918"/>
      <c r="B100" s="918"/>
      <c r="C100" s="918"/>
      <c r="D100" s="918"/>
      <c r="E100" s="918"/>
      <c r="F100" s="918"/>
      <c r="G100" s="600" t="s">
        <v>298</v>
      </c>
      <c r="H100" s="601">
        <v>170250</v>
      </c>
      <c r="I100" s="602">
        <v>46890000</v>
      </c>
      <c r="J100" s="602">
        <v>2.2749200255918098</v>
      </c>
      <c r="K100" s="602">
        <v>54070165.289255999</v>
      </c>
      <c r="L100" s="602">
        <v>451952.35</v>
      </c>
      <c r="M100" s="498">
        <v>2.5283120050623</v>
      </c>
      <c r="N100" s="602">
        <v>4.1533834868332704</v>
      </c>
      <c r="O100" s="602">
        <v>1.6250714817709799</v>
      </c>
      <c r="P100" s="498">
        <v>742444.53357299999</v>
      </c>
      <c r="Q100" s="602">
        <v>290492.18357300002</v>
      </c>
      <c r="R100" s="602">
        <v>-0.36727511120344097</v>
      </c>
      <c r="S100" s="602">
        <v>-65652.834489000001</v>
      </c>
      <c r="T100" s="602">
        <v>0</v>
      </c>
      <c r="U100" s="602">
        <v>0</v>
      </c>
      <c r="V100" s="602">
        <v>0</v>
      </c>
      <c r="W100" s="602">
        <v>0</v>
      </c>
      <c r="X100" s="602">
        <v>0</v>
      </c>
      <c r="Y100" s="602">
        <v>0</v>
      </c>
      <c r="Z100" s="602">
        <v>0</v>
      </c>
      <c r="AA100" s="602">
        <v>0</v>
      </c>
      <c r="AB100" s="602">
        <v>0</v>
      </c>
      <c r="AC100" s="602">
        <v>0</v>
      </c>
      <c r="AD100" s="602">
        <v>0</v>
      </c>
      <c r="AE100" s="602">
        <v>0</v>
      </c>
      <c r="AF100" s="602">
        <v>0</v>
      </c>
      <c r="AG100" s="602">
        <v>0</v>
      </c>
      <c r="AH100" s="602">
        <v>0</v>
      </c>
      <c r="AI100" s="602">
        <v>0</v>
      </c>
      <c r="AJ100" s="498">
        <v>0</v>
      </c>
      <c r="AK100" s="498">
        <v>0</v>
      </c>
      <c r="AL100" s="602">
        <v>3.7861083760382099</v>
      </c>
      <c r="AM100" s="602">
        <v>1.2577963709759099</v>
      </c>
      <c r="AN100" s="498">
        <v>676791.69915700005</v>
      </c>
      <c r="AO100" s="603">
        <v>224839.34915699999</v>
      </c>
    </row>
    <row r="101" spans="1:41" ht="12" thickBot="1">
      <c r="A101" s="918"/>
      <c r="B101" s="918"/>
      <c r="C101" s="918"/>
      <c r="D101" s="918"/>
      <c r="E101" s="918"/>
      <c r="F101" s="919"/>
      <c r="G101" s="600" t="s">
        <v>299</v>
      </c>
      <c r="H101" s="601">
        <v>170252</v>
      </c>
      <c r="I101" s="602">
        <v>872162075.88</v>
      </c>
      <c r="J101" s="602">
        <v>1.84456355909168</v>
      </c>
      <c r="K101" s="602">
        <v>653678026.29322398</v>
      </c>
      <c r="L101" s="602">
        <v>4398455.91</v>
      </c>
      <c r="M101" s="498">
        <v>2.0353170552959199</v>
      </c>
      <c r="N101" s="602">
        <v>3.8800254147082001</v>
      </c>
      <c r="O101" s="602">
        <v>1.84470835941227</v>
      </c>
      <c r="P101" s="498">
        <v>8384993.7147960002</v>
      </c>
      <c r="Q101" s="602">
        <v>3986537.804796</v>
      </c>
      <c r="R101" s="602">
        <v>-0.327682808767019</v>
      </c>
      <c r="S101" s="602">
        <v>-708144.40584400005</v>
      </c>
      <c r="T101" s="602">
        <v>0</v>
      </c>
      <c r="U101" s="602">
        <v>0</v>
      </c>
      <c r="V101" s="602">
        <v>0</v>
      </c>
      <c r="W101" s="602">
        <v>0</v>
      </c>
      <c r="X101" s="602">
        <v>0</v>
      </c>
      <c r="Y101" s="602">
        <v>0</v>
      </c>
      <c r="Z101" s="602">
        <v>0</v>
      </c>
      <c r="AA101" s="602">
        <v>0</v>
      </c>
      <c r="AB101" s="602">
        <v>0</v>
      </c>
      <c r="AC101" s="602">
        <v>0</v>
      </c>
      <c r="AD101" s="602">
        <v>0</v>
      </c>
      <c r="AE101" s="602">
        <v>0</v>
      </c>
      <c r="AF101" s="602">
        <v>0</v>
      </c>
      <c r="AG101" s="602">
        <v>0</v>
      </c>
      <c r="AH101" s="602">
        <v>0</v>
      </c>
      <c r="AI101" s="602">
        <v>0</v>
      </c>
      <c r="AJ101" s="498">
        <v>0</v>
      </c>
      <c r="AK101" s="498">
        <v>0</v>
      </c>
      <c r="AL101" s="602">
        <v>3.5523426057931</v>
      </c>
      <c r="AM101" s="602">
        <v>1.5170255504971699</v>
      </c>
      <c r="AN101" s="498">
        <v>7676849.3086320003</v>
      </c>
      <c r="AO101" s="603">
        <v>3278393.3986320002</v>
      </c>
    </row>
    <row r="102" spans="1:41" ht="12" thickBot="1">
      <c r="A102" s="918"/>
      <c r="B102" s="918"/>
      <c r="C102" s="918"/>
      <c r="D102" s="918"/>
      <c r="E102" s="918"/>
      <c r="F102" s="917" t="s">
        <v>303</v>
      </c>
      <c r="G102" s="600" t="s">
        <v>322</v>
      </c>
      <c r="H102" s="601">
        <v>170263</v>
      </c>
      <c r="I102" s="602">
        <v>198565.97</v>
      </c>
      <c r="J102" s="602">
        <v>0.35</v>
      </c>
      <c r="K102" s="602">
        <v>238963.89562</v>
      </c>
      <c r="L102" s="602">
        <v>240.95</v>
      </c>
      <c r="M102" s="498">
        <v>0.304993340124118</v>
      </c>
      <c r="N102" s="602">
        <v>1.8663709545314999</v>
      </c>
      <c r="O102" s="602">
        <v>1.5613776144074301</v>
      </c>
      <c r="P102" s="498">
        <v>1474.46525</v>
      </c>
      <c r="Q102" s="602">
        <v>1233.5152499999999</v>
      </c>
      <c r="R102" s="602">
        <v>-3.9782631301068003E-2</v>
      </c>
      <c r="S102" s="602">
        <v>-31.428965000000002</v>
      </c>
      <c r="T102" s="602">
        <v>0</v>
      </c>
      <c r="U102" s="602">
        <v>0</v>
      </c>
      <c r="V102" s="602">
        <v>0</v>
      </c>
      <c r="W102" s="602">
        <v>0</v>
      </c>
      <c r="X102" s="602">
        <v>0</v>
      </c>
      <c r="Y102" s="602">
        <v>0</v>
      </c>
      <c r="Z102" s="602">
        <v>0</v>
      </c>
      <c r="AA102" s="602">
        <v>0</v>
      </c>
      <c r="AB102" s="602">
        <v>0</v>
      </c>
      <c r="AC102" s="602">
        <v>0</v>
      </c>
      <c r="AD102" s="602">
        <v>0</v>
      </c>
      <c r="AE102" s="602">
        <v>0</v>
      </c>
      <c r="AF102" s="602">
        <v>0</v>
      </c>
      <c r="AG102" s="602">
        <v>0</v>
      </c>
      <c r="AH102" s="602">
        <v>0</v>
      </c>
      <c r="AI102" s="602">
        <v>0</v>
      </c>
      <c r="AJ102" s="498">
        <v>0</v>
      </c>
      <c r="AK102" s="498">
        <v>0</v>
      </c>
      <c r="AL102" s="602">
        <v>1.8265883169014601</v>
      </c>
      <c r="AM102" s="602">
        <v>1.52159497677739</v>
      </c>
      <c r="AN102" s="498">
        <v>1443.03628</v>
      </c>
      <c r="AO102" s="603">
        <v>1202.08628</v>
      </c>
    </row>
    <row r="103" spans="1:41" ht="12" thickBot="1">
      <c r="A103" s="918"/>
      <c r="B103" s="918"/>
      <c r="C103" s="918"/>
      <c r="D103" s="918"/>
      <c r="E103" s="918"/>
      <c r="F103" s="918"/>
      <c r="G103" s="600" t="s">
        <v>305</v>
      </c>
      <c r="H103" s="601">
        <v>170266</v>
      </c>
      <c r="I103" s="602">
        <v>67774404.840000004</v>
      </c>
      <c r="J103" s="602">
        <v>0.64115623147978895</v>
      </c>
      <c r="K103" s="602">
        <v>98761409.939422995</v>
      </c>
      <c r="L103" s="602">
        <v>591986.96</v>
      </c>
      <c r="M103" s="498">
        <v>1.8130950578195899</v>
      </c>
      <c r="N103" s="602">
        <v>3.3932259475980602</v>
      </c>
      <c r="O103" s="602">
        <v>1.5801308897784401</v>
      </c>
      <c r="P103" s="498">
        <v>1107909.6513159999</v>
      </c>
      <c r="Q103" s="602">
        <v>515922.69131600001</v>
      </c>
      <c r="R103" s="602">
        <v>-0.25650297613284001</v>
      </c>
      <c r="S103" s="602">
        <v>-83749.837834999998</v>
      </c>
      <c r="T103" s="602">
        <v>0</v>
      </c>
      <c r="U103" s="602">
        <v>0</v>
      </c>
      <c r="V103" s="602">
        <v>0</v>
      </c>
      <c r="W103" s="602">
        <v>0</v>
      </c>
      <c r="X103" s="602">
        <v>0</v>
      </c>
      <c r="Y103" s="602">
        <v>0</v>
      </c>
      <c r="Z103" s="602">
        <v>0</v>
      </c>
      <c r="AA103" s="602">
        <v>0</v>
      </c>
      <c r="AB103" s="602">
        <v>0</v>
      </c>
      <c r="AC103" s="602">
        <v>0</v>
      </c>
      <c r="AD103" s="602">
        <v>0</v>
      </c>
      <c r="AE103" s="602">
        <v>0</v>
      </c>
      <c r="AF103" s="602">
        <v>0</v>
      </c>
      <c r="AG103" s="602">
        <v>0</v>
      </c>
      <c r="AH103" s="602">
        <v>0</v>
      </c>
      <c r="AI103" s="602">
        <v>0</v>
      </c>
      <c r="AJ103" s="498">
        <v>0</v>
      </c>
      <c r="AK103" s="498">
        <v>0</v>
      </c>
      <c r="AL103" s="602">
        <v>3.13672297163673</v>
      </c>
      <c r="AM103" s="602">
        <v>1.3236279138171101</v>
      </c>
      <c r="AN103" s="498">
        <v>1024159.813537</v>
      </c>
      <c r="AO103" s="603">
        <v>432172.85353700002</v>
      </c>
    </row>
    <row r="104" spans="1:41" ht="12" thickBot="1">
      <c r="A104" s="918"/>
      <c r="B104" s="918"/>
      <c r="C104" s="918"/>
      <c r="D104" s="918"/>
      <c r="E104" s="918"/>
      <c r="F104" s="919"/>
      <c r="G104" s="600" t="s">
        <v>3513</v>
      </c>
      <c r="H104" s="601">
        <v>170267</v>
      </c>
      <c r="I104" s="602">
        <v>0</v>
      </c>
      <c r="J104" s="602">
        <v>0</v>
      </c>
      <c r="K104" s="602">
        <v>24171900.826446</v>
      </c>
      <c r="L104" s="602">
        <v>236962.37</v>
      </c>
      <c r="M104" s="498">
        <v>2.9652703576313302</v>
      </c>
      <c r="N104" s="602">
        <v>4.4795867328552896</v>
      </c>
      <c r="O104" s="602">
        <v>1.5143163752240101</v>
      </c>
      <c r="P104" s="498">
        <v>357975.28077200003</v>
      </c>
      <c r="Q104" s="602">
        <v>121012.910772</v>
      </c>
      <c r="R104" s="602">
        <v>-0.41371378909258599</v>
      </c>
      <c r="S104" s="602">
        <v>-33060.931429999997</v>
      </c>
      <c r="T104" s="602">
        <v>0</v>
      </c>
      <c r="U104" s="602">
        <v>0</v>
      </c>
      <c r="V104" s="602">
        <v>0</v>
      </c>
      <c r="W104" s="602">
        <v>0</v>
      </c>
      <c r="X104" s="602">
        <v>0</v>
      </c>
      <c r="Y104" s="602">
        <v>0</v>
      </c>
      <c r="Z104" s="602">
        <v>0</v>
      </c>
      <c r="AA104" s="602">
        <v>0</v>
      </c>
      <c r="AB104" s="602">
        <v>0</v>
      </c>
      <c r="AC104" s="602">
        <v>0</v>
      </c>
      <c r="AD104" s="602">
        <v>0</v>
      </c>
      <c r="AE104" s="602">
        <v>0</v>
      </c>
      <c r="AF104" s="602">
        <v>0</v>
      </c>
      <c r="AG104" s="602">
        <v>0</v>
      </c>
      <c r="AH104" s="602">
        <v>0</v>
      </c>
      <c r="AI104" s="602">
        <v>0</v>
      </c>
      <c r="AJ104" s="498">
        <v>0</v>
      </c>
      <c r="AK104" s="498">
        <v>0</v>
      </c>
      <c r="AL104" s="602">
        <v>4.0658729438377899</v>
      </c>
      <c r="AM104" s="602">
        <v>1.1006025862065101</v>
      </c>
      <c r="AN104" s="498">
        <v>324914.34934800002</v>
      </c>
      <c r="AO104" s="603">
        <v>87951.979347999993</v>
      </c>
    </row>
    <row r="105" spans="1:41" ht="12" thickBot="1">
      <c r="A105" s="918"/>
      <c r="B105" s="918"/>
      <c r="C105" s="918"/>
      <c r="D105" s="918"/>
      <c r="E105" s="918"/>
      <c r="F105" s="600" t="s">
        <v>318</v>
      </c>
      <c r="G105" s="600" t="s">
        <v>323</v>
      </c>
      <c r="H105" s="601">
        <v>170270</v>
      </c>
      <c r="I105" s="602">
        <v>3800000</v>
      </c>
      <c r="J105" s="602">
        <v>0.35</v>
      </c>
      <c r="K105" s="602">
        <v>3800000</v>
      </c>
      <c r="L105" s="602">
        <v>3831.67</v>
      </c>
      <c r="M105" s="498">
        <v>0.30500026533275298</v>
      </c>
      <c r="N105" s="602">
        <v>1.87421314156285</v>
      </c>
      <c r="O105" s="602">
        <v>1.5692128762301001</v>
      </c>
      <c r="P105" s="498">
        <v>23545.442691</v>
      </c>
      <c r="Q105" s="602">
        <v>19713.772690999998</v>
      </c>
      <c r="R105" s="602">
        <v>-3.9784656425402E-2</v>
      </c>
      <c r="S105" s="602">
        <v>-499.808334</v>
      </c>
      <c r="T105" s="602">
        <v>0</v>
      </c>
      <c r="U105" s="602">
        <v>0</v>
      </c>
      <c r="V105" s="602">
        <v>0</v>
      </c>
      <c r="W105" s="602">
        <v>0</v>
      </c>
      <c r="X105" s="602">
        <v>0</v>
      </c>
      <c r="Y105" s="602">
        <v>0</v>
      </c>
      <c r="Z105" s="602">
        <v>0</v>
      </c>
      <c r="AA105" s="602">
        <v>0</v>
      </c>
      <c r="AB105" s="602">
        <v>0</v>
      </c>
      <c r="AC105" s="602">
        <v>0</v>
      </c>
      <c r="AD105" s="602">
        <v>0</v>
      </c>
      <c r="AE105" s="602">
        <v>0</v>
      </c>
      <c r="AF105" s="602">
        <v>0</v>
      </c>
      <c r="AG105" s="602">
        <v>0</v>
      </c>
      <c r="AH105" s="602">
        <v>0</v>
      </c>
      <c r="AI105" s="602">
        <v>0</v>
      </c>
      <c r="AJ105" s="498">
        <v>0</v>
      </c>
      <c r="AK105" s="498">
        <v>0</v>
      </c>
      <c r="AL105" s="602">
        <v>1.8344284901522401</v>
      </c>
      <c r="AM105" s="602">
        <v>1.5294282248194899</v>
      </c>
      <c r="AN105" s="498">
        <v>23045.634419999998</v>
      </c>
      <c r="AO105" s="603">
        <v>19213.96442</v>
      </c>
    </row>
    <row r="106" spans="1:41" ht="12" thickBot="1">
      <c r="A106" s="918"/>
      <c r="B106" s="918"/>
      <c r="C106" s="918"/>
      <c r="D106" s="918"/>
      <c r="E106" s="918"/>
      <c r="F106" s="600" t="s">
        <v>308</v>
      </c>
      <c r="G106" s="600" t="s">
        <v>308</v>
      </c>
      <c r="H106" s="601">
        <v>170271</v>
      </c>
      <c r="I106" s="602">
        <v>4878217810.9681997</v>
      </c>
      <c r="J106" s="602">
        <v>2.2745019791132099</v>
      </c>
      <c r="K106" s="602">
        <v>6139503145.3463802</v>
      </c>
      <c r="L106" s="602">
        <v>48487837.478115097</v>
      </c>
      <c r="M106" s="498">
        <v>2.38888533405555</v>
      </c>
      <c r="N106" s="602">
        <v>4.1343596023003704</v>
      </c>
      <c r="O106" s="602">
        <v>1.7454742682448301</v>
      </c>
      <c r="P106" s="498">
        <v>83916190.373230994</v>
      </c>
      <c r="Q106" s="602">
        <v>35428352.895116001</v>
      </c>
      <c r="R106" s="602">
        <v>-0.36131598297881001</v>
      </c>
      <c r="S106" s="602">
        <v>-7333726.07348199</v>
      </c>
      <c r="T106" s="602">
        <v>0</v>
      </c>
      <c r="U106" s="602">
        <v>0</v>
      </c>
      <c r="V106" s="602">
        <v>0</v>
      </c>
      <c r="W106" s="602">
        <v>0</v>
      </c>
      <c r="X106" s="602">
        <v>0</v>
      </c>
      <c r="Y106" s="602">
        <v>0</v>
      </c>
      <c r="Z106" s="602">
        <v>0</v>
      </c>
      <c r="AA106" s="602">
        <v>0</v>
      </c>
      <c r="AB106" s="602">
        <v>0</v>
      </c>
      <c r="AC106" s="602">
        <v>0</v>
      </c>
      <c r="AD106" s="602">
        <v>0</v>
      </c>
      <c r="AE106" s="602">
        <v>0</v>
      </c>
      <c r="AF106" s="602">
        <v>0</v>
      </c>
      <c r="AG106" s="602">
        <v>0</v>
      </c>
      <c r="AH106" s="602">
        <v>0</v>
      </c>
      <c r="AI106" s="602">
        <v>0</v>
      </c>
      <c r="AJ106" s="498">
        <v>0</v>
      </c>
      <c r="AK106" s="498">
        <v>0</v>
      </c>
      <c r="AL106" s="602">
        <v>3.7730436195487802</v>
      </c>
      <c r="AM106" s="602">
        <v>1.3841582854932399</v>
      </c>
      <c r="AN106" s="498">
        <v>76582464.304361001</v>
      </c>
      <c r="AO106" s="603">
        <v>28094626.826246001</v>
      </c>
    </row>
    <row r="107" spans="1:41" ht="12" thickBot="1">
      <c r="A107" s="918"/>
      <c r="B107" s="918"/>
      <c r="C107" s="918"/>
      <c r="D107" s="918"/>
      <c r="E107" s="918"/>
      <c r="F107" s="600" t="s">
        <v>312</v>
      </c>
      <c r="G107" s="600" t="s">
        <v>312</v>
      </c>
      <c r="H107" s="601">
        <v>170275</v>
      </c>
      <c r="I107" s="602">
        <v>790382982.324</v>
      </c>
      <c r="J107" s="602">
        <v>1.72090961456028</v>
      </c>
      <c r="K107" s="602">
        <v>922373756.28209996</v>
      </c>
      <c r="L107" s="602">
        <v>5942326.3451380003</v>
      </c>
      <c r="M107" s="498">
        <v>1.9487013066282499</v>
      </c>
      <c r="N107" s="602">
        <v>3.8747532765941699</v>
      </c>
      <c r="O107" s="602">
        <v>1.92605196996592</v>
      </c>
      <c r="P107" s="498">
        <v>11815586.307711</v>
      </c>
      <c r="Q107" s="602">
        <v>5873259.9625730002</v>
      </c>
      <c r="R107" s="602">
        <v>-0.31578125306963201</v>
      </c>
      <c r="S107" s="602">
        <v>-962936.31714299996</v>
      </c>
      <c r="T107" s="602">
        <v>0</v>
      </c>
      <c r="U107" s="602">
        <v>0</v>
      </c>
      <c r="V107" s="602">
        <v>0</v>
      </c>
      <c r="W107" s="602">
        <v>0</v>
      </c>
      <c r="X107" s="602">
        <v>0</v>
      </c>
      <c r="Y107" s="602">
        <v>0</v>
      </c>
      <c r="Z107" s="602">
        <v>0</v>
      </c>
      <c r="AA107" s="602">
        <v>0</v>
      </c>
      <c r="AB107" s="602">
        <v>0</v>
      </c>
      <c r="AC107" s="602">
        <v>0</v>
      </c>
      <c r="AD107" s="602">
        <v>0</v>
      </c>
      <c r="AE107" s="602">
        <v>0</v>
      </c>
      <c r="AF107" s="602">
        <v>0</v>
      </c>
      <c r="AG107" s="602">
        <v>0</v>
      </c>
      <c r="AH107" s="602">
        <v>0</v>
      </c>
      <c r="AI107" s="602">
        <v>0</v>
      </c>
      <c r="AJ107" s="498">
        <v>0</v>
      </c>
      <c r="AK107" s="498">
        <v>0</v>
      </c>
      <c r="AL107" s="602">
        <v>3.5589720236691602</v>
      </c>
      <c r="AM107" s="602">
        <v>1.6102707170409101</v>
      </c>
      <c r="AN107" s="498">
        <v>10852649.991009001</v>
      </c>
      <c r="AO107" s="603">
        <v>4910323.6458710004</v>
      </c>
    </row>
    <row r="108" spans="1:41" ht="12" thickBot="1">
      <c r="A108" s="918"/>
      <c r="B108" s="918"/>
      <c r="C108" s="918"/>
      <c r="D108" s="918"/>
      <c r="E108" s="919"/>
      <c r="F108" s="600" t="s">
        <v>313</v>
      </c>
      <c r="G108" s="600" t="s">
        <v>315</v>
      </c>
      <c r="H108" s="601">
        <v>170376</v>
      </c>
      <c r="I108" s="602">
        <v>31010000</v>
      </c>
      <c r="J108" s="602">
        <v>1.5</v>
      </c>
      <c r="K108" s="602">
        <v>29984876.033057999</v>
      </c>
      <c r="L108" s="602">
        <v>149881.67000000001</v>
      </c>
      <c r="M108" s="498">
        <v>1.5119658455915701</v>
      </c>
      <c r="N108" s="602">
        <v>3.4771360210773699</v>
      </c>
      <c r="O108" s="602">
        <v>1.96517017548581</v>
      </c>
      <c r="P108" s="498">
        <v>344689.633814</v>
      </c>
      <c r="Q108" s="602">
        <v>194807.96381399999</v>
      </c>
      <c r="R108" s="602">
        <v>-0.26884795551426499</v>
      </c>
      <c r="S108" s="602">
        <v>-26650.985977</v>
      </c>
      <c r="T108" s="602">
        <v>0</v>
      </c>
      <c r="U108" s="602">
        <v>0</v>
      </c>
      <c r="V108" s="602">
        <v>0</v>
      </c>
      <c r="W108" s="602">
        <v>0</v>
      </c>
      <c r="X108" s="602">
        <v>0</v>
      </c>
      <c r="Y108" s="602">
        <v>0</v>
      </c>
      <c r="Z108" s="602">
        <v>0</v>
      </c>
      <c r="AA108" s="602">
        <v>0</v>
      </c>
      <c r="AB108" s="602">
        <v>0</v>
      </c>
      <c r="AC108" s="602">
        <v>0</v>
      </c>
      <c r="AD108" s="602">
        <v>0</v>
      </c>
      <c r="AE108" s="602">
        <v>0</v>
      </c>
      <c r="AF108" s="602">
        <v>0</v>
      </c>
      <c r="AG108" s="602">
        <v>0</v>
      </c>
      <c r="AH108" s="602">
        <v>0</v>
      </c>
      <c r="AI108" s="602">
        <v>0</v>
      </c>
      <c r="AJ108" s="498">
        <v>0</v>
      </c>
      <c r="AK108" s="498">
        <v>0</v>
      </c>
      <c r="AL108" s="602">
        <v>3.2082880652604802</v>
      </c>
      <c r="AM108" s="602">
        <v>1.6963222196689101</v>
      </c>
      <c r="AN108" s="498">
        <v>318038.64780699997</v>
      </c>
      <c r="AO108" s="603">
        <v>168156.97780699999</v>
      </c>
    </row>
    <row r="109" spans="1:41" ht="12" thickBot="1">
      <c r="A109" s="918"/>
      <c r="B109" s="918"/>
      <c r="C109" s="918"/>
      <c r="D109" s="918"/>
      <c r="E109" s="917" t="s">
        <v>2712</v>
      </c>
      <c r="F109" s="600" t="s">
        <v>308</v>
      </c>
      <c r="G109" s="600" t="s">
        <v>308</v>
      </c>
      <c r="H109" s="601">
        <v>170476</v>
      </c>
      <c r="I109" s="602">
        <v>690000</v>
      </c>
      <c r="J109" s="602">
        <v>2.5347826086956502</v>
      </c>
      <c r="K109" s="602">
        <v>690000</v>
      </c>
      <c r="L109" s="602">
        <v>5826.76</v>
      </c>
      <c r="M109" s="498">
        <v>2.55431088753144</v>
      </c>
      <c r="N109" s="602">
        <v>4.9859632170463497</v>
      </c>
      <c r="O109" s="602">
        <v>2.4316523295149102</v>
      </c>
      <c r="P109" s="498">
        <v>11373.717731999999</v>
      </c>
      <c r="Q109" s="602">
        <v>5546.9577319999999</v>
      </c>
      <c r="R109" s="602">
        <v>-0.48457639023356103</v>
      </c>
      <c r="S109" s="602">
        <v>-1105.3902410000001</v>
      </c>
      <c r="T109" s="602">
        <v>0</v>
      </c>
      <c r="U109" s="602">
        <v>0</v>
      </c>
      <c r="V109" s="602">
        <v>0</v>
      </c>
      <c r="W109" s="602">
        <v>0</v>
      </c>
      <c r="X109" s="602">
        <v>0</v>
      </c>
      <c r="Y109" s="602">
        <v>0</v>
      </c>
      <c r="Z109" s="602">
        <v>0</v>
      </c>
      <c r="AA109" s="602">
        <v>0</v>
      </c>
      <c r="AB109" s="602">
        <v>0</v>
      </c>
      <c r="AC109" s="602">
        <v>0</v>
      </c>
      <c r="AD109" s="602">
        <v>0</v>
      </c>
      <c r="AE109" s="602">
        <v>0</v>
      </c>
      <c r="AF109" s="602">
        <v>0</v>
      </c>
      <c r="AG109" s="602">
        <v>0</v>
      </c>
      <c r="AH109" s="602">
        <v>0</v>
      </c>
      <c r="AI109" s="602">
        <v>0</v>
      </c>
      <c r="AJ109" s="498">
        <v>0</v>
      </c>
      <c r="AK109" s="498">
        <v>0</v>
      </c>
      <c r="AL109" s="602">
        <v>4.5013868105928898</v>
      </c>
      <c r="AM109" s="602">
        <v>1.9470759230614401</v>
      </c>
      <c r="AN109" s="498">
        <v>10268.327454</v>
      </c>
      <c r="AO109" s="603">
        <v>4441.567454</v>
      </c>
    </row>
    <row r="110" spans="1:41" ht="12" thickBot="1">
      <c r="A110" s="918"/>
      <c r="B110" s="918"/>
      <c r="C110" s="918"/>
      <c r="D110" s="918"/>
      <c r="E110" s="918"/>
      <c r="F110" s="600" t="s">
        <v>303</v>
      </c>
      <c r="G110" s="600" t="s">
        <v>305</v>
      </c>
      <c r="H110" s="601">
        <v>170482</v>
      </c>
      <c r="I110" s="602">
        <v>1209450.29</v>
      </c>
      <c r="J110" s="602">
        <v>2.1</v>
      </c>
      <c r="K110" s="602">
        <v>1209450.29</v>
      </c>
      <c r="L110" s="602">
        <v>8425.18</v>
      </c>
      <c r="M110" s="498">
        <v>2.1071084087573899</v>
      </c>
      <c r="N110" s="602">
        <v>4.6545931453435498</v>
      </c>
      <c r="O110" s="602">
        <v>2.5474847365861701</v>
      </c>
      <c r="P110" s="498">
        <v>18611.185315999999</v>
      </c>
      <c r="Q110" s="602">
        <v>10186.005316000001</v>
      </c>
      <c r="R110" s="602">
        <v>-0.437213311306963</v>
      </c>
      <c r="S110" s="602">
        <v>-1748.178134</v>
      </c>
      <c r="T110" s="602">
        <v>0</v>
      </c>
      <c r="U110" s="602">
        <v>0</v>
      </c>
      <c r="V110" s="602">
        <v>0</v>
      </c>
      <c r="W110" s="602">
        <v>0</v>
      </c>
      <c r="X110" s="602">
        <v>0</v>
      </c>
      <c r="Y110" s="602">
        <v>0</v>
      </c>
      <c r="Z110" s="602">
        <v>0</v>
      </c>
      <c r="AA110" s="602">
        <v>0</v>
      </c>
      <c r="AB110" s="602">
        <v>0</v>
      </c>
      <c r="AC110" s="602">
        <v>0</v>
      </c>
      <c r="AD110" s="602">
        <v>0</v>
      </c>
      <c r="AE110" s="602">
        <v>0</v>
      </c>
      <c r="AF110" s="602">
        <v>0</v>
      </c>
      <c r="AG110" s="602">
        <v>0</v>
      </c>
      <c r="AH110" s="602">
        <v>0</v>
      </c>
      <c r="AI110" s="602">
        <v>0</v>
      </c>
      <c r="AJ110" s="498">
        <v>0</v>
      </c>
      <c r="AK110" s="498">
        <v>0</v>
      </c>
      <c r="AL110" s="602">
        <v>4.2173798262836</v>
      </c>
      <c r="AM110" s="602">
        <v>2.1102714175262101</v>
      </c>
      <c r="AN110" s="498">
        <v>16863.007151000002</v>
      </c>
      <c r="AO110" s="603">
        <v>8437.8271509999995</v>
      </c>
    </row>
    <row r="111" spans="1:41" ht="12" thickBot="1">
      <c r="A111" s="918"/>
      <c r="B111" s="918"/>
      <c r="C111" s="918"/>
      <c r="D111" s="918"/>
      <c r="E111" s="919"/>
      <c r="F111" s="600" t="s">
        <v>312</v>
      </c>
      <c r="G111" s="600" t="s">
        <v>312</v>
      </c>
      <c r="H111" s="601">
        <v>170489</v>
      </c>
      <c r="I111" s="602">
        <v>500000</v>
      </c>
      <c r="J111" s="602">
        <v>2.1</v>
      </c>
      <c r="K111" s="602">
        <v>359504.132231</v>
      </c>
      <c r="L111" s="602">
        <v>2537.5</v>
      </c>
      <c r="M111" s="498">
        <v>2.1350000000024001</v>
      </c>
      <c r="N111" s="602">
        <v>3.60332522308966</v>
      </c>
      <c r="O111" s="602">
        <v>1.46832522308966</v>
      </c>
      <c r="P111" s="498">
        <v>4282.6406340000003</v>
      </c>
      <c r="Q111" s="602">
        <v>1745.1406340000001</v>
      </c>
      <c r="R111" s="602">
        <v>-0.28681780993103501</v>
      </c>
      <c r="S111" s="602">
        <v>-340.89001999999999</v>
      </c>
      <c r="T111" s="602">
        <v>0</v>
      </c>
      <c r="U111" s="602">
        <v>0</v>
      </c>
      <c r="V111" s="602">
        <v>0</v>
      </c>
      <c r="W111" s="602">
        <v>0</v>
      </c>
      <c r="X111" s="602">
        <v>0</v>
      </c>
      <c r="Y111" s="602">
        <v>0</v>
      </c>
      <c r="Z111" s="602">
        <v>0</v>
      </c>
      <c r="AA111" s="602">
        <v>0</v>
      </c>
      <c r="AB111" s="602">
        <v>0</v>
      </c>
      <c r="AC111" s="602">
        <v>0</v>
      </c>
      <c r="AD111" s="602">
        <v>0</v>
      </c>
      <c r="AE111" s="602">
        <v>0</v>
      </c>
      <c r="AF111" s="602">
        <v>0</v>
      </c>
      <c r="AG111" s="602">
        <v>0</v>
      </c>
      <c r="AH111" s="602">
        <v>0</v>
      </c>
      <c r="AI111" s="602">
        <v>0</v>
      </c>
      <c r="AJ111" s="498">
        <v>0</v>
      </c>
      <c r="AK111" s="498">
        <v>0</v>
      </c>
      <c r="AL111" s="602">
        <v>3.3165073820275901</v>
      </c>
      <c r="AM111" s="602">
        <v>1.1815073820275901</v>
      </c>
      <c r="AN111" s="498">
        <v>3941.7505769999998</v>
      </c>
      <c r="AO111" s="603">
        <v>1404.250577</v>
      </c>
    </row>
    <row r="112" spans="1:41" ht="12" thickBot="1">
      <c r="A112" s="918"/>
      <c r="B112" s="918"/>
      <c r="C112" s="918"/>
      <c r="D112" s="918"/>
      <c r="E112" s="917" t="s">
        <v>2713</v>
      </c>
      <c r="F112" s="600" t="s">
        <v>308</v>
      </c>
      <c r="G112" s="600" t="s">
        <v>308</v>
      </c>
      <c r="H112" s="601">
        <v>170496</v>
      </c>
      <c r="I112" s="602">
        <v>266800000</v>
      </c>
      <c r="J112" s="602">
        <v>3.1782233883058502</v>
      </c>
      <c r="K112" s="602">
        <v>249461157.02479401</v>
      </c>
      <c r="L112" s="602">
        <v>2626523.4300000002</v>
      </c>
      <c r="M112" s="498">
        <v>3.1847405826111101</v>
      </c>
      <c r="N112" s="602">
        <v>4.86637947341399</v>
      </c>
      <c r="O112" s="602">
        <v>1.6816388908028701</v>
      </c>
      <c r="P112" s="498">
        <v>4013406.861451</v>
      </c>
      <c r="Q112" s="602">
        <v>1386883.431451</v>
      </c>
      <c r="R112" s="602">
        <v>-0.46845854364771</v>
      </c>
      <c r="S112" s="602">
        <v>-386347.744489</v>
      </c>
      <c r="T112" s="602">
        <v>0</v>
      </c>
      <c r="U112" s="602">
        <v>0</v>
      </c>
      <c r="V112" s="602">
        <v>0</v>
      </c>
      <c r="W112" s="602">
        <v>0</v>
      </c>
      <c r="X112" s="602">
        <v>0</v>
      </c>
      <c r="Y112" s="602">
        <v>0</v>
      </c>
      <c r="Z112" s="602">
        <v>0</v>
      </c>
      <c r="AA112" s="602">
        <v>0</v>
      </c>
      <c r="AB112" s="602">
        <v>0</v>
      </c>
      <c r="AC112" s="602">
        <v>0</v>
      </c>
      <c r="AD112" s="602">
        <v>0</v>
      </c>
      <c r="AE112" s="602">
        <v>0</v>
      </c>
      <c r="AF112" s="602">
        <v>0</v>
      </c>
      <c r="AG112" s="602">
        <v>0</v>
      </c>
      <c r="AH112" s="602">
        <v>0</v>
      </c>
      <c r="AI112" s="602">
        <v>0</v>
      </c>
      <c r="AJ112" s="498">
        <v>0</v>
      </c>
      <c r="AK112" s="498">
        <v>0</v>
      </c>
      <c r="AL112" s="602">
        <v>4.3979209297408204</v>
      </c>
      <c r="AM112" s="602">
        <v>1.2131803471297</v>
      </c>
      <c r="AN112" s="498">
        <v>3627059.1169409999</v>
      </c>
      <c r="AO112" s="603">
        <v>1000535.6869410001</v>
      </c>
    </row>
    <row r="113" spans="1:41" ht="12" thickBot="1">
      <c r="A113" s="918"/>
      <c r="B113" s="918"/>
      <c r="C113" s="918"/>
      <c r="D113" s="918"/>
      <c r="E113" s="918"/>
      <c r="F113" s="600" t="s">
        <v>303</v>
      </c>
      <c r="G113" s="600" t="s">
        <v>305</v>
      </c>
      <c r="H113" s="601">
        <v>170502</v>
      </c>
      <c r="I113" s="602">
        <v>755384.99</v>
      </c>
      <c r="J113" s="602">
        <v>2.75</v>
      </c>
      <c r="K113" s="602">
        <v>755384.99</v>
      </c>
      <c r="L113" s="602">
        <v>6896.43</v>
      </c>
      <c r="M113" s="498">
        <v>2.7615422789601101</v>
      </c>
      <c r="N113" s="602">
        <v>4.8256478572754897</v>
      </c>
      <c r="O113" s="602">
        <v>2.0641055783153801</v>
      </c>
      <c r="P113" s="498">
        <v>12051.143633</v>
      </c>
      <c r="Q113" s="602">
        <v>5154.7136330000003</v>
      </c>
      <c r="R113" s="602">
        <v>-0.46362238500768999</v>
      </c>
      <c r="S113" s="602">
        <v>-1157.809297</v>
      </c>
      <c r="T113" s="602">
        <v>0</v>
      </c>
      <c r="U113" s="602">
        <v>0</v>
      </c>
      <c r="V113" s="602">
        <v>0</v>
      </c>
      <c r="W113" s="602">
        <v>0</v>
      </c>
      <c r="X113" s="602">
        <v>0</v>
      </c>
      <c r="Y113" s="602">
        <v>0</v>
      </c>
      <c r="Z113" s="602">
        <v>0</v>
      </c>
      <c r="AA113" s="602">
        <v>0</v>
      </c>
      <c r="AB113" s="602">
        <v>0</v>
      </c>
      <c r="AC113" s="602">
        <v>0</v>
      </c>
      <c r="AD113" s="602">
        <v>0</v>
      </c>
      <c r="AE113" s="602">
        <v>0</v>
      </c>
      <c r="AF113" s="602">
        <v>0</v>
      </c>
      <c r="AG113" s="602">
        <v>0</v>
      </c>
      <c r="AH113" s="602">
        <v>0</v>
      </c>
      <c r="AI113" s="602">
        <v>0</v>
      </c>
      <c r="AJ113" s="498">
        <v>0</v>
      </c>
      <c r="AK113" s="498">
        <v>0</v>
      </c>
      <c r="AL113" s="602">
        <v>4.3620254722678</v>
      </c>
      <c r="AM113" s="602">
        <v>1.60048319330769</v>
      </c>
      <c r="AN113" s="498">
        <v>10893.334336</v>
      </c>
      <c r="AO113" s="603">
        <v>3996.9043360000001</v>
      </c>
    </row>
    <row r="114" spans="1:41" ht="12" thickBot="1">
      <c r="A114" s="918"/>
      <c r="B114" s="919"/>
      <c r="C114" s="919"/>
      <c r="D114" s="919"/>
      <c r="E114" s="919"/>
      <c r="F114" s="600" t="s">
        <v>312</v>
      </c>
      <c r="G114" s="600" t="s">
        <v>312</v>
      </c>
      <c r="H114" s="601">
        <v>170509</v>
      </c>
      <c r="I114" s="602">
        <v>30000000</v>
      </c>
      <c r="J114" s="602">
        <v>2.75</v>
      </c>
      <c r="K114" s="602">
        <v>30000000</v>
      </c>
      <c r="L114" s="602">
        <v>274260.75</v>
      </c>
      <c r="M114" s="498">
        <v>2.7652736776859501</v>
      </c>
      <c r="N114" s="602">
        <v>4.8256478595520704</v>
      </c>
      <c r="O114" s="602">
        <v>2.0603741818661199</v>
      </c>
      <c r="P114" s="498">
        <v>478609.33688999998</v>
      </c>
      <c r="Q114" s="602">
        <v>204348.58689000001</v>
      </c>
      <c r="R114" s="602">
        <v>-0.46362238695966901</v>
      </c>
      <c r="S114" s="602">
        <v>-45982.220346000002</v>
      </c>
      <c r="T114" s="602">
        <v>0</v>
      </c>
      <c r="U114" s="602">
        <v>0</v>
      </c>
      <c r="V114" s="602">
        <v>0</v>
      </c>
      <c r="W114" s="602">
        <v>0</v>
      </c>
      <c r="X114" s="602">
        <v>0</v>
      </c>
      <c r="Y114" s="602">
        <v>0</v>
      </c>
      <c r="Z114" s="602">
        <v>0</v>
      </c>
      <c r="AA114" s="602">
        <v>0</v>
      </c>
      <c r="AB114" s="602">
        <v>0</v>
      </c>
      <c r="AC114" s="602">
        <v>0</v>
      </c>
      <c r="AD114" s="602">
        <v>0</v>
      </c>
      <c r="AE114" s="602">
        <v>0</v>
      </c>
      <c r="AF114" s="602">
        <v>0</v>
      </c>
      <c r="AG114" s="602">
        <v>0</v>
      </c>
      <c r="AH114" s="602">
        <v>0</v>
      </c>
      <c r="AI114" s="602">
        <v>0</v>
      </c>
      <c r="AJ114" s="498">
        <v>0</v>
      </c>
      <c r="AK114" s="498">
        <v>0</v>
      </c>
      <c r="AL114" s="602">
        <v>4.3620254725823102</v>
      </c>
      <c r="AM114" s="602">
        <v>1.5967517948963601</v>
      </c>
      <c r="AN114" s="498">
        <v>432627.11654299998</v>
      </c>
      <c r="AO114" s="603">
        <v>158366.36654300001</v>
      </c>
    </row>
    <row r="115" spans="1:41" ht="12" thickBot="1">
      <c r="A115" s="918"/>
      <c r="B115" s="917" t="s">
        <v>218</v>
      </c>
      <c r="C115" s="917" t="s">
        <v>325</v>
      </c>
      <c r="D115" s="917" t="s">
        <v>326</v>
      </c>
      <c r="E115" s="600" t="s">
        <v>327</v>
      </c>
      <c r="F115" s="600" t="s">
        <v>327</v>
      </c>
      <c r="G115" s="600" t="s">
        <v>327</v>
      </c>
      <c r="H115" s="601">
        <v>170301</v>
      </c>
      <c r="I115" s="602">
        <v>10104294830.8043</v>
      </c>
      <c r="J115" s="602">
        <v>0.34473854454642</v>
      </c>
      <c r="K115" s="602">
        <v>10394395661.389999</v>
      </c>
      <c r="L115" s="602">
        <v>12042848.054579999</v>
      </c>
      <c r="M115" s="498">
        <v>0.350449688082072</v>
      </c>
      <c r="N115" s="602">
        <v>3.36799241115046</v>
      </c>
      <c r="O115" s="602">
        <v>3.0175427230684</v>
      </c>
      <c r="P115" s="498">
        <v>115737642.908002</v>
      </c>
      <c r="Q115" s="602">
        <v>103694794.853422</v>
      </c>
      <c r="R115" s="602">
        <v>-0.25287350208480103</v>
      </c>
      <c r="S115" s="602">
        <v>-8689741.3985530101</v>
      </c>
      <c r="T115" s="602">
        <v>0</v>
      </c>
      <c r="U115" s="602">
        <v>0</v>
      </c>
      <c r="V115" s="602">
        <v>3.0810076E-8</v>
      </c>
      <c r="W115" s="602">
        <v>1.0587569999999999</v>
      </c>
      <c r="X115" s="602">
        <v>0</v>
      </c>
      <c r="Y115" s="602">
        <v>0</v>
      </c>
      <c r="Z115" s="602">
        <v>0</v>
      </c>
      <c r="AA115" s="602">
        <v>0</v>
      </c>
      <c r="AB115" s="602">
        <v>0</v>
      </c>
      <c r="AC115" s="602">
        <v>0</v>
      </c>
      <c r="AD115" s="602">
        <v>0</v>
      </c>
      <c r="AE115" s="602">
        <v>0</v>
      </c>
      <c r="AF115" s="602">
        <v>0</v>
      </c>
      <c r="AG115" s="602">
        <v>0</v>
      </c>
      <c r="AH115" s="602">
        <v>0</v>
      </c>
      <c r="AI115" s="602">
        <v>0</v>
      </c>
      <c r="AJ115" s="498">
        <v>0</v>
      </c>
      <c r="AK115" s="498">
        <v>0</v>
      </c>
      <c r="AL115" s="602">
        <v>3.11511893934484</v>
      </c>
      <c r="AM115" s="602">
        <v>2.7646692512627702</v>
      </c>
      <c r="AN115" s="498">
        <v>107047902.549962</v>
      </c>
      <c r="AO115" s="603">
        <v>95005054.495381996</v>
      </c>
    </row>
    <row r="116" spans="1:41" ht="12" thickBot="1">
      <c r="A116" s="918"/>
      <c r="B116" s="918"/>
      <c r="C116" s="918"/>
      <c r="D116" s="918"/>
      <c r="E116" s="600" t="s">
        <v>328</v>
      </c>
      <c r="F116" s="600" t="s">
        <v>328</v>
      </c>
      <c r="G116" s="600" t="s">
        <v>328</v>
      </c>
      <c r="H116" s="601">
        <v>170302</v>
      </c>
      <c r="I116" s="602">
        <v>59774016399.519798</v>
      </c>
      <c r="J116" s="602">
        <v>0.30021140982243999</v>
      </c>
      <c r="K116" s="602">
        <v>60129993304.945297</v>
      </c>
      <c r="L116" s="602">
        <v>60606567.789999999</v>
      </c>
      <c r="M116" s="498">
        <v>0.30487671039127601</v>
      </c>
      <c r="N116" s="602">
        <v>3.3747419826820102</v>
      </c>
      <c r="O116" s="602">
        <v>3.0698652722907398</v>
      </c>
      <c r="P116" s="498">
        <v>670866359.33811903</v>
      </c>
      <c r="Q116" s="602">
        <v>610259791.54811895</v>
      </c>
      <c r="R116" s="602">
        <v>-0.25351471832752598</v>
      </c>
      <c r="S116" s="602">
        <v>-50396296.071160004</v>
      </c>
      <c r="T116" s="602">
        <v>0</v>
      </c>
      <c r="U116" s="602">
        <v>0</v>
      </c>
      <c r="V116" s="602">
        <v>5.1236932756299999E-4</v>
      </c>
      <c r="W116" s="602">
        <v>101854.11127199999</v>
      </c>
      <c r="X116" s="602">
        <v>0</v>
      </c>
      <c r="Y116" s="602">
        <v>0</v>
      </c>
      <c r="Z116" s="602">
        <v>0</v>
      </c>
      <c r="AA116" s="602">
        <v>0</v>
      </c>
      <c r="AB116" s="602">
        <v>0</v>
      </c>
      <c r="AC116" s="602">
        <v>0</v>
      </c>
      <c r="AD116" s="602">
        <v>0</v>
      </c>
      <c r="AE116" s="602">
        <v>0</v>
      </c>
      <c r="AF116" s="602">
        <v>0</v>
      </c>
      <c r="AG116" s="602">
        <v>0</v>
      </c>
      <c r="AH116" s="602">
        <v>0</v>
      </c>
      <c r="AI116" s="602">
        <v>0</v>
      </c>
      <c r="AJ116" s="498">
        <v>0</v>
      </c>
      <c r="AK116" s="498">
        <v>0</v>
      </c>
      <c r="AL116" s="602">
        <v>3.12173963097568</v>
      </c>
      <c r="AM116" s="602">
        <v>2.8168629205843998</v>
      </c>
      <c r="AN116" s="498">
        <v>620571916.84023094</v>
      </c>
      <c r="AO116" s="603">
        <v>559965349.05023098</v>
      </c>
    </row>
    <row r="117" spans="1:41" ht="12" thickBot="1">
      <c r="A117" s="918"/>
      <c r="B117" s="918"/>
      <c r="C117" s="918"/>
      <c r="D117" s="918"/>
      <c r="E117" s="600" t="s">
        <v>329</v>
      </c>
      <c r="F117" s="600" t="s">
        <v>329</v>
      </c>
      <c r="G117" s="600" t="s">
        <v>329</v>
      </c>
      <c r="H117" s="601">
        <v>170303</v>
      </c>
      <c r="I117" s="602">
        <v>160263394.62</v>
      </c>
      <c r="J117" s="602">
        <v>0.30003151602093497</v>
      </c>
      <c r="K117" s="602">
        <v>163913226.853196</v>
      </c>
      <c r="L117" s="602">
        <v>165167.87</v>
      </c>
      <c r="M117" s="498">
        <v>0.304794610385211</v>
      </c>
      <c r="N117" s="602">
        <v>3.37230367222607</v>
      </c>
      <c r="O117" s="602">
        <v>3.0675090618408598</v>
      </c>
      <c r="P117" s="498">
        <v>1827447.7157940001</v>
      </c>
      <c r="Q117" s="602">
        <v>1662279.845794</v>
      </c>
      <c r="R117" s="602">
        <v>-0.25331091354000501</v>
      </c>
      <c r="S117" s="602">
        <v>-137268.91031400001</v>
      </c>
      <c r="T117" s="602">
        <v>0</v>
      </c>
      <c r="U117" s="602">
        <v>0</v>
      </c>
      <c r="V117" s="602">
        <v>0</v>
      </c>
      <c r="W117" s="602">
        <v>0</v>
      </c>
      <c r="X117" s="602">
        <v>0</v>
      </c>
      <c r="Y117" s="602">
        <v>0</v>
      </c>
      <c r="Z117" s="602">
        <v>0</v>
      </c>
      <c r="AA117" s="602">
        <v>0</v>
      </c>
      <c r="AB117" s="602">
        <v>0</v>
      </c>
      <c r="AC117" s="602">
        <v>0</v>
      </c>
      <c r="AD117" s="602">
        <v>0</v>
      </c>
      <c r="AE117" s="602">
        <v>0</v>
      </c>
      <c r="AF117" s="602">
        <v>0</v>
      </c>
      <c r="AG117" s="602">
        <v>0</v>
      </c>
      <c r="AH117" s="602">
        <v>0</v>
      </c>
      <c r="AI117" s="602">
        <v>0</v>
      </c>
      <c r="AJ117" s="498">
        <v>0</v>
      </c>
      <c r="AK117" s="498">
        <v>0</v>
      </c>
      <c r="AL117" s="602">
        <v>3.11899276204832</v>
      </c>
      <c r="AM117" s="602">
        <v>2.8141981516631098</v>
      </c>
      <c r="AN117" s="498">
        <v>1690178.807302</v>
      </c>
      <c r="AO117" s="603">
        <v>1525010.9373019999</v>
      </c>
    </row>
    <row r="118" spans="1:41" ht="12" thickBot="1">
      <c r="A118" s="918"/>
      <c r="B118" s="918"/>
      <c r="C118" s="918"/>
      <c r="D118" s="918"/>
      <c r="E118" s="600" t="s">
        <v>330</v>
      </c>
      <c r="F118" s="600" t="s">
        <v>330</v>
      </c>
      <c r="G118" s="600" t="s">
        <v>330</v>
      </c>
      <c r="H118" s="601">
        <v>170304</v>
      </c>
      <c r="I118" s="602">
        <v>112098557.33</v>
      </c>
      <c r="J118" s="602">
        <v>0.30000573435122901</v>
      </c>
      <c r="K118" s="602">
        <v>85804103.700509906</v>
      </c>
      <c r="L118" s="602">
        <v>86511.400000000096</v>
      </c>
      <c r="M118" s="498">
        <v>0.30497272211730703</v>
      </c>
      <c r="N118" s="602">
        <v>3.3743382830087798</v>
      </c>
      <c r="O118" s="602">
        <v>2.7513334763047101</v>
      </c>
      <c r="P118" s="498">
        <v>957196.19417100004</v>
      </c>
      <c r="Q118" s="602">
        <v>780468.85390100104</v>
      </c>
      <c r="R118" s="602">
        <v>-0.253451517362907</v>
      </c>
      <c r="S118" s="602">
        <v>-71896.415676000004</v>
      </c>
      <c r="T118" s="602">
        <v>0</v>
      </c>
      <c r="U118" s="602">
        <v>0</v>
      </c>
      <c r="V118" s="602">
        <v>0</v>
      </c>
      <c r="W118" s="602">
        <v>0</v>
      </c>
      <c r="X118" s="602">
        <v>0</v>
      </c>
      <c r="Y118" s="602">
        <v>0</v>
      </c>
      <c r="Z118" s="602">
        <v>0</v>
      </c>
      <c r="AA118" s="602">
        <v>0</v>
      </c>
      <c r="AB118" s="602">
        <v>0</v>
      </c>
      <c r="AC118" s="602">
        <v>0</v>
      </c>
      <c r="AD118" s="602">
        <v>0</v>
      </c>
      <c r="AE118" s="602">
        <v>0</v>
      </c>
      <c r="AF118" s="602">
        <v>0</v>
      </c>
      <c r="AG118" s="602">
        <v>0</v>
      </c>
      <c r="AH118" s="602">
        <v>0</v>
      </c>
      <c r="AI118" s="602">
        <v>0</v>
      </c>
      <c r="AJ118" s="498">
        <v>0</v>
      </c>
      <c r="AK118" s="498">
        <v>0</v>
      </c>
      <c r="AL118" s="602">
        <v>3.1208867740817499</v>
      </c>
      <c r="AM118" s="602">
        <v>2.5243010805876902</v>
      </c>
      <c r="AN118" s="498">
        <v>885299.78088799794</v>
      </c>
      <c r="AO118" s="603">
        <v>716066.73208999995</v>
      </c>
    </row>
    <row r="119" spans="1:41" ht="12" thickBot="1">
      <c r="A119" s="918"/>
      <c r="B119" s="918"/>
      <c r="C119" s="918"/>
      <c r="D119" s="918"/>
      <c r="E119" s="600" t="s">
        <v>331</v>
      </c>
      <c r="F119" s="600" t="s">
        <v>331</v>
      </c>
      <c r="G119" s="600" t="s">
        <v>331</v>
      </c>
      <c r="H119" s="601">
        <v>170305</v>
      </c>
      <c r="I119" s="602">
        <v>38263051.219999999</v>
      </c>
      <c r="J119" s="602">
        <v>0.29988475263055597</v>
      </c>
      <c r="K119" s="602">
        <v>39342921.093960099</v>
      </c>
      <c r="L119" s="602">
        <v>39487.99</v>
      </c>
      <c r="M119" s="498">
        <v>0.30359466901077897</v>
      </c>
      <c r="N119" s="602">
        <v>3.3736326898261</v>
      </c>
      <c r="O119" s="602">
        <v>3.0700380208153502</v>
      </c>
      <c r="P119" s="498">
        <v>438802.08553600003</v>
      </c>
      <c r="Q119" s="602">
        <v>399314.09553599998</v>
      </c>
      <c r="R119" s="602">
        <v>-0.25381359091212202</v>
      </c>
      <c r="S119" s="602">
        <v>-33013.058406000098</v>
      </c>
      <c r="T119" s="602">
        <v>0</v>
      </c>
      <c r="U119" s="602">
        <v>0</v>
      </c>
      <c r="V119" s="602">
        <v>1.8730773972520001E-3</v>
      </c>
      <c r="W119" s="602">
        <v>243.627669</v>
      </c>
      <c r="X119" s="602">
        <v>0</v>
      </c>
      <c r="Y119" s="602">
        <v>0</v>
      </c>
      <c r="Z119" s="602">
        <v>0</v>
      </c>
      <c r="AA119" s="602">
        <v>0</v>
      </c>
      <c r="AB119" s="602">
        <v>0</v>
      </c>
      <c r="AC119" s="602">
        <v>0</v>
      </c>
      <c r="AD119" s="602">
        <v>0</v>
      </c>
      <c r="AE119" s="602">
        <v>0</v>
      </c>
      <c r="AF119" s="602">
        <v>0</v>
      </c>
      <c r="AG119" s="602">
        <v>0</v>
      </c>
      <c r="AH119" s="602">
        <v>0</v>
      </c>
      <c r="AI119" s="602">
        <v>0</v>
      </c>
      <c r="AJ119" s="498">
        <v>0</v>
      </c>
      <c r="AK119" s="498">
        <v>0</v>
      </c>
      <c r="AL119" s="602">
        <v>3.1216984022408099</v>
      </c>
      <c r="AM119" s="602">
        <v>2.81810373323006</v>
      </c>
      <c r="AN119" s="498">
        <v>406033.46459400002</v>
      </c>
      <c r="AO119" s="603">
        <v>366545.47459399898</v>
      </c>
    </row>
    <row r="120" spans="1:41" ht="12" thickBot="1">
      <c r="A120" s="918"/>
      <c r="B120" s="918"/>
      <c r="C120" s="918"/>
      <c r="D120" s="918"/>
      <c r="E120" s="600" t="s">
        <v>332</v>
      </c>
      <c r="F120" s="600" t="s">
        <v>332</v>
      </c>
      <c r="G120" s="600" t="s">
        <v>332</v>
      </c>
      <c r="H120" s="601">
        <v>170307</v>
      </c>
      <c r="I120" s="602">
        <v>49193.099999999802</v>
      </c>
      <c r="J120" s="602">
        <v>0</v>
      </c>
      <c r="K120" s="602">
        <v>46534.662962999901</v>
      </c>
      <c r="L120" s="602">
        <v>0</v>
      </c>
      <c r="M120" s="498">
        <v>0</v>
      </c>
      <c r="N120" s="602">
        <v>3.3875142445579498</v>
      </c>
      <c r="O120" s="602">
        <v>3.3875142445579498</v>
      </c>
      <c r="P120" s="498">
        <v>521.14909500000101</v>
      </c>
      <c r="Q120" s="602">
        <v>521.14909500000101</v>
      </c>
      <c r="R120" s="602">
        <v>-0.215692321363529</v>
      </c>
      <c r="S120" s="602">
        <v>-33.182991999999999</v>
      </c>
      <c r="T120" s="602">
        <v>0</v>
      </c>
      <c r="U120" s="602">
        <v>0</v>
      </c>
      <c r="V120" s="602">
        <v>2.2946670686020002E-3</v>
      </c>
      <c r="W120" s="602">
        <v>0.35302099999999997</v>
      </c>
      <c r="X120" s="602">
        <v>0</v>
      </c>
      <c r="Y120" s="602">
        <v>0</v>
      </c>
      <c r="Z120" s="602">
        <v>0</v>
      </c>
      <c r="AA120" s="602">
        <v>0</v>
      </c>
      <c r="AB120" s="602">
        <v>0</v>
      </c>
      <c r="AC120" s="602">
        <v>0</v>
      </c>
      <c r="AD120" s="602">
        <v>0</v>
      </c>
      <c r="AE120" s="602">
        <v>0</v>
      </c>
      <c r="AF120" s="602">
        <v>0</v>
      </c>
      <c r="AG120" s="602">
        <v>0</v>
      </c>
      <c r="AH120" s="602">
        <v>0</v>
      </c>
      <c r="AI120" s="602">
        <v>0</v>
      </c>
      <c r="AJ120" s="498">
        <v>0</v>
      </c>
      <c r="AK120" s="498">
        <v>0</v>
      </c>
      <c r="AL120" s="602">
        <v>3.1679645313078399</v>
      </c>
      <c r="AM120" s="602">
        <v>3.1679645313078399</v>
      </c>
      <c r="AN120" s="498">
        <v>487.37266599999998</v>
      </c>
      <c r="AO120" s="603">
        <v>487.37266599999998</v>
      </c>
    </row>
    <row r="121" spans="1:41" ht="12" thickBot="1">
      <c r="A121" s="918"/>
      <c r="B121" s="918"/>
      <c r="C121" s="919"/>
      <c r="D121" s="919"/>
      <c r="E121" s="600" t="s">
        <v>333</v>
      </c>
      <c r="F121" s="600" t="s">
        <v>333</v>
      </c>
      <c r="G121" s="600" t="s">
        <v>333</v>
      </c>
      <c r="H121" s="601">
        <v>170308</v>
      </c>
      <c r="I121" s="602">
        <v>637048.9</v>
      </c>
      <c r="J121" s="602">
        <v>0.30058516622507297</v>
      </c>
      <c r="K121" s="602">
        <v>1670229.2645459999</v>
      </c>
      <c r="L121" s="602">
        <v>1687.84</v>
      </c>
      <c r="M121" s="498">
        <v>0.30566865166950702</v>
      </c>
      <c r="N121" s="602">
        <v>3.3935885052436401</v>
      </c>
      <c r="O121" s="602">
        <v>3.0879198535746402</v>
      </c>
      <c r="P121" s="498">
        <v>18738.704120999999</v>
      </c>
      <c r="Q121" s="602">
        <v>17050.864120999999</v>
      </c>
      <c r="R121" s="602">
        <v>-0.25447251518834901</v>
      </c>
      <c r="S121" s="602">
        <v>-1405.145368</v>
      </c>
      <c r="T121" s="602">
        <v>0</v>
      </c>
      <c r="U121" s="602">
        <v>0</v>
      </c>
      <c r="V121" s="602">
        <v>1.3773628944505E-2</v>
      </c>
      <c r="W121" s="602">
        <v>76.055171999999999</v>
      </c>
      <c r="X121" s="602">
        <v>0</v>
      </c>
      <c r="Y121" s="602">
        <v>0</v>
      </c>
      <c r="Z121" s="602">
        <v>0</v>
      </c>
      <c r="AA121" s="602">
        <v>0</v>
      </c>
      <c r="AB121" s="602">
        <v>0</v>
      </c>
      <c r="AC121" s="602">
        <v>0</v>
      </c>
      <c r="AD121" s="602">
        <v>0</v>
      </c>
      <c r="AE121" s="602">
        <v>0</v>
      </c>
      <c r="AF121" s="602">
        <v>0</v>
      </c>
      <c r="AG121" s="602">
        <v>0</v>
      </c>
      <c r="AH121" s="602">
        <v>0</v>
      </c>
      <c r="AI121" s="602">
        <v>0</v>
      </c>
      <c r="AJ121" s="498">
        <v>0</v>
      </c>
      <c r="AK121" s="498">
        <v>0</v>
      </c>
      <c r="AL121" s="602">
        <v>3.15288963819645</v>
      </c>
      <c r="AM121" s="602">
        <v>2.84722098652745</v>
      </c>
      <c r="AN121" s="498">
        <v>17409.614031000001</v>
      </c>
      <c r="AO121" s="603">
        <v>15721.774031000001</v>
      </c>
    </row>
    <row r="122" spans="1:41" ht="12" thickBot="1">
      <c r="A122" s="918"/>
      <c r="B122" s="918"/>
      <c r="C122" s="917" t="s">
        <v>334</v>
      </c>
      <c r="D122" s="917" t="s">
        <v>335</v>
      </c>
      <c r="E122" s="600" t="s">
        <v>336</v>
      </c>
      <c r="F122" s="600" t="s">
        <v>336</v>
      </c>
      <c r="G122" s="600" t="s">
        <v>336</v>
      </c>
      <c r="H122" s="601">
        <v>170311</v>
      </c>
      <c r="I122" s="602">
        <v>3966848388.3849802</v>
      </c>
      <c r="J122" s="602">
        <v>1.42629826465112</v>
      </c>
      <c r="K122" s="602">
        <v>4005195185.0763202</v>
      </c>
      <c r="L122" s="602">
        <v>17331987.698798001</v>
      </c>
      <c r="M122" s="498">
        <v>1.3089419960108899</v>
      </c>
      <c r="N122" s="602">
        <v>3.2944203109613999</v>
      </c>
      <c r="O122" s="602">
        <v>1.98547831495051</v>
      </c>
      <c r="P122" s="498">
        <v>43622140.994992003</v>
      </c>
      <c r="Q122" s="602">
        <v>26290153.296193998</v>
      </c>
      <c r="R122" s="602">
        <v>-0.24385009657186901</v>
      </c>
      <c r="S122" s="602">
        <v>-3228872.5451659998</v>
      </c>
      <c r="T122" s="602">
        <v>0</v>
      </c>
      <c r="U122" s="602">
        <v>0</v>
      </c>
      <c r="V122" s="602">
        <v>2.9543921967500002E-4</v>
      </c>
      <c r="W122" s="602">
        <v>3911.9754250000001</v>
      </c>
      <c r="X122" s="602">
        <v>0</v>
      </c>
      <c r="Y122" s="602">
        <v>0</v>
      </c>
      <c r="Z122" s="602">
        <v>0</v>
      </c>
      <c r="AA122" s="602">
        <v>0</v>
      </c>
      <c r="AB122" s="602">
        <v>0</v>
      </c>
      <c r="AC122" s="602">
        <v>0</v>
      </c>
      <c r="AD122" s="602">
        <v>0</v>
      </c>
      <c r="AE122" s="602">
        <v>0</v>
      </c>
      <c r="AF122" s="602">
        <v>0</v>
      </c>
      <c r="AG122" s="602">
        <v>0</v>
      </c>
      <c r="AH122" s="602">
        <v>0</v>
      </c>
      <c r="AI122" s="602">
        <v>0</v>
      </c>
      <c r="AJ122" s="498">
        <v>0</v>
      </c>
      <c r="AK122" s="498">
        <v>0</v>
      </c>
      <c r="AL122" s="602">
        <v>3.0508656467701099</v>
      </c>
      <c r="AM122" s="602">
        <v>1.74192365075922</v>
      </c>
      <c r="AN122" s="498">
        <v>40397180.334693</v>
      </c>
      <c r="AO122" s="603">
        <v>23065192.635894999</v>
      </c>
    </row>
    <row r="123" spans="1:41" ht="12" thickBot="1">
      <c r="A123" s="918"/>
      <c r="B123" s="918"/>
      <c r="C123" s="918"/>
      <c r="D123" s="918"/>
      <c r="E123" s="600" t="s">
        <v>337</v>
      </c>
      <c r="F123" s="600" t="s">
        <v>337</v>
      </c>
      <c r="G123" s="600" t="s">
        <v>337</v>
      </c>
      <c r="H123" s="601">
        <v>170312</v>
      </c>
      <c r="I123" s="602">
        <v>5871964590.5108099</v>
      </c>
      <c r="J123" s="602">
        <v>1.6862610862983201</v>
      </c>
      <c r="K123" s="602">
        <v>5834333051.8656998</v>
      </c>
      <c r="L123" s="602">
        <v>31524945.162142999</v>
      </c>
      <c r="M123" s="498">
        <v>1.63440182192835</v>
      </c>
      <c r="N123" s="602">
        <v>3.4999505111717402</v>
      </c>
      <c r="O123" s="602">
        <v>1.8655486892433899</v>
      </c>
      <c r="P123" s="498">
        <v>67508336.355574995</v>
      </c>
      <c r="Q123" s="602">
        <v>35983391.193432003</v>
      </c>
      <c r="R123" s="602">
        <v>-0.27315745564372201</v>
      </c>
      <c r="S123" s="602">
        <v>-5268761.75385</v>
      </c>
      <c r="T123" s="602">
        <v>0</v>
      </c>
      <c r="U123" s="602">
        <v>0</v>
      </c>
      <c r="V123" s="602">
        <v>4.0552548117800001E-4</v>
      </c>
      <c r="W123" s="602">
        <v>7821.9250519999996</v>
      </c>
      <c r="X123" s="602">
        <v>0</v>
      </c>
      <c r="Y123" s="602">
        <v>0</v>
      </c>
      <c r="Z123" s="602">
        <v>0</v>
      </c>
      <c r="AA123" s="602">
        <v>0</v>
      </c>
      <c r="AB123" s="602">
        <v>0</v>
      </c>
      <c r="AC123" s="602">
        <v>0</v>
      </c>
      <c r="AD123" s="602">
        <v>0</v>
      </c>
      <c r="AE123" s="602">
        <v>0</v>
      </c>
      <c r="AF123" s="602">
        <v>0</v>
      </c>
      <c r="AG123" s="602">
        <v>0</v>
      </c>
      <c r="AH123" s="602">
        <v>0</v>
      </c>
      <c r="AI123" s="602">
        <v>0</v>
      </c>
      <c r="AJ123" s="498">
        <v>0</v>
      </c>
      <c r="AK123" s="498">
        <v>0</v>
      </c>
      <c r="AL123" s="602">
        <v>3.22719859386953</v>
      </c>
      <c r="AM123" s="602">
        <v>1.59279677194119</v>
      </c>
      <c r="AN123" s="498">
        <v>62247396.774831899</v>
      </c>
      <c r="AO123" s="603">
        <v>30722451.612689</v>
      </c>
    </row>
    <row r="124" spans="1:41" ht="12" thickBot="1">
      <c r="A124" s="918"/>
      <c r="B124" s="918"/>
      <c r="C124" s="918"/>
      <c r="D124" s="918"/>
      <c r="E124" s="600" t="s">
        <v>338</v>
      </c>
      <c r="F124" s="600" t="s">
        <v>338</v>
      </c>
      <c r="G124" s="600" t="s">
        <v>338</v>
      </c>
      <c r="H124" s="601">
        <v>170313</v>
      </c>
      <c r="I124" s="602">
        <v>5171.87</v>
      </c>
      <c r="J124" s="602">
        <v>0.35</v>
      </c>
      <c r="K124" s="602">
        <v>5171.87</v>
      </c>
      <c r="L124" s="602">
        <v>5.22</v>
      </c>
      <c r="M124" s="498">
        <v>0.30529424536199301</v>
      </c>
      <c r="N124" s="602">
        <v>1.8587716724486101</v>
      </c>
      <c r="O124" s="602">
        <v>1.5534774270866101</v>
      </c>
      <c r="P124" s="498">
        <v>31.781759000000001</v>
      </c>
      <c r="Q124" s="602">
        <v>26.561758999999999</v>
      </c>
      <c r="R124" s="602">
        <v>-3.9458696358161002E-2</v>
      </c>
      <c r="S124" s="602">
        <v>-0.67467500000000002</v>
      </c>
      <c r="T124" s="602">
        <v>0</v>
      </c>
      <c r="U124" s="602">
        <v>0</v>
      </c>
      <c r="V124" s="602">
        <v>0</v>
      </c>
      <c r="W124" s="602">
        <v>0</v>
      </c>
      <c r="X124" s="602">
        <v>0</v>
      </c>
      <c r="Y124" s="602">
        <v>0</v>
      </c>
      <c r="Z124" s="602">
        <v>0</v>
      </c>
      <c r="AA124" s="602">
        <v>0</v>
      </c>
      <c r="AB124" s="602">
        <v>0</v>
      </c>
      <c r="AC124" s="602">
        <v>0</v>
      </c>
      <c r="AD124" s="602">
        <v>0</v>
      </c>
      <c r="AE124" s="602">
        <v>0</v>
      </c>
      <c r="AF124" s="602">
        <v>0</v>
      </c>
      <c r="AG124" s="602">
        <v>0</v>
      </c>
      <c r="AH124" s="602">
        <v>0</v>
      </c>
      <c r="AI124" s="602">
        <v>0</v>
      </c>
      <c r="AJ124" s="498">
        <v>0</v>
      </c>
      <c r="AK124" s="498">
        <v>0</v>
      </c>
      <c r="AL124" s="602">
        <v>1.81931122152582</v>
      </c>
      <c r="AM124" s="602">
        <v>1.51401697616382</v>
      </c>
      <c r="AN124" s="498">
        <v>31.107054000000002</v>
      </c>
      <c r="AO124" s="603">
        <v>25.887053999999999</v>
      </c>
    </row>
    <row r="125" spans="1:41" ht="12" thickBot="1">
      <c r="A125" s="918"/>
      <c r="B125" s="918"/>
      <c r="C125" s="918"/>
      <c r="D125" s="918"/>
      <c r="E125" s="600" t="s">
        <v>339</v>
      </c>
      <c r="F125" s="600" t="s">
        <v>339</v>
      </c>
      <c r="G125" s="600" t="s">
        <v>339</v>
      </c>
      <c r="H125" s="601">
        <v>170314</v>
      </c>
      <c r="I125" s="602">
        <v>50916513859.9767</v>
      </c>
      <c r="J125" s="602">
        <v>2.1870369087695498</v>
      </c>
      <c r="K125" s="602">
        <v>50899067079.026299</v>
      </c>
      <c r="L125" s="602">
        <v>384735301.23881203</v>
      </c>
      <c r="M125" s="498">
        <v>2.2863774569303001</v>
      </c>
      <c r="N125" s="602">
        <v>3.9756346738233699</v>
      </c>
      <c r="O125" s="602">
        <v>1.68925721689307</v>
      </c>
      <c r="P125" s="498">
        <v>668991464.73500896</v>
      </c>
      <c r="Q125" s="602">
        <v>284256163.49619597</v>
      </c>
      <c r="R125" s="602">
        <v>-0.340771745189278</v>
      </c>
      <c r="S125" s="602">
        <v>-57342640.272134997</v>
      </c>
      <c r="T125" s="602">
        <v>0</v>
      </c>
      <c r="U125" s="602">
        <v>0</v>
      </c>
      <c r="V125" s="602">
        <v>7.6854768604300004E-4</v>
      </c>
      <c r="W125" s="602">
        <v>129325.72642799999</v>
      </c>
      <c r="X125" s="602">
        <v>0</v>
      </c>
      <c r="Y125" s="602">
        <v>0</v>
      </c>
      <c r="Z125" s="602">
        <v>0</v>
      </c>
      <c r="AA125" s="602">
        <v>0</v>
      </c>
      <c r="AB125" s="602">
        <v>0</v>
      </c>
      <c r="AC125" s="602">
        <v>0</v>
      </c>
      <c r="AD125" s="602">
        <v>0</v>
      </c>
      <c r="AE125" s="602">
        <v>0</v>
      </c>
      <c r="AF125" s="602">
        <v>0</v>
      </c>
      <c r="AG125" s="602">
        <v>0</v>
      </c>
      <c r="AH125" s="602">
        <v>0</v>
      </c>
      <c r="AI125" s="602">
        <v>0</v>
      </c>
      <c r="AJ125" s="498">
        <v>0</v>
      </c>
      <c r="AK125" s="498">
        <v>0</v>
      </c>
      <c r="AL125" s="602">
        <v>3.6356314974488302</v>
      </c>
      <c r="AM125" s="602">
        <v>1.34925404051853</v>
      </c>
      <c r="AN125" s="498">
        <v>611778153.74468601</v>
      </c>
      <c r="AO125" s="603">
        <v>227042852.50587401</v>
      </c>
    </row>
    <row r="126" spans="1:41" ht="12" thickBot="1">
      <c r="A126" s="918"/>
      <c r="B126" s="918"/>
      <c r="C126" s="918"/>
      <c r="D126" s="918"/>
      <c r="E126" s="600" t="s">
        <v>340</v>
      </c>
      <c r="F126" s="600" t="s">
        <v>340</v>
      </c>
      <c r="G126" s="600" t="s">
        <v>340</v>
      </c>
      <c r="H126" s="601">
        <v>170315</v>
      </c>
      <c r="I126" s="602">
        <v>17254469836.456902</v>
      </c>
      <c r="J126" s="602">
        <v>3.45702462353738</v>
      </c>
      <c r="K126" s="602">
        <v>17564113887.563099</v>
      </c>
      <c r="L126" s="602">
        <v>197145801.65653199</v>
      </c>
      <c r="M126" s="498">
        <v>3.3951346548123298</v>
      </c>
      <c r="N126" s="602">
        <v>5.0426676985701198</v>
      </c>
      <c r="O126" s="602">
        <v>1.64753304375779</v>
      </c>
      <c r="P126" s="498">
        <v>292813354.10746998</v>
      </c>
      <c r="Q126" s="602">
        <v>95667552.450937793</v>
      </c>
      <c r="R126" s="602">
        <v>-0.49324789170202299</v>
      </c>
      <c r="S126" s="602">
        <v>-28641500.532875001</v>
      </c>
      <c r="T126" s="602">
        <v>0</v>
      </c>
      <c r="U126" s="602">
        <v>0</v>
      </c>
      <c r="V126" s="602">
        <v>7.3762050106E-5</v>
      </c>
      <c r="W126" s="602">
        <v>4283.1522100000002</v>
      </c>
      <c r="X126" s="602">
        <v>0</v>
      </c>
      <c r="Y126" s="602">
        <v>0</v>
      </c>
      <c r="Z126" s="602">
        <v>0</v>
      </c>
      <c r="AA126" s="602">
        <v>0</v>
      </c>
      <c r="AB126" s="602">
        <v>0</v>
      </c>
      <c r="AC126" s="602">
        <v>0</v>
      </c>
      <c r="AD126" s="602">
        <v>0</v>
      </c>
      <c r="AE126" s="602">
        <v>0</v>
      </c>
      <c r="AF126" s="602">
        <v>0</v>
      </c>
      <c r="AG126" s="602">
        <v>0</v>
      </c>
      <c r="AH126" s="602">
        <v>0</v>
      </c>
      <c r="AI126" s="602">
        <v>0</v>
      </c>
      <c r="AJ126" s="498">
        <v>0</v>
      </c>
      <c r="AK126" s="498">
        <v>0</v>
      </c>
      <c r="AL126" s="602">
        <v>4.54949356241488</v>
      </c>
      <c r="AM126" s="602">
        <v>1.15435890760256</v>
      </c>
      <c r="AN126" s="498">
        <v>264176136.34917599</v>
      </c>
      <c r="AO126" s="603">
        <v>67030334.692643903</v>
      </c>
    </row>
    <row r="127" spans="1:41" ht="12" thickBot="1">
      <c r="A127" s="918"/>
      <c r="B127" s="918"/>
      <c r="C127" s="918"/>
      <c r="D127" s="918"/>
      <c r="E127" s="600" t="s">
        <v>341</v>
      </c>
      <c r="F127" s="600" t="s">
        <v>341</v>
      </c>
      <c r="G127" s="600" t="s">
        <v>341</v>
      </c>
      <c r="H127" s="601">
        <v>170316</v>
      </c>
      <c r="I127" s="602">
        <v>16708569432.98</v>
      </c>
      <c r="J127" s="602">
        <v>4.35275583967596</v>
      </c>
      <c r="K127" s="602">
        <v>16740780377.1427</v>
      </c>
      <c r="L127" s="602">
        <v>230638750.84999999</v>
      </c>
      <c r="M127" s="498">
        <v>4.1672762736873503</v>
      </c>
      <c r="N127" s="602">
        <v>5.4004368896444603</v>
      </c>
      <c r="O127" s="602">
        <v>1.23316061595713</v>
      </c>
      <c r="P127" s="498">
        <v>298888275.331397</v>
      </c>
      <c r="Q127" s="602">
        <v>68249524.481397003</v>
      </c>
      <c r="R127" s="602">
        <v>-0.54476568129588199</v>
      </c>
      <c r="S127" s="602">
        <v>-30150167.156750001</v>
      </c>
      <c r="T127" s="602">
        <v>0</v>
      </c>
      <c r="U127" s="602">
        <v>0</v>
      </c>
      <c r="V127" s="602">
        <v>2.4179890422499999E-4</v>
      </c>
      <c r="W127" s="602">
        <v>13382.409412000001</v>
      </c>
      <c r="X127" s="602">
        <v>0</v>
      </c>
      <c r="Y127" s="602">
        <v>0</v>
      </c>
      <c r="Z127" s="602">
        <v>0</v>
      </c>
      <c r="AA127" s="602">
        <v>0</v>
      </c>
      <c r="AB127" s="602">
        <v>0</v>
      </c>
      <c r="AC127" s="602">
        <v>0</v>
      </c>
      <c r="AD127" s="602">
        <v>0</v>
      </c>
      <c r="AE127" s="602">
        <v>0</v>
      </c>
      <c r="AF127" s="602">
        <v>0</v>
      </c>
      <c r="AG127" s="602">
        <v>0</v>
      </c>
      <c r="AH127" s="602">
        <v>0</v>
      </c>
      <c r="AI127" s="602">
        <v>0</v>
      </c>
      <c r="AJ127" s="498">
        <v>0</v>
      </c>
      <c r="AK127" s="498">
        <v>0</v>
      </c>
      <c r="AL127" s="602">
        <v>4.8559129998093997</v>
      </c>
      <c r="AM127" s="602">
        <v>0.68863672612206195</v>
      </c>
      <c r="AN127" s="498">
        <v>268751490.17210197</v>
      </c>
      <c r="AO127" s="603">
        <v>38112739.322102003</v>
      </c>
    </row>
    <row r="128" spans="1:41" ht="12" thickBot="1">
      <c r="A128" s="918"/>
      <c r="B128" s="918"/>
      <c r="C128" s="918"/>
      <c r="D128" s="918"/>
      <c r="E128" s="600" t="s">
        <v>342</v>
      </c>
      <c r="F128" s="600" t="s">
        <v>342</v>
      </c>
      <c r="G128" s="600" t="s">
        <v>342</v>
      </c>
      <c r="H128" s="601">
        <v>170317</v>
      </c>
      <c r="I128" s="602">
        <v>6310603207.9899998</v>
      </c>
      <c r="J128" s="602">
        <v>5.1220330663243301</v>
      </c>
      <c r="K128" s="602">
        <v>6347418000.0171299</v>
      </c>
      <c r="L128" s="602">
        <v>103347225.09999999</v>
      </c>
      <c r="M128" s="498">
        <v>4.9249002223297298</v>
      </c>
      <c r="N128" s="602">
        <v>5.8263126312914997</v>
      </c>
      <c r="O128" s="602">
        <v>0.90141240896177</v>
      </c>
      <c r="P128" s="498">
        <v>122263033.934973</v>
      </c>
      <c r="Q128" s="602">
        <v>18915808.834973</v>
      </c>
      <c r="R128" s="602">
        <v>-0.60558361827826501</v>
      </c>
      <c r="S128" s="602">
        <v>-12707950.149185</v>
      </c>
      <c r="T128" s="602">
        <v>0</v>
      </c>
      <c r="U128" s="602">
        <v>0</v>
      </c>
      <c r="V128" s="602">
        <v>2.48346538668E-4</v>
      </c>
      <c r="W128" s="602">
        <v>5211.4610400000001</v>
      </c>
      <c r="X128" s="602">
        <v>0</v>
      </c>
      <c r="Y128" s="602">
        <v>0</v>
      </c>
      <c r="Z128" s="602">
        <v>0</v>
      </c>
      <c r="AA128" s="602">
        <v>0</v>
      </c>
      <c r="AB128" s="602">
        <v>0</v>
      </c>
      <c r="AC128" s="602">
        <v>0</v>
      </c>
      <c r="AD128" s="602">
        <v>0</v>
      </c>
      <c r="AE128" s="602">
        <v>0</v>
      </c>
      <c r="AF128" s="602">
        <v>0</v>
      </c>
      <c r="AG128" s="602">
        <v>0</v>
      </c>
      <c r="AH128" s="602">
        <v>-4.9304420807865998E-2</v>
      </c>
      <c r="AI128" s="602">
        <v>-1034635.189674</v>
      </c>
      <c r="AJ128" s="498">
        <v>0</v>
      </c>
      <c r="AK128" s="498">
        <v>0</v>
      </c>
      <c r="AL128" s="602">
        <v>5.1716729421466301</v>
      </c>
      <c r="AM128" s="602">
        <v>0.246772719816891</v>
      </c>
      <c r="AN128" s="498">
        <v>108525660.128556</v>
      </c>
      <c r="AO128" s="603">
        <v>5178435.0285560004</v>
      </c>
    </row>
    <row r="129" spans="1:41" ht="12" thickBot="1">
      <c r="A129" s="918"/>
      <c r="B129" s="918"/>
      <c r="C129" s="918"/>
      <c r="D129" s="918"/>
      <c r="E129" s="600" t="s">
        <v>343</v>
      </c>
      <c r="F129" s="600" t="s">
        <v>343</v>
      </c>
      <c r="G129" s="600" t="s">
        <v>343</v>
      </c>
      <c r="H129" s="601">
        <v>170318</v>
      </c>
      <c r="I129" s="602">
        <v>135161.23000000001</v>
      </c>
      <c r="J129" s="602">
        <v>0.35</v>
      </c>
      <c r="K129" s="602">
        <v>141257.09776800001</v>
      </c>
      <c r="L129" s="602">
        <v>142.52000000000001</v>
      </c>
      <c r="M129" s="498">
        <v>0.30518364070245502</v>
      </c>
      <c r="N129" s="602">
        <v>1.8681840976787201</v>
      </c>
      <c r="O129" s="602">
        <v>1.56300045697755</v>
      </c>
      <c r="P129" s="498">
        <v>872.43732</v>
      </c>
      <c r="Q129" s="602">
        <v>729.91732000000002</v>
      </c>
      <c r="R129" s="602">
        <v>-3.9701464444748001E-2</v>
      </c>
      <c r="S129" s="602">
        <v>-18.540485</v>
      </c>
      <c r="T129" s="602">
        <v>0</v>
      </c>
      <c r="U129" s="602">
        <v>0</v>
      </c>
      <c r="V129" s="602">
        <v>0</v>
      </c>
      <c r="W129" s="602">
        <v>0</v>
      </c>
      <c r="X129" s="602">
        <v>0</v>
      </c>
      <c r="Y129" s="602">
        <v>0</v>
      </c>
      <c r="Z129" s="602">
        <v>0</v>
      </c>
      <c r="AA129" s="602">
        <v>0</v>
      </c>
      <c r="AB129" s="602">
        <v>0</v>
      </c>
      <c r="AC129" s="602">
        <v>0</v>
      </c>
      <c r="AD129" s="602">
        <v>0</v>
      </c>
      <c r="AE129" s="602">
        <v>0</v>
      </c>
      <c r="AF129" s="602">
        <v>0</v>
      </c>
      <c r="AG129" s="602">
        <v>0</v>
      </c>
      <c r="AH129" s="602">
        <v>0</v>
      </c>
      <c r="AI129" s="602">
        <v>0</v>
      </c>
      <c r="AJ129" s="498">
        <v>0</v>
      </c>
      <c r="AK129" s="498">
        <v>0</v>
      </c>
      <c r="AL129" s="602">
        <v>1.82848152616168</v>
      </c>
      <c r="AM129" s="602">
        <v>1.5232978854605199</v>
      </c>
      <c r="AN129" s="498">
        <v>853.89631799999995</v>
      </c>
      <c r="AO129" s="603">
        <v>711.37631799999997</v>
      </c>
    </row>
    <row r="130" spans="1:41" ht="12" thickBot="1">
      <c r="A130" s="918"/>
      <c r="B130" s="918"/>
      <c r="C130" s="918"/>
      <c r="D130" s="918"/>
      <c r="E130" s="600" t="s">
        <v>344</v>
      </c>
      <c r="F130" s="600" t="s">
        <v>344</v>
      </c>
      <c r="G130" s="600" t="s">
        <v>344</v>
      </c>
      <c r="H130" s="601">
        <v>170319</v>
      </c>
      <c r="I130" s="602">
        <v>147494.247149</v>
      </c>
      <c r="J130" s="602">
        <v>0.12916576876896299</v>
      </c>
      <c r="K130" s="602">
        <v>143666.77280800001</v>
      </c>
      <c r="L130" s="602">
        <v>59.502808000000002</v>
      </c>
      <c r="M130" s="498">
        <v>0.125278585099103</v>
      </c>
      <c r="N130" s="602">
        <v>0.83654746268717795</v>
      </c>
      <c r="O130" s="602">
        <v>0.71126887758580604</v>
      </c>
      <c r="P130" s="498">
        <v>397.32986299999999</v>
      </c>
      <c r="Q130" s="602">
        <v>337.82705499999997</v>
      </c>
      <c r="R130" s="602">
        <v>-4.1826928574276001E-2</v>
      </c>
      <c r="S130" s="602">
        <v>-19.866282000000002</v>
      </c>
      <c r="T130" s="602">
        <v>0</v>
      </c>
      <c r="U130" s="602">
        <v>0</v>
      </c>
      <c r="V130" s="602">
        <v>0</v>
      </c>
      <c r="W130" s="602">
        <v>0</v>
      </c>
      <c r="X130" s="602">
        <v>0</v>
      </c>
      <c r="Y130" s="602">
        <v>0</v>
      </c>
      <c r="Z130" s="602">
        <v>0</v>
      </c>
      <c r="AA130" s="602">
        <v>0</v>
      </c>
      <c r="AB130" s="602">
        <v>0</v>
      </c>
      <c r="AC130" s="602">
        <v>0</v>
      </c>
      <c r="AD130" s="602">
        <v>0</v>
      </c>
      <c r="AE130" s="602">
        <v>0</v>
      </c>
      <c r="AF130" s="602">
        <v>0</v>
      </c>
      <c r="AG130" s="602">
        <v>0</v>
      </c>
      <c r="AH130" s="602">
        <v>0</v>
      </c>
      <c r="AI130" s="602">
        <v>0</v>
      </c>
      <c r="AJ130" s="498">
        <v>0</v>
      </c>
      <c r="AK130" s="498">
        <v>0</v>
      </c>
      <c r="AL130" s="602">
        <v>0.79472064780574903</v>
      </c>
      <c r="AM130" s="602">
        <v>0.66944206270437501</v>
      </c>
      <c r="AN130" s="498">
        <v>377.46363500000001</v>
      </c>
      <c r="AO130" s="603">
        <v>317.96082699999999</v>
      </c>
    </row>
    <row r="131" spans="1:41" ht="12" thickBot="1">
      <c r="A131" s="918"/>
      <c r="B131" s="918"/>
      <c r="C131" s="918"/>
      <c r="D131" s="918"/>
      <c r="E131" s="600" t="s">
        <v>345</v>
      </c>
      <c r="F131" s="600" t="s">
        <v>345</v>
      </c>
      <c r="G131" s="600" t="s">
        <v>345</v>
      </c>
      <c r="H131" s="601">
        <v>170320</v>
      </c>
      <c r="I131" s="602">
        <v>154918660.36000001</v>
      </c>
      <c r="J131" s="602">
        <v>2.0798207868455898</v>
      </c>
      <c r="K131" s="602">
        <v>150970916.22777399</v>
      </c>
      <c r="L131" s="602">
        <v>1045492.8</v>
      </c>
      <c r="M131" s="498">
        <v>2.0947079001095199</v>
      </c>
      <c r="N131" s="602">
        <v>3.8094584267879101</v>
      </c>
      <c r="O131" s="602">
        <v>1.71475052667837</v>
      </c>
      <c r="P131" s="498">
        <v>1901344.5057890001</v>
      </c>
      <c r="Q131" s="602">
        <v>855851.70578900003</v>
      </c>
      <c r="R131" s="602">
        <v>-0.31749906776363002</v>
      </c>
      <c r="S131" s="602">
        <v>-158467.43564400001</v>
      </c>
      <c r="T131" s="602">
        <v>0</v>
      </c>
      <c r="U131" s="602">
        <v>0</v>
      </c>
      <c r="V131" s="602">
        <v>0</v>
      </c>
      <c r="W131" s="602">
        <v>0</v>
      </c>
      <c r="X131" s="602">
        <v>0</v>
      </c>
      <c r="Y131" s="602">
        <v>0</v>
      </c>
      <c r="Z131" s="602">
        <v>0</v>
      </c>
      <c r="AA131" s="602">
        <v>0</v>
      </c>
      <c r="AB131" s="602">
        <v>0</v>
      </c>
      <c r="AC131" s="602">
        <v>0</v>
      </c>
      <c r="AD131" s="602">
        <v>0</v>
      </c>
      <c r="AE131" s="602">
        <v>0</v>
      </c>
      <c r="AF131" s="602">
        <v>0</v>
      </c>
      <c r="AG131" s="602">
        <v>0</v>
      </c>
      <c r="AH131" s="602">
        <v>0</v>
      </c>
      <c r="AI131" s="602">
        <v>0</v>
      </c>
      <c r="AJ131" s="498">
        <v>0</v>
      </c>
      <c r="AK131" s="498">
        <v>0</v>
      </c>
      <c r="AL131" s="602">
        <v>3.4919593816805401</v>
      </c>
      <c r="AM131" s="602">
        <v>1.397251481571</v>
      </c>
      <c r="AN131" s="498">
        <v>1742877.081453</v>
      </c>
      <c r="AO131" s="603">
        <v>697384.28145300003</v>
      </c>
    </row>
    <row r="132" spans="1:41" ht="12" thickBot="1">
      <c r="A132" s="918"/>
      <c r="B132" s="918"/>
      <c r="C132" s="918"/>
      <c r="D132" s="919"/>
      <c r="E132" s="600" t="s">
        <v>331</v>
      </c>
      <c r="F132" s="600" t="s">
        <v>331</v>
      </c>
      <c r="G132" s="600" t="s">
        <v>331</v>
      </c>
      <c r="H132" s="601">
        <v>170321</v>
      </c>
      <c r="I132" s="602">
        <v>4809245.34</v>
      </c>
      <c r="J132" s="602">
        <v>2.1489244411889401</v>
      </c>
      <c r="K132" s="602">
        <v>6111856.0681800004</v>
      </c>
      <c r="L132" s="602">
        <v>27702.52</v>
      </c>
      <c r="M132" s="498">
        <v>1.37101395065731</v>
      </c>
      <c r="N132" s="602">
        <v>3.8081923084531999</v>
      </c>
      <c r="O132" s="602">
        <v>2.4371783577966002</v>
      </c>
      <c r="P132" s="498">
        <v>76947.811900999994</v>
      </c>
      <c r="Q132" s="602">
        <v>49245.291900999997</v>
      </c>
      <c r="R132" s="602">
        <v>-0.31524264206626901</v>
      </c>
      <c r="S132" s="602">
        <v>-6369.749624</v>
      </c>
      <c r="T132" s="602">
        <v>0</v>
      </c>
      <c r="U132" s="602">
        <v>0</v>
      </c>
      <c r="V132" s="602">
        <v>4.3712217679149996E-3</v>
      </c>
      <c r="W132" s="602">
        <v>88.324308000000002</v>
      </c>
      <c r="X132" s="602">
        <v>0</v>
      </c>
      <c r="Y132" s="602">
        <v>0</v>
      </c>
      <c r="Z132" s="602">
        <v>0</v>
      </c>
      <c r="AA132" s="602">
        <v>0</v>
      </c>
      <c r="AB132" s="602">
        <v>0</v>
      </c>
      <c r="AC132" s="602">
        <v>0</v>
      </c>
      <c r="AD132" s="602">
        <v>0</v>
      </c>
      <c r="AE132" s="602">
        <v>0</v>
      </c>
      <c r="AF132" s="602">
        <v>0</v>
      </c>
      <c r="AG132" s="602">
        <v>0</v>
      </c>
      <c r="AH132" s="602">
        <v>-4.1775765864000001E-4</v>
      </c>
      <c r="AI132" s="602">
        <v>-8.4411539999999992</v>
      </c>
      <c r="AJ132" s="498">
        <v>0</v>
      </c>
      <c r="AK132" s="498">
        <v>0</v>
      </c>
      <c r="AL132" s="602">
        <v>3.4969031131250201</v>
      </c>
      <c r="AM132" s="602">
        <v>2.1258891624684102</v>
      </c>
      <c r="AN132" s="498">
        <v>70657.945080000005</v>
      </c>
      <c r="AO132" s="603">
        <v>42955.425080000001</v>
      </c>
    </row>
    <row r="133" spans="1:41" ht="12" thickBot="1">
      <c r="A133" s="918"/>
      <c r="B133" s="918"/>
      <c r="C133" s="918"/>
      <c r="D133" s="917" t="s">
        <v>346</v>
      </c>
      <c r="E133" s="600" t="s">
        <v>347</v>
      </c>
      <c r="F133" s="600" t="s">
        <v>347</v>
      </c>
      <c r="G133" s="600" t="s">
        <v>347</v>
      </c>
      <c r="H133" s="601">
        <v>170331</v>
      </c>
      <c r="I133" s="602">
        <v>691881.23</v>
      </c>
      <c r="J133" s="602">
        <v>1.4528904448672499</v>
      </c>
      <c r="K133" s="602">
        <v>764952.78371800005</v>
      </c>
      <c r="L133" s="602">
        <v>2991.38</v>
      </c>
      <c r="M133" s="498">
        <v>1.18285816312771</v>
      </c>
      <c r="N133" s="602">
        <v>3.7557790608804198</v>
      </c>
      <c r="O133" s="602">
        <v>2.5729208977565201</v>
      </c>
      <c r="P133" s="498">
        <v>9498.1483980000103</v>
      </c>
      <c r="Q133" s="602">
        <v>6506.7683980000002</v>
      </c>
      <c r="R133" s="602">
        <v>-0.30748971194018798</v>
      </c>
      <c r="S133" s="602">
        <v>-777.62372800000003</v>
      </c>
      <c r="T133" s="602">
        <v>0</v>
      </c>
      <c r="U133" s="602">
        <v>0</v>
      </c>
      <c r="V133" s="602">
        <v>8.2379618957000001E-4</v>
      </c>
      <c r="W133" s="602">
        <v>2.0833330000000001</v>
      </c>
      <c r="X133" s="602">
        <v>0</v>
      </c>
      <c r="Y133" s="602">
        <v>0</v>
      </c>
      <c r="Z133" s="602">
        <v>0</v>
      </c>
      <c r="AA133" s="602">
        <v>0</v>
      </c>
      <c r="AB133" s="602">
        <v>0</v>
      </c>
      <c r="AC133" s="602">
        <v>0</v>
      </c>
      <c r="AD133" s="602">
        <v>0</v>
      </c>
      <c r="AE133" s="602">
        <v>0</v>
      </c>
      <c r="AF133" s="602">
        <v>0</v>
      </c>
      <c r="AG133" s="602">
        <v>0</v>
      </c>
      <c r="AH133" s="602">
        <v>0</v>
      </c>
      <c r="AI133" s="602">
        <v>0</v>
      </c>
      <c r="AJ133" s="498">
        <v>0</v>
      </c>
      <c r="AK133" s="498">
        <v>0</v>
      </c>
      <c r="AL133" s="602">
        <v>3.4491133313736801</v>
      </c>
      <c r="AM133" s="602">
        <v>2.26625516824978</v>
      </c>
      <c r="AN133" s="498">
        <v>8722.6084740000006</v>
      </c>
      <c r="AO133" s="603">
        <v>5731.2284739999996</v>
      </c>
    </row>
    <row r="134" spans="1:41" ht="12" thickBot="1">
      <c r="A134" s="918"/>
      <c r="B134" s="918"/>
      <c r="C134" s="918"/>
      <c r="D134" s="918"/>
      <c r="E134" s="600" t="s">
        <v>348</v>
      </c>
      <c r="F134" s="600" t="s">
        <v>348</v>
      </c>
      <c r="G134" s="600" t="s">
        <v>348</v>
      </c>
      <c r="H134" s="601">
        <v>170332</v>
      </c>
      <c r="I134" s="602">
        <v>374830</v>
      </c>
      <c r="J134" s="602">
        <v>2.4849865272256801</v>
      </c>
      <c r="K134" s="602">
        <v>349709.33884400001</v>
      </c>
      <c r="L134" s="602">
        <v>2924.16</v>
      </c>
      <c r="M134" s="498">
        <v>2.5292375273559302</v>
      </c>
      <c r="N134" s="602">
        <v>4.7165935647286901</v>
      </c>
      <c r="O134" s="602">
        <v>2.1873560373629601</v>
      </c>
      <c r="P134" s="498">
        <v>5453.0561440000001</v>
      </c>
      <c r="Q134" s="602">
        <v>2528.8961439999998</v>
      </c>
      <c r="R134" s="602">
        <v>-0.444903766396268</v>
      </c>
      <c r="S134" s="602">
        <v>-514.37232900000004</v>
      </c>
      <c r="T134" s="602">
        <v>0</v>
      </c>
      <c r="U134" s="602">
        <v>0</v>
      </c>
      <c r="V134" s="602">
        <v>0</v>
      </c>
      <c r="W134" s="602">
        <v>0</v>
      </c>
      <c r="X134" s="602">
        <v>0</v>
      </c>
      <c r="Y134" s="602">
        <v>0</v>
      </c>
      <c r="Z134" s="602">
        <v>0</v>
      </c>
      <c r="AA134" s="602">
        <v>0</v>
      </c>
      <c r="AB134" s="602">
        <v>0</v>
      </c>
      <c r="AC134" s="602">
        <v>0</v>
      </c>
      <c r="AD134" s="602">
        <v>0</v>
      </c>
      <c r="AE134" s="602">
        <v>0</v>
      </c>
      <c r="AF134" s="602">
        <v>0</v>
      </c>
      <c r="AG134" s="602">
        <v>0</v>
      </c>
      <c r="AH134" s="602">
        <v>0</v>
      </c>
      <c r="AI134" s="602">
        <v>0</v>
      </c>
      <c r="AJ134" s="498">
        <v>0</v>
      </c>
      <c r="AK134" s="498">
        <v>0</v>
      </c>
      <c r="AL134" s="602">
        <v>4.2716897689242996</v>
      </c>
      <c r="AM134" s="602">
        <v>1.7424522415585699</v>
      </c>
      <c r="AN134" s="498">
        <v>4938.6837809999997</v>
      </c>
      <c r="AO134" s="603">
        <v>2014.5237810000001</v>
      </c>
    </row>
    <row r="135" spans="1:41" ht="12" thickBot="1">
      <c r="A135" s="918"/>
      <c r="B135" s="918"/>
      <c r="C135" s="918"/>
      <c r="D135" s="919"/>
      <c r="E135" s="600" t="s">
        <v>349</v>
      </c>
      <c r="F135" s="600" t="s">
        <v>349</v>
      </c>
      <c r="G135" s="600" t="s">
        <v>349</v>
      </c>
      <c r="H135" s="601">
        <v>170333</v>
      </c>
      <c r="I135" s="602">
        <v>214850</v>
      </c>
      <c r="J135" s="602">
        <v>3.13614149406563</v>
      </c>
      <c r="K135" s="602">
        <v>210532.64462899999</v>
      </c>
      <c r="L135" s="602">
        <v>2172.02</v>
      </c>
      <c r="M135" s="498">
        <v>3.1206142625124298</v>
      </c>
      <c r="N135" s="602">
        <v>5.4103868533456296</v>
      </c>
      <c r="O135" s="602">
        <v>2.2897725908286599</v>
      </c>
      <c r="P135" s="498">
        <v>3765.7549009999998</v>
      </c>
      <c r="Q135" s="602">
        <v>1593.734901</v>
      </c>
      <c r="R135" s="602">
        <v>-0.54425069008205496</v>
      </c>
      <c r="S135" s="602">
        <v>-378.81112000000002</v>
      </c>
      <c r="T135" s="602">
        <v>0</v>
      </c>
      <c r="U135" s="602">
        <v>0</v>
      </c>
      <c r="V135" s="602">
        <v>0</v>
      </c>
      <c r="W135" s="602">
        <v>0</v>
      </c>
      <c r="X135" s="602">
        <v>0</v>
      </c>
      <c r="Y135" s="602">
        <v>0</v>
      </c>
      <c r="Z135" s="602">
        <v>0</v>
      </c>
      <c r="AA135" s="602">
        <v>0</v>
      </c>
      <c r="AB135" s="602">
        <v>0</v>
      </c>
      <c r="AC135" s="602">
        <v>0</v>
      </c>
      <c r="AD135" s="602">
        <v>0</v>
      </c>
      <c r="AE135" s="602">
        <v>0</v>
      </c>
      <c r="AF135" s="602">
        <v>0</v>
      </c>
      <c r="AG135" s="602">
        <v>0</v>
      </c>
      <c r="AH135" s="602">
        <v>0</v>
      </c>
      <c r="AI135" s="602">
        <v>0</v>
      </c>
      <c r="AJ135" s="498">
        <v>0</v>
      </c>
      <c r="AK135" s="498">
        <v>0</v>
      </c>
      <c r="AL135" s="602">
        <v>4.8661362983165404</v>
      </c>
      <c r="AM135" s="602">
        <v>1.74552203579957</v>
      </c>
      <c r="AN135" s="498">
        <v>3386.9438749999999</v>
      </c>
      <c r="AO135" s="603">
        <v>1214.923875</v>
      </c>
    </row>
    <row r="136" spans="1:41" ht="12" thickBot="1">
      <c r="A136" s="918"/>
      <c r="B136" s="918"/>
      <c r="C136" s="918"/>
      <c r="D136" s="600" t="s">
        <v>350</v>
      </c>
      <c r="E136" s="600" t="s">
        <v>351</v>
      </c>
      <c r="F136" s="600" t="s">
        <v>351</v>
      </c>
      <c r="G136" s="600" t="s">
        <v>351</v>
      </c>
      <c r="H136" s="601">
        <v>170342</v>
      </c>
      <c r="I136" s="602">
        <v>250000</v>
      </c>
      <c r="J136" s="602">
        <v>2.8919999999999999</v>
      </c>
      <c r="K136" s="602">
        <v>250000</v>
      </c>
      <c r="L136" s="602">
        <v>2408.6999999999998</v>
      </c>
      <c r="M136" s="498">
        <v>2.9143279338842998</v>
      </c>
      <c r="N136" s="602">
        <v>5.2388519421619799</v>
      </c>
      <c r="O136" s="602">
        <v>2.3245240082776899</v>
      </c>
      <c r="P136" s="498">
        <v>4329.9254440000004</v>
      </c>
      <c r="Q136" s="602">
        <v>1921.2254439999999</v>
      </c>
      <c r="R136" s="602">
        <v>-0.52269194661818197</v>
      </c>
      <c r="S136" s="602">
        <v>-432.00632200000001</v>
      </c>
      <c r="T136" s="602">
        <v>0</v>
      </c>
      <c r="U136" s="602">
        <v>0</v>
      </c>
      <c r="V136" s="602">
        <v>0</v>
      </c>
      <c r="W136" s="602">
        <v>0</v>
      </c>
      <c r="X136" s="602">
        <v>0</v>
      </c>
      <c r="Y136" s="602">
        <v>0</v>
      </c>
      <c r="Z136" s="602">
        <v>0</v>
      </c>
      <c r="AA136" s="602">
        <v>0</v>
      </c>
      <c r="AB136" s="602">
        <v>0</v>
      </c>
      <c r="AC136" s="602">
        <v>0</v>
      </c>
      <c r="AD136" s="602">
        <v>0</v>
      </c>
      <c r="AE136" s="602">
        <v>0</v>
      </c>
      <c r="AF136" s="602">
        <v>0</v>
      </c>
      <c r="AG136" s="602">
        <v>0</v>
      </c>
      <c r="AH136" s="602">
        <v>0</v>
      </c>
      <c r="AI136" s="602">
        <v>0</v>
      </c>
      <c r="AJ136" s="498">
        <v>0</v>
      </c>
      <c r="AK136" s="498">
        <v>0</v>
      </c>
      <c r="AL136" s="602">
        <v>4.7161600245818196</v>
      </c>
      <c r="AM136" s="602">
        <v>1.80183209069752</v>
      </c>
      <c r="AN136" s="498">
        <v>3897.9191460000002</v>
      </c>
      <c r="AO136" s="603">
        <v>1489.2191459999999</v>
      </c>
    </row>
    <row r="137" spans="1:41" ht="12" thickBot="1">
      <c r="A137" s="918"/>
      <c r="B137" s="918"/>
      <c r="C137" s="918"/>
      <c r="D137" s="600" t="s">
        <v>2672</v>
      </c>
      <c r="E137" s="600" t="s">
        <v>2672</v>
      </c>
      <c r="F137" s="600" t="s">
        <v>2672</v>
      </c>
      <c r="G137" s="600" t="s">
        <v>2672</v>
      </c>
      <c r="H137" s="601">
        <v>170402</v>
      </c>
      <c r="I137" s="602">
        <v>225300000</v>
      </c>
      <c r="J137" s="602">
        <v>2.5198544163337799</v>
      </c>
      <c r="K137" s="602">
        <v>137238842.975214</v>
      </c>
      <c r="L137" s="602">
        <v>935803.61</v>
      </c>
      <c r="M137" s="498">
        <v>2.0625447657759102</v>
      </c>
      <c r="N137" s="602">
        <v>0.15383454009000699</v>
      </c>
      <c r="O137" s="602">
        <v>-1.90871022568604</v>
      </c>
      <c r="P137" s="498">
        <v>69796.748340999999</v>
      </c>
      <c r="Q137" s="602">
        <v>-866006.86165900098</v>
      </c>
      <c r="R137" s="602">
        <v>-1.2142575519304E-2</v>
      </c>
      <c r="S137" s="602">
        <v>-5509.2457599999998</v>
      </c>
      <c r="T137" s="602">
        <v>0</v>
      </c>
      <c r="U137" s="602">
        <v>0</v>
      </c>
      <c r="V137" s="602">
        <v>6.6121080313600005E-4</v>
      </c>
      <c r="W137" s="602">
        <v>300.00001300000002</v>
      </c>
      <c r="X137" s="602">
        <v>0</v>
      </c>
      <c r="Y137" s="602">
        <v>0</v>
      </c>
      <c r="Z137" s="602">
        <v>0</v>
      </c>
      <c r="AA137" s="602">
        <v>0</v>
      </c>
      <c r="AB137" s="602">
        <v>0</v>
      </c>
      <c r="AC137" s="602">
        <v>0</v>
      </c>
      <c r="AD137" s="602">
        <v>0</v>
      </c>
      <c r="AE137" s="602">
        <v>0</v>
      </c>
      <c r="AF137" s="602">
        <v>0</v>
      </c>
      <c r="AG137" s="602">
        <v>0</v>
      </c>
      <c r="AH137" s="602">
        <v>0</v>
      </c>
      <c r="AI137" s="602">
        <v>0</v>
      </c>
      <c r="AJ137" s="498">
        <v>0</v>
      </c>
      <c r="AK137" s="498">
        <v>0</v>
      </c>
      <c r="AL137" s="602">
        <v>0.142270750707715</v>
      </c>
      <c r="AM137" s="602">
        <v>-1.9202740150683399</v>
      </c>
      <c r="AN137" s="498">
        <v>64550.105442000102</v>
      </c>
      <c r="AO137" s="603">
        <v>-871253.50455800095</v>
      </c>
    </row>
    <row r="138" spans="1:41" ht="12" thickBot="1">
      <c r="A138" s="918"/>
      <c r="B138" s="918"/>
      <c r="C138" s="918"/>
      <c r="D138" s="600" t="s">
        <v>352</v>
      </c>
      <c r="E138" s="600" t="s">
        <v>352</v>
      </c>
      <c r="F138" s="600" t="s">
        <v>352</v>
      </c>
      <c r="G138" s="600" t="s">
        <v>352</v>
      </c>
      <c r="H138" s="601">
        <v>170381</v>
      </c>
      <c r="I138" s="602">
        <v>43984.6</v>
      </c>
      <c r="J138" s="602">
        <v>1.01792231826594</v>
      </c>
      <c r="K138" s="602">
        <v>41558.236363000004</v>
      </c>
      <c r="L138" s="602">
        <v>153.96</v>
      </c>
      <c r="M138" s="498">
        <v>1.12058939656367</v>
      </c>
      <c r="N138" s="602">
        <v>3.2462241703899002</v>
      </c>
      <c r="O138" s="602">
        <v>2.12563477383982</v>
      </c>
      <c r="P138" s="498">
        <v>446.005178</v>
      </c>
      <c r="Q138" s="602">
        <v>292.04517800000002</v>
      </c>
      <c r="R138" s="602">
        <v>-0.23484558671560399</v>
      </c>
      <c r="S138" s="602">
        <v>-32.265900999999999</v>
      </c>
      <c r="T138" s="602">
        <v>0</v>
      </c>
      <c r="U138" s="602">
        <v>0</v>
      </c>
      <c r="V138" s="602">
        <v>0</v>
      </c>
      <c r="W138" s="602">
        <v>0</v>
      </c>
      <c r="X138" s="602">
        <v>0</v>
      </c>
      <c r="Y138" s="602">
        <v>0</v>
      </c>
      <c r="Z138" s="602">
        <v>0</v>
      </c>
      <c r="AA138" s="602">
        <v>0</v>
      </c>
      <c r="AB138" s="602">
        <v>0</v>
      </c>
      <c r="AC138" s="602">
        <v>0</v>
      </c>
      <c r="AD138" s="602">
        <v>0</v>
      </c>
      <c r="AE138" s="602">
        <v>0</v>
      </c>
      <c r="AF138" s="602">
        <v>0</v>
      </c>
      <c r="AG138" s="602">
        <v>0</v>
      </c>
      <c r="AH138" s="602">
        <v>0</v>
      </c>
      <c r="AI138" s="602">
        <v>0</v>
      </c>
      <c r="AJ138" s="498">
        <v>0</v>
      </c>
      <c r="AK138" s="498">
        <v>0</v>
      </c>
      <c r="AL138" s="602">
        <v>3.0113787583569702</v>
      </c>
      <c r="AM138" s="602">
        <v>1.8907893618069</v>
      </c>
      <c r="AN138" s="498">
        <v>413.73930100000001</v>
      </c>
      <c r="AO138" s="603">
        <v>259.77930099999998</v>
      </c>
    </row>
    <row r="139" spans="1:41" ht="12" thickBot="1">
      <c r="A139" s="918"/>
      <c r="B139" s="918"/>
      <c r="C139" s="918"/>
      <c r="D139" s="600" t="s">
        <v>353</v>
      </c>
      <c r="E139" s="600" t="s">
        <v>353</v>
      </c>
      <c r="F139" s="600" t="s">
        <v>353</v>
      </c>
      <c r="G139" s="600" t="s">
        <v>353</v>
      </c>
      <c r="H139" s="601">
        <v>170401</v>
      </c>
      <c r="I139" s="602">
        <v>795401</v>
      </c>
      <c r="J139" s="602">
        <v>0.35</v>
      </c>
      <c r="K139" s="602">
        <v>814954.71900799999</v>
      </c>
      <c r="L139" s="602">
        <v>0</v>
      </c>
      <c r="M139" s="498">
        <v>0</v>
      </c>
      <c r="N139" s="602">
        <v>1.8724675348052799</v>
      </c>
      <c r="O139" s="602">
        <v>1.8724675348052799</v>
      </c>
      <c r="P139" s="498">
        <v>5044.8941720000003</v>
      </c>
      <c r="Q139" s="602">
        <v>5044.8941720000003</v>
      </c>
      <c r="R139" s="602">
        <v>-3.9786357437026999E-2</v>
      </c>
      <c r="S139" s="602">
        <v>-107.194362</v>
      </c>
      <c r="T139" s="602">
        <v>0</v>
      </c>
      <c r="U139" s="602">
        <v>0</v>
      </c>
      <c r="V139" s="602">
        <v>0</v>
      </c>
      <c r="W139" s="602">
        <v>0</v>
      </c>
      <c r="X139" s="602">
        <v>0</v>
      </c>
      <c r="Y139" s="602">
        <v>0</v>
      </c>
      <c r="Z139" s="602">
        <v>0</v>
      </c>
      <c r="AA139" s="602">
        <v>0</v>
      </c>
      <c r="AB139" s="602">
        <v>0</v>
      </c>
      <c r="AC139" s="602">
        <v>0</v>
      </c>
      <c r="AD139" s="602">
        <v>0</v>
      </c>
      <c r="AE139" s="602">
        <v>0</v>
      </c>
      <c r="AF139" s="602">
        <v>0</v>
      </c>
      <c r="AG139" s="602">
        <v>0</v>
      </c>
      <c r="AH139" s="602">
        <v>0</v>
      </c>
      <c r="AI139" s="602">
        <v>0</v>
      </c>
      <c r="AJ139" s="498">
        <v>0</v>
      </c>
      <c r="AK139" s="498">
        <v>0</v>
      </c>
      <c r="AL139" s="602">
        <v>1.8326809684046601</v>
      </c>
      <c r="AM139" s="602">
        <v>1.8326809684046601</v>
      </c>
      <c r="AN139" s="498">
        <v>4937.6992469999996</v>
      </c>
      <c r="AO139" s="603">
        <v>4937.6992469999996</v>
      </c>
    </row>
    <row r="140" spans="1:41" ht="12" thickBot="1">
      <c r="A140" s="918"/>
      <c r="B140" s="918"/>
      <c r="C140" s="918"/>
      <c r="D140" s="917" t="s">
        <v>354</v>
      </c>
      <c r="E140" s="600" t="s">
        <v>355</v>
      </c>
      <c r="F140" s="600" t="s">
        <v>355</v>
      </c>
      <c r="G140" s="600" t="s">
        <v>355</v>
      </c>
      <c r="H140" s="601">
        <v>170411</v>
      </c>
      <c r="I140" s="602">
        <v>14172134.210000001</v>
      </c>
      <c r="J140" s="602">
        <v>0.88</v>
      </c>
      <c r="K140" s="602">
        <v>9816682.6519910004</v>
      </c>
      <c r="L140" s="602">
        <v>27036.07</v>
      </c>
      <c r="M140" s="498">
        <v>0.83305663108644801</v>
      </c>
      <c r="N140" s="602">
        <v>3.1209277236489701</v>
      </c>
      <c r="O140" s="602">
        <v>2.2878710925623502</v>
      </c>
      <c r="P140" s="498">
        <v>101286.776016</v>
      </c>
      <c r="Q140" s="602">
        <v>74250.706015999996</v>
      </c>
      <c r="R140" s="602">
        <v>-0.21631954073217199</v>
      </c>
      <c r="S140" s="602">
        <v>-7020.4473829999997</v>
      </c>
      <c r="T140" s="602">
        <v>0</v>
      </c>
      <c r="U140" s="602">
        <v>0</v>
      </c>
      <c r="V140" s="602">
        <v>0.134759842527954</v>
      </c>
      <c r="W140" s="602">
        <v>4373.5040330000002</v>
      </c>
      <c r="X140" s="602">
        <v>0</v>
      </c>
      <c r="Y140" s="602">
        <v>0</v>
      </c>
      <c r="Z140" s="602">
        <v>0</v>
      </c>
      <c r="AA140" s="602">
        <v>0</v>
      </c>
      <c r="AB140" s="602">
        <v>0</v>
      </c>
      <c r="AC140" s="602">
        <v>0</v>
      </c>
      <c r="AD140" s="602">
        <v>0</v>
      </c>
      <c r="AE140" s="602">
        <v>0</v>
      </c>
      <c r="AF140" s="602">
        <v>0</v>
      </c>
      <c r="AG140" s="602">
        <v>0</v>
      </c>
      <c r="AH140" s="602">
        <v>0</v>
      </c>
      <c r="AI140" s="602">
        <v>0</v>
      </c>
      <c r="AJ140" s="498">
        <v>0</v>
      </c>
      <c r="AK140" s="498">
        <v>0</v>
      </c>
      <c r="AL140" s="602">
        <v>3.03936802310298</v>
      </c>
      <c r="AM140" s="602">
        <v>2.20631139201635</v>
      </c>
      <c r="AN140" s="498">
        <v>98639.832590000005</v>
      </c>
      <c r="AO140" s="603">
        <v>71603.762589999998</v>
      </c>
    </row>
    <row r="141" spans="1:41" ht="12" thickBot="1">
      <c r="A141" s="918"/>
      <c r="B141" s="918"/>
      <c r="C141" s="918"/>
      <c r="D141" s="918"/>
      <c r="E141" s="600" t="s">
        <v>356</v>
      </c>
      <c r="F141" s="600" t="s">
        <v>356</v>
      </c>
      <c r="G141" s="600" t="s">
        <v>356</v>
      </c>
      <c r="H141" s="601">
        <v>170412</v>
      </c>
      <c r="I141" s="602">
        <v>24703839.289999999</v>
      </c>
      <c r="J141" s="602">
        <v>1.1000000000000001</v>
      </c>
      <c r="K141" s="602">
        <v>25467071.277357001</v>
      </c>
      <c r="L141" s="602">
        <v>67045.63</v>
      </c>
      <c r="M141" s="498">
        <v>0.79631920034487003</v>
      </c>
      <c r="N141" s="602">
        <v>3.1119127906105599</v>
      </c>
      <c r="O141" s="602">
        <v>2.3155935902657601</v>
      </c>
      <c r="P141" s="498">
        <v>262005.67996000001</v>
      </c>
      <c r="Q141" s="602">
        <v>194960.04996</v>
      </c>
      <c r="R141" s="602">
        <v>-0.215065202045091</v>
      </c>
      <c r="S141" s="602">
        <v>-18107.289081999999</v>
      </c>
      <c r="T141" s="602">
        <v>0</v>
      </c>
      <c r="U141" s="602">
        <v>0</v>
      </c>
      <c r="V141" s="602">
        <v>2.0141870816850001E-3</v>
      </c>
      <c r="W141" s="602">
        <v>169.583305</v>
      </c>
      <c r="X141" s="602">
        <v>0</v>
      </c>
      <c r="Y141" s="602">
        <v>0</v>
      </c>
      <c r="Z141" s="602">
        <v>0</v>
      </c>
      <c r="AA141" s="602">
        <v>0</v>
      </c>
      <c r="AB141" s="602">
        <v>0</v>
      </c>
      <c r="AC141" s="602">
        <v>0</v>
      </c>
      <c r="AD141" s="602">
        <v>0</v>
      </c>
      <c r="AE141" s="602">
        <v>0</v>
      </c>
      <c r="AF141" s="602">
        <v>0</v>
      </c>
      <c r="AG141" s="602">
        <v>0</v>
      </c>
      <c r="AH141" s="602">
        <v>0</v>
      </c>
      <c r="AI141" s="602">
        <v>0</v>
      </c>
      <c r="AJ141" s="498">
        <v>0</v>
      </c>
      <c r="AK141" s="498">
        <v>0</v>
      </c>
      <c r="AL141" s="602">
        <v>2.8988617751245598</v>
      </c>
      <c r="AM141" s="602">
        <v>2.1025425747797502</v>
      </c>
      <c r="AN141" s="498">
        <v>244067.974139</v>
      </c>
      <c r="AO141" s="603">
        <v>177022.34413899999</v>
      </c>
    </row>
    <row r="142" spans="1:41" ht="12" thickBot="1">
      <c r="A142" s="918"/>
      <c r="B142" s="918"/>
      <c r="C142" s="918"/>
      <c r="D142" s="918"/>
      <c r="E142" s="600" t="s">
        <v>331</v>
      </c>
      <c r="F142" s="600" t="s">
        <v>331</v>
      </c>
      <c r="G142" s="600" t="s">
        <v>331</v>
      </c>
      <c r="H142" s="601">
        <v>170413</v>
      </c>
      <c r="I142" s="602">
        <v>1064700</v>
      </c>
      <c r="J142" s="602">
        <v>0.95645346106884599</v>
      </c>
      <c r="K142" s="602">
        <v>309864.91652799997</v>
      </c>
      <c r="L142" s="602">
        <v>879.22</v>
      </c>
      <c r="M142" s="498">
        <v>0.85826394055000799</v>
      </c>
      <c r="N142" s="602">
        <v>3.0974012592401401</v>
      </c>
      <c r="O142" s="602">
        <v>2.23913731869288</v>
      </c>
      <c r="P142" s="498">
        <v>3173.029888</v>
      </c>
      <c r="Q142" s="602">
        <v>2293.8098879999998</v>
      </c>
      <c r="R142" s="602">
        <v>-0.21121701917084401</v>
      </c>
      <c r="S142" s="602">
        <v>-216.37426300000001</v>
      </c>
      <c r="T142" s="602">
        <v>0</v>
      </c>
      <c r="U142" s="602">
        <v>0</v>
      </c>
      <c r="V142" s="602">
        <v>0</v>
      </c>
      <c r="W142" s="602">
        <v>0</v>
      </c>
      <c r="X142" s="602">
        <v>0</v>
      </c>
      <c r="Y142" s="602">
        <v>0</v>
      </c>
      <c r="Z142" s="602">
        <v>0</v>
      </c>
      <c r="AA142" s="602">
        <v>0</v>
      </c>
      <c r="AB142" s="602">
        <v>0</v>
      </c>
      <c r="AC142" s="602">
        <v>0</v>
      </c>
      <c r="AD142" s="602">
        <v>0</v>
      </c>
      <c r="AE142" s="602">
        <v>0</v>
      </c>
      <c r="AF142" s="602">
        <v>0</v>
      </c>
      <c r="AG142" s="602">
        <v>0</v>
      </c>
      <c r="AH142" s="602">
        <v>0</v>
      </c>
      <c r="AI142" s="602">
        <v>0</v>
      </c>
      <c r="AJ142" s="498">
        <v>0</v>
      </c>
      <c r="AK142" s="498">
        <v>0</v>
      </c>
      <c r="AL142" s="602">
        <v>2.8861841551429301</v>
      </c>
      <c r="AM142" s="602">
        <v>2.0279202145956599</v>
      </c>
      <c r="AN142" s="498">
        <v>2956.655538</v>
      </c>
      <c r="AO142" s="603">
        <v>2077.4355380000002</v>
      </c>
    </row>
    <row r="143" spans="1:41" ht="12" thickBot="1">
      <c r="A143" s="918"/>
      <c r="B143" s="918"/>
      <c r="C143" s="918"/>
      <c r="D143" s="918"/>
      <c r="E143" s="600" t="s">
        <v>357</v>
      </c>
      <c r="F143" s="600" t="s">
        <v>357</v>
      </c>
      <c r="G143" s="600" t="s">
        <v>357</v>
      </c>
      <c r="H143" s="601">
        <v>170414</v>
      </c>
      <c r="I143" s="602">
        <v>2118286693.27</v>
      </c>
      <c r="J143" s="602">
        <v>2.0853867634874002</v>
      </c>
      <c r="K143" s="602">
        <v>2106877226.2488201</v>
      </c>
      <c r="L143" s="602">
        <v>10781853.439999999</v>
      </c>
      <c r="M143" s="498">
        <v>1.5479249855671899</v>
      </c>
      <c r="N143" s="602">
        <v>3.7195195568788399</v>
      </c>
      <c r="O143" s="602">
        <v>2.1715945713116498</v>
      </c>
      <c r="P143" s="498">
        <v>25907789.526884999</v>
      </c>
      <c r="Q143" s="602">
        <v>15125936.086885</v>
      </c>
      <c r="R143" s="602">
        <v>-0.30434334683391301</v>
      </c>
      <c r="S143" s="602">
        <v>-2119860.7113379999</v>
      </c>
      <c r="T143" s="602">
        <v>0</v>
      </c>
      <c r="U143" s="602">
        <v>0</v>
      </c>
      <c r="V143" s="602">
        <v>1.378611150059E-3</v>
      </c>
      <c r="W143" s="602">
        <v>9602.5217690000009</v>
      </c>
      <c r="X143" s="602">
        <v>0</v>
      </c>
      <c r="Y143" s="602">
        <v>0</v>
      </c>
      <c r="Z143" s="602">
        <v>0</v>
      </c>
      <c r="AA143" s="602">
        <v>0</v>
      </c>
      <c r="AB143" s="602">
        <v>0</v>
      </c>
      <c r="AC143" s="602">
        <v>0</v>
      </c>
      <c r="AD143" s="602">
        <v>0</v>
      </c>
      <c r="AE143" s="602">
        <v>0</v>
      </c>
      <c r="AF143" s="602">
        <v>0</v>
      </c>
      <c r="AG143" s="602">
        <v>0</v>
      </c>
      <c r="AH143" s="602">
        <v>0</v>
      </c>
      <c r="AI143" s="602">
        <v>0</v>
      </c>
      <c r="AJ143" s="498">
        <v>0</v>
      </c>
      <c r="AK143" s="498">
        <v>0</v>
      </c>
      <c r="AL143" s="602">
        <v>3.4165547981141899</v>
      </c>
      <c r="AM143" s="602">
        <v>1.868629812547</v>
      </c>
      <c r="AN143" s="498">
        <v>23797531.176550001</v>
      </c>
      <c r="AO143" s="603">
        <v>13015677.73655</v>
      </c>
    </row>
    <row r="144" spans="1:41" ht="12" thickBot="1">
      <c r="A144" s="918"/>
      <c r="B144" s="918"/>
      <c r="C144" s="918"/>
      <c r="D144" s="919"/>
      <c r="E144" s="600" t="s">
        <v>358</v>
      </c>
      <c r="F144" s="600" t="s">
        <v>358</v>
      </c>
      <c r="G144" s="600" t="s">
        <v>358</v>
      </c>
      <c r="H144" s="601">
        <v>170415</v>
      </c>
      <c r="I144" s="602">
        <v>24886044.030000001</v>
      </c>
      <c r="J144" s="602">
        <v>4.3968438948410098</v>
      </c>
      <c r="K144" s="602">
        <v>24782295.791487999</v>
      </c>
      <c r="L144" s="602">
        <v>362453.83</v>
      </c>
      <c r="M144" s="498">
        <v>4.42391599962908</v>
      </c>
      <c r="N144" s="602">
        <v>5.2940911636099104</v>
      </c>
      <c r="O144" s="602">
        <v>0.87017516398079697</v>
      </c>
      <c r="P144" s="498">
        <v>433747.75171600003</v>
      </c>
      <c r="Q144" s="602">
        <v>71293.921715999997</v>
      </c>
      <c r="R144" s="602">
        <v>-0.52963703952899799</v>
      </c>
      <c r="S144" s="602">
        <v>-43393.44904</v>
      </c>
      <c r="T144" s="602">
        <v>0</v>
      </c>
      <c r="U144" s="602">
        <v>0</v>
      </c>
      <c r="V144" s="602">
        <v>0</v>
      </c>
      <c r="W144" s="602">
        <v>0</v>
      </c>
      <c r="X144" s="602">
        <v>0</v>
      </c>
      <c r="Y144" s="602">
        <v>0</v>
      </c>
      <c r="Z144" s="602">
        <v>0</v>
      </c>
      <c r="AA144" s="602">
        <v>0</v>
      </c>
      <c r="AB144" s="602">
        <v>0</v>
      </c>
      <c r="AC144" s="602">
        <v>0</v>
      </c>
      <c r="AD144" s="602">
        <v>0</v>
      </c>
      <c r="AE144" s="602">
        <v>0</v>
      </c>
      <c r="AF144" s="602">
        <v>0</v>
      </c>
      <c r="AG144" s="602">
        <v>0</v>
      </c>
      <c r="AH144" s="602">
        <v>-3.6971848079581003E-2</v>
      </c>
      <c r="AI144" s="602">
        <v>-3029.123505</v>
      </c>
      <c r="AJ144" s="498">
        <v>0</v>
      </c>
      <c r="AK144" s="498">
        <v>0</v>
      </c>
      <c r="AL144" s="602">
        <v>4.7274822699230201</v>
      </c>
      <c r="AM144" s="602">
        <v>0.30356627029389899</v>
      </c>
      <c r="AN144" s="498">
        <v>387325.17867300002</v>
      </c>
      <c r="AO144" s="603">
        <v>24871.348673</v>
      </c>
    </row>
    <row r="145" spans="1:41" ht="12" thickBot="1">
      <c r="A145" s="918"/>
      <c r="B145" s="918"/>
      <c r="C145" s="918"/>
      <c r="D145" s="917" t="s">
        <v>359</v>
      </c>
      <c r="E145" s="600" t="s">
        <v>360</v>
      </c>
      <c r="F145" s="600" t="s">
        <v>360</v>
      </c>
      <c r="G145" s="600" t="s">
        <v>360</v>
      </c>
      <c r="H145" s="601">
        <v>170421</v>
      </c>
      <c r="I145" s="602">
        <v>48792549.890000001</v>
      </c>
      <c r="J145" s="602">
        <v>0.88</v>
      </c>
      <c r="K145" s="602">
        <v>15029599.452793</v>
      </c>
      <c r="L145" s="602">
        <v>44451.930000000102</v>
      </c>
      <c r="M145" s="498">
        <v>0.89462067428520498</v>
      </c>
      <c r="N145" s="602">
        <v>3.0463340454568302</v>
      </c>
      <c r="O145" s="602">
        <v>2.1517133711706999</v>
      </c>
      <c r="P145" s="498">
        <v>151366.307126</v>
      </c>
      <c r="Q145" s="602">
        <v>106914.37712600001</v>
      </c>
      <c r="R145" s="602">
        <v>-0.21170705620124899</v>
      </c>
      <c r="S145" s="602">
        <v>-10519.304453000001</v>
      </c>
      <c r="T145" s="602">
        <v>0</v>
      </c>
      <c r="U145" s="602">
        <v>0</v>
      </c>
      <c r="V145" s="602">
        <v>3.3543035089E-4</v>
      </c>
      <c r="W145" s="602">
        <v>16.666869999999999</v>
      </c>
      <c r="X145" s="602">
        <v>0</v>
      </c>
      <c r="Y145" s="602">
        <v>0</v>
      </c>
      <c r="Z145" s="602">
        <v>0</v>
      </c>
      <c r="AA145" s="602">
        <v>0</v>
      </c>
      <c r="AB145" s="602">
        <v>0</v>
      </c>
      <c r="AC145" s="602">
        <v>0</v>
      </c>
      <c r="AD145" s="602">
        <v>0</v>
      </c>
      <c r="AE145" s="602">
        <v>0</v>
      </c>
      <c r="AF145" s="602">
        <v>0</v>
      </c>
      <c r="AG145" s="602">
        <v>0</v>
      </c>
      <c r="AH145" s="602">
        <v>0</v>
      </c>
      <c r="AI145" s="602">
        <v>0</v>
      </c>
      <c r="AJ145" s="498">
        <v>0</v>
      </c>
      <c r="AK145" s="498">
        <v>0</v>
      </c>
      <c r="AL145" s="602">
        <v>2.8349624096845698</v>
      </c>
      <c r="AM145" s="602">
        <v>1.94034173539843</v>
      </c>
      <c r="AN145" s="498">
        <v>140863.66905</v>
      </c>
      <c r="AO145" s="603">
        <v>96411.739050000004</v>
      </c>
    </row>
    <row r="146" spans="1:41" ht="12" thickBot="1">
      <c r="A146" s="918"/>
      <c r="B146" s="918"/>
      <c r="C146" s="918"/>
      <c r="D146" s="918"/>
      <c r="E146" s="600" t="s">
        <v>361</v>
      </c>
      <c r="F146" s="600" t="s">
        <v>361</v>
      </c>
      <c r="G146" s="600" t="s">
        <v>361</v>
      </c>
      <c r="H146" s="601">
        <v>170422</v>
      </c>
      <c r="I146" s="602">
        <v>1636431674.49</v>
      </c>
      <c r="J146" s="602">
        <v>1.4850000000000001</v>
      </c>
      <c r="K146" s="602">
        <v>1691630220.26441</v>
      </c>
      <c r="L146" s="602">
        <v>8001661.1100000199</v>
      </c>
      <c r="M146" s="498">
        <v>1.4307720051371799</v>
      </c>
      <c r="N146" s="602">
        <v>3.1168000246111101</v>
      </c>
      <c r="O146" s="602">
        <v>1.6860280194739601</v>
      </c>
      <c r="P146" s="498">
        <v>17430853.731435001</v>
      </c>
      <c r="Q146" s="602">
        <v>9429192.6214350406</v>
      </c>
      <c r="R146" s="602">
        <v>-0.216327862294037</v>
      </c>
      <c r="S146" s="602">
        <v>-1209823.9527420001</v>
      </c>
      <c r="T146" s="602">
        <v>0</v>
      </c>
      <c r="U146" s="602">
        <v>0</v>
      </c>
      <c r="V146" s="602">
        <v>0</v>
      </c>
      <c r="W146" s="602">
        <v>0</v>
      </c>
      <c r="X146" s="602">
        <v>0</v>
      </c>
      <c r="Y146" s="602">
        <v>0</v>
      </c>
      <c r="Z146" s="602">
        <v>0</v>
      </c>
      <c r="AA146" s="602">
        <v>0</v>
      </c>
      <c r="AB146" s="602">
        <v>0</v>
      </c>
      <c r="AC146" s="602">
        <v>0</v>
      </c>
      <c r="AD146" s="602">
        <v>0</v>
      </c>
      <c r="AE146" s="602">
        <v>0</v>
      </c>
      <c r="AF146" s="602">
        <v>0</v>
      </c>
      <c r="AG146" s="602">
        <v>0</v>
      </c>
      <c r="AH146" s="602">
        <v>0</v>
      </c>
      <c r="AI146" s="602">
        <v>0</v>
      </c>
      <c r="AJ146" s="498">
        <v>0</v>
      </c>
      <c r="AK146" s="498">
        <v>0</v>
      </c>
      <c r="AL146" s="602">
        <v>2.9004721627329801</v>
      </c>
      <c r="AM146" s="602">
        <v>1.4697001575958299</v>
      </c>
      <c r="AN146" s="498">
        <v>16221029.781019</v>
      </c>
      <c r="AO146" s="603">
        <v>8219368.6710190102</v>
      </c>
    </row>
    <row r="147" spans="1:41" ht="12" thickBot="1">
      <c r="A147" s="918"/>
      <c r="B147" s="918"/>
      <c r="C147" s="918"/>
      <c r="D147" s="918"/>
      <c r="E147" s="917" t="s">
        <v>362</v>
      </c>
      <c r="F147" s="600" t="s">
        <v>363</v>
      </c>
      <c r="G147" s="600" t="s">
        <v>363</v>
      </c>
      <c r="H147" s="601">
        <v>170431</v>
      </c>
      <c r="I147" s="602">
        <v>10693156.550000001</v>
      </c>
      <c r="J147" s="602">
        <v>1.45</v>
      </c>
      <c r="K147" s="602">
        <v>11567009.403553</v>
      </c>
      <c r="L147" s="602">
        <v>45720.04</v>
      </c>
      <c r="M147" s="498">
        <v>1.19558712097411</v>
      </c>
      <c r="N147" s="602">
        <v>3.27279268121322</v>
      </c>
      <c r="O147" s="602">
        <v>2.0772055602392698</v>
      </c>
      <c r="P147" s="498">
        <v>125153.750548</v>
      </c>
      <c r="Q147" s="602">
        <v>79433.710548000003</v>
      </c>
      <c r="R147" s="602">
        <v>-0.24150719976839199</v>
      </c>
      <c r="S147" s="602">
        <v>-9235.3945939999994</v>
      </c>
      <c r="T147" s="602">
        <v>0</v>
      </c>
      <c r="U147" s="602">
        <v>0</v>
      </c>
      <c r="V147" s="602">
        <v>0</v>
      </c>
      <c r="W147" s="602">
        <v>0</v>
      </c>
      <c r="X147" s="602">
        <v>0</v>
      </c>
      <c r="Y147" s="602">
        <v>0</v>
      </c>
      <c r="Z147" s="602">
        <v>0</v>
      </c>
      <c r="AA147" s="602">
        <v>0</v>
      </c>
      <c r="AB147" s="602">
        <v>0</v>
      </c>
      <c r="AC147" s="602">
        <v>0</v>
      </c>
      <c r="AD147" s="602">
        <v>0</v>
      </c>
      <c r="AE147" s="602">
        <v>0</v>
      </c>
      <c r="AF147" s="602">
        <v>0</v>
      </c>
      <c r="AG147" s="602">
        <v>0</v>
      </c>
      <c r="AH147" s="602">
        <v>0</v>
      </c>
      <c r="AI147" s="602">
        <v>0</v>
      </c>
      <c r="AJ147" s="498">
        <v>0</v>
      </c>
      <c r="AK147" s="498">
        <v>0</v>
      </c>
      <c r="AL147" s="602">
        <v>3.03128547982352</v>
      </c>
      <c r="AM147" s="602">
        <v>1.8356983588495599</v>
      </c>
      <c r="AN147" s="498">
        <v>115918.35589200001</v>
      </c>
      <c r="AO147" s="603">
        <v>70198.315891999999</v>
      </c>
    </row>
    <row r="148" spans="1:41" ht="12" thickBot="1">
      <c r="A148" s="918"/>
      <c r="B148" s="918"/>
      <c r="C148" s="918"/>
      <c r="D148" s="918"/>
      <c r="E148" s="918"/>
      <c r="F148" s="600" t="s">
        <v>364</v>
      </c>
      <c r="G148" s="600" t="s">
        <v>364</v>
      </c>
      <c r="H148" s="601">
        <v>170432</v>
      </c>
      <c r="I148" s="602">
        <v>2612834.17</v>
      </c>
      <c r="J148" s="602">
        <v>1.7</v>
      </c>
      <c r="K148" s="602">
        <v>2428700.8997530001</v>
      </c>
      <c r="L148" s="602">
        <v>13757.12</v>
      </c>
      <c r="M148" s="498">
        <v>1.7133623009760801</v>
      </c>
      <c r="N148" s="602">
        <v>3.5129212501009701</v>
      </c>
      <c r="O148" s="602">
        <v>1.79955894912409</v>
      </c>
      <c r="P148" s="498">
        <v>28206.339757000002</v>
      </c>
      <c r="Q148" s="602">
        <v>14449.219757000001</v>
      </c>
      <c r="R148" s="602">
        <v>-0.27475272346453999</v>
      </c>
      <c r="S148" s="602">
        <v>-2206.0752619999998</v>
      </c>
      <c r="T148" s="602">
        <v>0</v>
      </c>
      <c r="U148" s="602">
        <v>0</v>
      </c>
      <c r="V148" s="602">
        <v>0</v>
      </c>
      <c r="W148" s="602">
        <v>0</v>
      </c>
      <c r="X148" s="602">
        <v>0</v>
      </c>
      <c r="Y148" s="602">
        <v>0</v>
      </c>
      <c r="Z148" s="602">
        <v>0</v>
      </c>
      <c r="AA148" s="602">
        <v>0</v>
      </c>
      <c r="AB148" s="602">
        <v>0</v>
      </c>
      <c r="AC148" s="602">
        <v>0</v>
      </c>
      <c r="AD148" s="602">
        <v>0</v>
      </c>
      <c r="AE148" s="602">
        <v>0</v>
      </c>
      <c r="AF148" s="602">
        <v>0</v>
      </c>
      <c r="AG148" s="602">
        <v>0</v>
      </c>
      <c r="AH148" s="602">
        <v>0</v>
      </c>
      <c r="AI148" s="602">
        <v>0</v>
      </c>
      <c r="AJ148" s="498">
        <v>0</v>
      </c>
      <c r="AK148" s="498">
        <v>0</v>
      </c>
      <c r="AL148" s="602">
        <v>3.2381685587687001</v>
      </c>
      <c r="AM148" s="602">
        <v>1.52480625779182</v>
      </c>
      <c r="AN148" s="498">
        <v>26000.264752999999</v>
      </c>
      <c r="AO148" s="603">
        <v>12243.144753</v>
      </c>
    </row>
    <row r="149" spans="1:41" ht="12" thickBot="1">
      <c r="A149" s="918"/>
      <c r="B149" s="918"/>
      <c r="C149" s="918"/>
      <c r="D149" s="918"/>
      <c r="E149" s="918"/>
      <c r="F149" s="600" t="s">
        <v>365</v>
      </c>
      <c r="G149" s="600" t="s">
        <v>365</v>
      </c>
      <c r="H149" s="601">
        <v>170434</v>
      </c>
      <c r="I149" s="602">
        <v>4224217.66</v>
      </c>
      <c r="J149" s="602">
        <v>2.1565706132434501</v>
      </c>
      <c r="K149" s="602">
        <v>4476986.3047120003</v>
      </c>
      <c r="L149" s="602">
        <v>30528.63</v>
      </c>
      <c r="M149" s="498">
        <v>2.0626106915857201</v>
      </c>
      <c r="N149" s="602">
        <v>3.8974017319932099</v>
      </c>
      <c r="O149" s="602">
        <v>1.8347910404068799</v>
      </c>
      <c r="P149" s="498">
        <v>57685.309168</v>
      </c>
      <c r="Q149" s="602">
        <v>27156.679167999999</v>
      </c>
      <c r="R149" s="602">
        <v>-0.330060304428761</v>
      </c>
      <c r="S149" s="602">
        <v>-4885.2112289999995</v>
      </c>
      <c r="T149" s="602">
        <v>0</v>
      </c>
      <c r="U149" s="602">
        <v>0</v>
      </c>
      <c r="V149" s="602">
        <v>0</v>
      </c>
      <c r="W149" s="602">
        <v>0</v>
      </c>
      <c r="X149" s="602">
        <v>0</v>
      </c>
      <c r="Y149" s="602">
        <v>0</v>
      </c>
      <c r="Z149" s="602">
        <v>0</v>
      </c>
      <c r="AA149" s="602">
        <v>0</v>
      </c>
      <c r="AB149" s="602">
        <v>0</v>
      </c>
      <c r="AC149" s="602">
        <v>0</v>
      </c>
      <c r="AD149" s="602">
        <v>0</v>
      </c>
      <c r="AE149" s="602">
        <v>0</v>
      </c>
      <c r="AF149" s="602">
        <v>0</v>
      </c>
      <c r="AG149" s="602">
        <v>0</v>
      </c>
      <c r="AH149" s="602">
        <v>0</v>
      </c>
      <c r="AI149" s="602">
        <v>0</v>
      </c>
      <c r="AJ149" s="498">
        <v>0</v>
      </c>
      <c r="AK149" s="498">
        <v>0</v>
      </c>
      <c r="AL149" s="602">
        <v>3.5673414220918298</v>
      </c>
      <c r="AM149" s="602">
        <v>1.5047307305055</v>
      </c>
      <c r="AN149" s="498">
        <v>52800.097858000001</v>
      </c>
      <c r="AO149" s="603">
        <v>22271.467858</v>
      </c>
    </row>
    <row r="150" spans="1:41" ht="12" thickBot="1">
      <c r="A150" s="918"/>
      <c r="B150" s="918"/>
      <c r="C150" s="918"/>
      <c r="D150" s="918"/>
      <c r="E150" s="918"/>
      <c r="F150" s="600" t="s">
        <v>366</v>
      </c>
      <c r="G150" s="600" t="s">
        <v>366</v>
      </c>
      <c r="H150" s="601">
        <v>170435</v>
      </c>
      <c r="I150" s="602">
        <v>500000</v>
      </c>
      <c r="J150" s="602">
        <v>3.4750000000000001</v>
      </c>
      <c r="K150" s="602">
        <v>512644.62809900002</v>
      </c>
      <c r="L150" s="602">
        <v>5740.62</v>
      </c>
      <c r="M150" s="498">
        <v>3.38717865549043</v>
      </c>
      <c r="N150" s="602">
        <v>4.9557626433371</v>
      </c>
      <c r="O150" s="602">
        <v>1.56858398784782</v>
      </c>
      <c r="P150" s="498">
        <v>8399.0698570000004</v>
      </c>
      <c r="Q150" s="602">
        <v>2658.4498570000001</v>
      </c>
      <c r="R150" s="602">
        <v>-0.48022714968885999</v>
      </c>
      <c r="S150" s="602">
        <v>-813.89317200000005</v>
      </c>
      <c r="T150" s="602">
        <v>0</v>
      </c>
      <c r="U150" s="602">
        <v>0</v>
      </c>
      <c r="V150" s="602">
        <v>0</v>
      </c>
      <c r="W150" s="602">
        <v>0</v>
      </c>
      <c r="X150" s="602">
        <v>0</v>
      </c>
      <c r="Y150" s="602">
        <v>0</v>
      </c>
      <c r="Z150" s="602">
        <v>0</v>
      </c>
      <c r="AA150" s="602">
        <v>0</v>
      </c>
      <c r="AB150" s="602">
        <v>0</v>
      </c>
      <c r="AC150" s="602">
        <v>0</v>
      </c>
      <c r="AD150" s="602">
        <v>0</v>
      </c>
      <c r="AE150" s="602">
        <v>0</v>
      </c>
      <c r="AF150" s="602">
        <v>0</v>
      </c>
      <c r="AG150" s="602">
        <v>0</v>
      </c>
      <c r="AH150" s="602">
        <v>0</v>
      </c>
      <c r="AI150" s="602">
        <v>0</v>
      </c>
      <c r="AJ150" s="498">
        <v>0</v>
      </c>
      <c r="AK150" s="498">
        <v>0</v>
      </c>
      <c r="AL150" s="602">
        <v>4.4755355007286797</v>
      </c>
      <c r="AM150" s="602">
        <v>1.0883568452393999</v>
      </c>
      <c r="AN150" s="498">
        <v>7585.1766969999999</v>
      </c>
      <c r="AO150" s="603">
        <v>1844.556697</v>
      </c>
    </row>
    <row r="151" spans="1:41" ht="12" thickBot="1">
      <c r="A151" s="918"/>
      <c r="B151" s="918"/>
      <c r="C151" s="918"/>
      <c r="D151" s="919"/>
      <c r="E151" s="919"/>
      <c r="F151" s="600" t="s">
        <v>367</v>
      </c>
      <c r="G151" s="600" t="s">
        <v>367</v>
      </c>
      <c r="H151" s="601">
        <v>170436</v>
      </c>
      <c r="I151" s="602">
        <v>6538702.6500000004</v>
      </c>
      <c r="J151" s="602">
        <v>4.0631767411842796</v>
      </c>
      <c r="K151" s="602">
        <v>6767384.4681820003</v>
      </c>
      <c r="L151" s="602">
        <v>80759.56</v>
      </c>
      <c r="M151" s="498">
        <v>3.6096808787652601</v>
      </c>
      <c r="N151" s="602">
        <v>5.3436221610449302</v>
      </c>
      <c r="O151" s="602">
        <v>1.7339412822795699</v>
      </c>
      <c r="P151" s="498">
        <v>119553.10982500001</v>
      </c>
      <c r="Q151" s="602">
        <v>38793.549825000002</v>
      </c>
      <c r="R151" s="602">
        <v>-0.53707889512754203</v>
      </c>
      <c r="S151" s="602">
        <v>-12016.09137</v>
      </c>
      <c r="T151" s="602">
        <v>0</v>
      </c>
      <c r="U151" s="602">
        <v>0</v>
      </c>
      <c r="V151" s="602">
        <v>0</v>
      </c>
      <c r="W151" s="602">
        <v>0</v>
      </c>
      <c r="X151" s="602">
        <v>0</v>
      </c>
      <c r="Y151" s="602">
        <v>0</v>
      </c>
      <c r="Z151" s="602">
        <v>0</v>
      </c>
      <c r="AA151" s="602">
        <v>0</v>
      </c>
      <c r="AB151" s="602">
        <v>0</v>
      </c>
      <c r="AC151" s="602">
        <v>0</v>
      </c>
      <c r="AD151" s="602">
        <v>0</v>
      </c>
      <c r="AE151" s="602">
        <v>0</v>
      </c>
      <c r="AF151" s="602">
        <v>0</v>
      </c>
      <c r="AG151" s="602">
        <v>0</v>
      </c>
      <c r="AH151" s="602">
        <v>0</v>
      </c>
      <c r="AI151" s="602">
        <v>0</v>
      </c>
      <c r="AJ151" s="498">
        <v>0</v>
      </c>
      <c r="AK151" s="498">
        <v>0</v>
      </c>
      <c r="AL151" s="602">
        <v>4.8065432656939002</v>
      </c>
      <c r="AM151" s="602">
        <v>1.19686238692854</v>
      </c>
      <c r="AN151" s="498">
        <v>107537.01845</v>
      </c>
      <c r="AO151" s="603">
        <v>26777.458449999998</v>
      </c>
    </row>
    <row r="152" spans="1:41" ht="12" thickBot="1">
      <c r="A152" s="918"/>
      <c r="B152" s="918"/>
      <c r="C152" s="919"/>
      <c r="D152" s="600" t="s">
        <v>368</v>
      </c>
      <c r="E152" s="600" t="s">
        <v>368</v>
      </c>
      <c r="F152" s="600" t="s">
        <v>368</v>
      </c>
      <c r="G152" s="600" t="s">
        <v>368</v>
      </c>
      <c r="H152" s="601">
        <v>170438</v>
      </c>
      <c r="I152" s="602">
        <v>893145.03</v>
      </c>
      <c r="J152" s="602">
        <v>0</v>
      </c>
      <c r="K152" s="602">
        <v>882121.64156999998</v>
      </c>
      <c r="L152" s="602">
        <v>0</v>
      </c>
      <c r="M152" s="498">
        <v>0</v>
      </c>
      <c r="N152" s="602">
        <v>1.87414166899989</v>
      </c>
      <c r="O152" s="602">
        <v>1.87414166899989</v>
      </c>
      <c r="P152" s="498">
        <v>5465.5664479999996</v>
      </c>
      <c r="Q152" s="602">
        <v>5465.5664479999996</v>
      </c>
      <c r="R152" s="602">
        <v>0</v>
      </c>
      <c r="S152" s="602">
        <v>0</v>
      </c>
      <c r="T152" s="602">
        <v>0</v>
      </c>
      <c r="U152" s="602">
        <v>0</v>
      </c>
      <c r="V152" s="602">
        <v>0</v>
      </c>
      <c r="W152" s="602">
        <v>0</v>
      </c>
      <c r="X152" s="602">
        <v>0</v>
      </c>
      <c r="Y152" s="602">
        <v>0</v>
      </c>
      <c r="Z152" s="602">
        <v>0</v>
      </c>
      <c r="AA152" s="602">
        <v>0</v>
      </c>
      <c r="AB152" s="602">
        <v>0</v>
      </c>
      <c r="AC152" s="602">
        <v>0</v>
      </c>
      <c r="AD152" s="602">
        <v>0</v>
      </c>
      <c r="AE152" s="602">
        <v>0</v>
      </c>
      <c r="AF152" s="602">
        <v>0</v>
      </c>
      <c r="AG152" s="602">
        <v>0</v>
      </c>
      <c r="AH152" s="602">
        <v>0</v>
      </c>
      <c r="AI152" s="602">
        <v>0</v>
      </c>
      <c r="AJ152" s="498">
        <v>0</v>
      </c>
      <c r="AK152" s="498">
        <v>0</v>
      </c>
      <c r="AL152" s="602">
        <v>1.87414166899989</v>
      </c>
      <c r="AM152" s="602">
        <v>1.87414166899989</v>
      </c>
      <c r="AN152" s="498">
        <v>5465.5664479999996</v>
      </c>
      <c r="AO152" s="603">
        <v>5465.5664479999996</v>
      </c>
    </row>
    <row r="153" spans="1:41" ht="12" thickBot="1">
      <c r="A153" s="918"/>
      <c r="B153" s="918"/>
      <c r="C153" s="917" t="s">
        <v>369</v>
      </c>
      <c r="D153" s="917" t="s">
        <v>369</v>
      </c>
      <c r="E153" s="917" t="s">
        <v>369</v>
      </c>
      <c r="F153" s="600" t="s">
        <v>370</v>
      </c>
      <c r="G153" s="600" t="s">
        <v>370</v>
      </c>
      <c r="H153" s="601">
        <v>170441</v>
      </c>
      <c r="I153" s="602">
        <v>10017141.859999999</v>
      </c>
      <c r="J153" s="602">
        <v>0.35</v>
      </c>
      <c r="K153" s="602">
        <v>32984085.629670002</v>
      </c>
      <c r="L153" s="602">
        <v>37761.21</v>
      </c>
      <c r="M153" s="498">
        <v>0.34628778141530098</v>
      </c>
      <c r="N153" s="602">
        <v>3.12718871095039</v>
      </c>
      <c r="O153" s="602">
        <v>2.7809009295350902</v>
      </c>
      <c r="P153" s="498">
        <v>341006.63078900002</v>
      </c>
      <c r="Q153" s="602">
        <v>303245.420789</v>
      </c>
      <c r="R153" s="602">
        <v>-0.22512960299027401</v>
      </c>
      <c r="S153" s="602">
        <v>-24549.425858999999</v>
      </c>
      <c r="T153" s="602">
        <v>0</v>
      </c>
      <c r="U153" s="602">
        <v>0</v>
      </c>
      <c r="V153" s="602">
        <v>9.7057193292809998E-3</v>
      </c>
      <c r="W153" s="602">
        <v>1058.36742</v>
      </c>
      <c r="X153" s="602">
        <v>0</v>
      </c>
      <c r="Y153" s="602">
        <v>0</v>
      </c>
      <c r="Z153" s="602">
        <v>0</v>
      </c>
      <c r="AA153" s="602">
        <v>0</v>
      </c>
      <c r="AB153" s="602">
        <v>0</v>
      </c>
      <c r="AC153" s="602">
        <v>0</v>
      </c>
      <c r="AD153" s="602">
        <v>0</v>
      </c>
      <c r="AE153" s="602">
        <v>0</v>
      </c>
      <c r="AF153" s="602">
        <v>0</v>
      </c>
      <c r="AG153" s="602">
        <v>0</v>
      </c>
      <c r="AH153" s="602">
        <v>0</v>
      </c>
      <c r="AI153" s="602">
        <v>0</v>
      </c>
      <c r="AJ153" s="498">
        <v>0</v>
      </c>
      <c r="AK153" s="498">
        <v>0</v>
      </c>
      <c r="AL153" s="602">
        <v>2.9117648288483702</v>
      </c>
      <c r="AM153" s="602">
        <v>2.5654770474330801</v>
      </c>
      <c r="AN153" s="498">
        <v>317515.57251999999</v>
      </c>
      <c r="AO153" s="603">
        <v>279754.36252000002</v>
      </c>
    </row>
    <row r="154" spans="1:41" ht="12" thickBot="1">
      <c r="A154" s="918"/>
      <c r="B154" s="918"/>
      <c r="C154" s="918"/>
      <c r="D154" s="918"/>
      <c r="E154" s="918"/>
      <c r="F154" s="600" t="s">
        <v>371</v>
      </c>
      <c r="G154" s="600" t="s">
        <v>371</v>
      </c>
      <c r="H154" s="601">
        <v>170442</v>
      </c>
      <c r="I154" s="602">
        <v>764.37</v>
      </c>
      <c r="J154" s="602">
        <v>0.35</v>
      </c>
      <c r="K154" s="602">
        <v>765.90388399999995</v>
      </c>
      <c r="L154" s="602">
        <v>0.9</v>
      </c>
      <c r="M154" s="498">
        <v>0.35543807864888399</v>
      </c>
      <c r="N154" s="602">
        <v>3.2606799312474402</v>
      </c>
      <c r="O154" s="602">
        <v>2.9052418527366299</v>
      </c>
      <c r="P154" s="498">
        <v>8.2563239999999993</v>
      </c>
      <c r="Q154" s="602">
        <v>7.3563239999999999</v>
      </c>
      <c r="R154" s="602">
        <v>-0.235987583190477</v>
      </c>
      <c r="S154" s="602">
        <v>-0.59754099999999999</v>
      </c>
      <c r="T154" s="602">
        <v>0</v>
      </c>
      <c r="U154" s="602">
        <v>0</v>
      </c>
      <c r="V154" s="602">
        <v>0</v>
      </c>
      <c r="W154" s="602">
        <v>0</v>
      </c>
      <c r="X154" s="602">
        <v>0</v>
      </c>
      <c r="Y154" s="602">
        <v>0</v>
      </c>
      <c r="Z154" s="602">
        <v>0</v>
      </c>
      <c r="AA154" s="602">
        <v>0</v>
      </c>
      <c r="AB154" s="602">
        <v>0</v>
      </c>
      <c r="AC154" s="602">
        <v>0</v>
      </c>
      <c r="AD154" s="602">
        <v>0</v>
      </c>
      <c r="AE154" s="602">
        <v>0</v>
      </c>
      <c r="AF154" s="602">
        <v>0</v>
      </c>
      <c r="AG154" s="602">
        <v>0</v>
      </c>
      <c r="AH154" s="602">
        <v>0</v>
      </c>
      <c r="AI154" s="602">
        <v>0</v>
      </c>
      <c r="AJ154" s="498">
        <v>0</v>
      </c>
      <c r="AK154" s="498">
        <v>0</v>
      </c>
      <c r="AL154" s="602">
        <v>3.0246923480569698</v>
      </c>
      <c r="AM154" s="602">
        <v>2.6692542695461499</v>
      </c>
      <c r="AN154" s="498">
        <v>7.6587829999999997</v>
      </c>
      <c r="AO154" s="603">
        <v>6.7587830000000002</v>
      </c>
    </row>
    <row r="155" spans="1:41" ht="12" thickBot="1">
      <c r="A155" s="918"/>
      <c r="B155" s="918"/>
      <c r="C155" s="919"/>
      <c r="D155" s="919"/>
      <c r="E155" s="919"/>
      <c r="F155" s="600" t="s">
        <v>372</v>
      </c>
      <c r="G155" s="600" t="s">
        <v>372</v>
      </c>
      <c r="H155" s="601">
        <v>170443</v>
      </c>
      <c r="I155" s="602">
        <v>3976395.56</v>
      </c>
      <c r="J155" s="602">
        <v>0.35</v>
      </c>
      <c r="K155" s="602">
        <v>12728236.581157999</v>
      </c>
      <c r="L155" s="602">
        <v>14780.03</v>
      </c>
      <c r="M155" s="498">
        <v>0.35123904823527402</v>
      </c>
      <c r="N155" s="602">
        <v>3.2004028026680702</v>
      </c>
      <c r="O155" s="602">
        <v>2.8491637544327899</v>
      </c>
      <c r="P155" s="498">
        <v>134671.955391</v>
      </c>
      <c r="Q155" s="602">
        <v>119891.925391</v>
      </c>
      <c r="R155" s="602">
        <v>-0.230366457125082</v>
      </c>
      <c r="S155" s="602">
        <v>-9693.7489280000009</v>
      </c>
      <c r="T155" s="602">
        <v>0</v>
      </c>
      <c r="U155" s="602">
        <v>0</v>
      </c>
      <c r="V155" s="602">
        <v>0</v>
      </c>
      <c r="W155" s="602">
        <v>0</v>
      </c>
      <c r="X155" s="602">
        <v>0</v>
      </c>
      <c r="Y155" s="602">
        <v>0</v>
      </c>
      <c r="Z155" s="602">
        <v>0</v>
      </c>
      <c r="AA155" s="602">
        <v>0</v>
      </c>
      <c r="AB155" s="602">
        <v>0</v>
      </c>
      <c r="AC155" s="602">
        <v>0</v>
      </c>
      <c r="AD155" s="602">
        <v>0</v>
      </c>
      <c r="AE155" s="602">
        <v>0</v>
      </c>
      <c r="AF155" s="602">
        <v>0</v>
      </c>
      <c r="AG155" s="602">
        <v>0</v>
      </c>
      <c r="AH155" s="602">
        <v>0</v>
      </c>
      <c r="AI155" s="602">
        <v>0</v>
      </c>
      <c r="AJ155" s="498">
        <v>0</v>
      </c>
      <c r="AK155" s="498">
        <v>0</v>
      </c>
      <c r="AL155" s="602">
        <v>2.9700363405049202</v>
      </c>
      <c r="AM155" s="602">
        <v>2.6187972922696501</v>
      </c>
      <c r="AN155" s="498">
        <v>124978.206251</v>
      </c>
      <c r="AO155" s="603">
        <v>110198.176251</v>
      </c>
    </row>
    <row r="156" spans="1:41" ht="12" thickBot="1">
      <c r="A156" s="919"/>
      <c r="B156" s="919"/>
      <c r="C156" s="600" t="s">
        <v>373</v>
      </c>
      <c r="D156" s="600" t="s">
        <v>373</v>
      </c>
      <c r="E156" s="600" t="s">
        <v>373</v>
      </c>
      <c r="F156" s="600" t="s">
        <v>373</v>
      </c>
      <c r="G156" s="600" t="s">
        <v>373</v>
      </c>
      <c r="H156" s="601">
        <v>170451</v>
      </c>
      <c r="I156" s="602">
        <v>241572221.59999999</v>
      </c>
      <c r="J156" s="602">
        <v>2.08551119653858</v>
      </c>
      <c r="K156" s="602">
        <v>307933964.17594898</v>
      </c>
      <c r="L156" s="602">
        <v>2143915.5099999998</v>
      </c>
      <c r="M156" s="498">
        <v>2.1059390046024999</v>
      </c>
      <c r="N156" s="602">
        <v>3.8227100603247699</v>
      </c>
      <c r="O156" s="602">
        <v>1.7167710557222799</v>
      </c>
      <c r="P156" s="498">
        <v>3891645.185664</v>
      </c>
      <c r="Q156" s="602">
        <v>1747729.675664</v>
      </c>
      <c r="R156" s="602">
        <v>-0.31936433874230902</v>
      </c>
      <c r="S156" s="602">
        <v>-325123.452139</v>
      </c>
      <c r="T156" s="602">
        <v>0</v>
      </c>
      <c r="U156" s="602">
        <v>0</v>
      </c>
      <c r="V156" s="602">
        <v>0</v>
      </c>
      <c r="W156" s="602">
        <v>0</v>
      </c>
      <c r="X156" s="602">
        <v>0</v>
      </c>
      <c r="Y156" s="602">
        <v>0</v>
      </c>
      <c r="Z156" s="602">
        <v>0</v>
      </c>
      <c r="AA156" s="602">
        <v>0</v>
      </c>
      <c r="AB156" s="602">
        <v>0</v>
      </c>
      <c r="AC156" s="602">
        <v>0</v>
      </c>
      <c r="AD156" s="602">
        <v>0</v>
      </c>
      <c r="AE156" s="602">
        <v>0</v>
      </c>
      <c r="AF156" s="602">
        <v>0</v>
      </c>
      <c r="AG156" s="602">
        <v>0</v>
      </c>
      <c r="AH156" s="602">
        <v>0</v>
      </c>
      <c r="AI156" s="602">
        <v>0</v>
      </c>
      <c r="AJ156" s="498">
        <v>0</v>
      </c>
      <c r="AK156" s="498">
        <v>0</v>
      </c>
      <c r="AL156" s="602">
        <v>3.5033457220303901</v>
      </c>
      <c r="AM156" s="602">
        <v>1.3974067174278999</v>
      </c>
      <c r="AN156" s="498">
        <v>3566521.7339809998</v>
      </c>
      <c r="AO156" s="603">
        <v>1422606.223981</v>
      </c>
    </row>
    <row r="157" spans="1:41" ht="12" thickBot="1">
      <c r="A157" s="917" t="s">
        <v>374</v>
      </c>
      <c r="B157" s="917" t="s">
        <v>375</v>
      </c>
      <c r="C157" s="917" t="s">
        <v>376</v>
      </c>
      <c r="D157" s="917" t="s">
        <v>377</v>
      </c>
      <c r="E157" s="600" t="s">
        <v>378</v>
      </c>
      <c r="F157" s="600" t="s">
        <v>378</v>
      </c>
      <c r="G157" s="600" t="s">
        <v>378</v>
      </c>
      <c r="H157" s="601">
        <v>270001</v>
      </c>
      <c r="I157" s="602">
        <v>4290878585.1199999</v>
      </c>
      <c r="J157" s="602">
        <v>5.2855636134506403</v>
      </c>
      <c r="K157" s="602">
        <v>4321492105.5950403</v>
      </c>
      <c r="L157" s="602">
        <v>75378181.549999997</v>
      </c>
      <c r="M157" s="498">
        <v>5.27603474941216</v>
      </c>
      <c r="N157" s="602">
        <v>3.85317022913428</v>
      </c>
      <c r="O157" s="602">
        <v>1.42286452027788</v>
      </c>
      <c r="P157" s="498">
        <v>55049858.249531001</v>
      </c>
      <c r="Q157" s="602">
        <v>20328323.300469</v>
      </c>
      <c r="R157" s="602">
        <v>0</v>
      </c>
      <c r="S157" s="602">
        <v>0</v>
      </c>
      <c r="T157" s="602">
        <v>0.35619064996747501</v>
      </c>
      <c r="U157" s="602">
        <v>5088860.2435100004</v>
      </c>
      <c r="V157" s="602">
        <v>0</v>
      </c>
      <c r="W157" s="602">
        <v>0</v>
      </c>
      <c r="X157" s="602">
        <v>0</v>
      </c>
      <c r="Y157" s="602">
        <v>0</v>
      </c>
      <c r="Z157" s="602">
        <v>0</v>
      </c>
      <c r="AA157" s="602">
        <v>0</v>
      </c>
      <c r="AB157" s="602">
        <v>0</v>
      </c>
      <c r="AC157" s="602">
        <v>0</v>
      </c>
      <c r="AD157" s="602">
        <v>0</v>
      </c>
      <c r="AE157" s="602">
        <v>0</v>
      </c>
      <c r="AF157" s="602">
        <v>0</v>
      </c>
      <c r="AG157" s="602">
        <v>0</v>
      </c>
      <c r="AH157" s="602">
        <v>0</v>
      </c>
      <c r="AI157" s="602">
        <v>0</v>
      </c>
      <c r="AJ157" s="498">
        <v>-2.4497966494000002E-4</v>
      </c>
      <c r="AK157" s="498">
        <v>-3500.0000070000001</v>
      </c>
      <c r="AL157" s="602">
        <v>4.2091158994331099</v>
      </c>
      <c r="AM157" s="602">
        <v>1.0669188499790501</v>
      </c>
      <c r="AN157" s="498">
        <v>60135218.492981002</v>
      </c>
      <c r="AO157" s="603">
        <v>15242963.057019001</v>
      </c>
    </row>
    <row r="158" spans="1:41" ht="12" thickBot="1">
      <c r="A158" s="918"/>
      <c r="B158" s="918"/>
      <c r="C158" s="918"/>
      <c r="D158" s="918"/>
      <c r="E158" s="600" t="s">
        <v>379</v>
      </c>
      <c r="F158" s="600" t="s">
        <v>379</v>
      </c>
      <c r="G158" s="600" t="s">
        <v>379</v>
      </c>
      <c r="H158" s="601">
        <v>270002</v>
      </c>
      <c r="I158" s="602">
        <v>5068147.03</v>
      </c>
      <c r="J158" s="602">
        <v>6.1750800000001203</v>
      </c>
      <c r="K158" s="602">
        <v>10676423.949999999</v>
      </c>
      <c r="L158" s="602">
        <v>237040.76</v>
      </c>
      <c r="M158" s="498">
        <v>6.7157254806874196</v>
      </c>
      <c r="N158" s="602">
        <v>4.3723473694529602</v>
      </c>
      <c r="O158" s="602">
        <v>2.3433781112344501</v>
      </c>
      <c r="P158" s="498">
        <v>154328.00915100001</v>
      </c>
      <c r="Q158" s="602">
        <v>82712.750849000004</v>
      </c>
      <c r="R158" s="602">
        <v>0</v>
      </c>
      <c r="S158" s="602">
        <v>0</v>
      </c>
      <c r="T158" s="602">
        <v>0.13964808692705299</v>
      </c>
      <c r="U158" s="602">
        <v>4929.0711410000004</v>
      </c>
      <c r="V158" s="602">
        <v>0</v>
      </c>
      <c r="W158" s="602">
        <v>0</v>
      </c>
      <c r="X158" s="602">
        <v>0</v>
      </c>
      <c r="Y158" s="602">
        <v>0</v>
      </c>
      <c r="Z158" s="602">
        <v>0</v>
      </c>
      <c r="AA158" s="602">
        <v>0</v>
      </c>
      <c r="AB158" s="602">
        <v>0</v>
      </c>
      <c r="AC158" s="602">
        <v>0</v>
      </c>
      <c r="AD158" s="602">
        <v>0</v>
      </c>
      <c r="AE158" s="602">
        <v>0</v>
      </c>
      <c r="AF158" s="602">
        <v>0</v>
      </c>
      <c r="AG158" s="602">
        <v>0</v>
      </c>
      <c r="AH158" s="602">
        <v>0</v>
      </c>
      <c r="AI158" s="602">
        <v>0</v>
      </c>
      <c r="AJ158" s="498">
        <v>0</v>
      </c>
      <c r="AK158" s="498">
        <v>0</v>
      </c>
      <c r="AL158" s="602">
        <v>4.5119954558983801</v>
      </c>
      <c r="AM158" s="602">
        <v>2.2037300247890301</v>
      </c>
      <c r="AN158" s="498">
        <v>159257.08027499999</v>
      </c>
      <c r="AO158" s="603">
        <v>77783.679724999995</v>
      </c>
    </row>
    <row r="159" spans="1:41" ht="12" thickBot="1">
      <c r="A159" s="918"/>
      <c r="B159" s="918"/>
      <c r="C159" s="918"/>
      <c r="D159" s="918"/>
      <c r="E159" s="600" t="s">
        <v>380</v>
      </c>
      <c r="F159" s="600" t="s">
        <v>380</v>
      </c>
      <c r="G159" s="600" t="s">
        <v>380</v>
      </c>
      <c r="H159" s="601">
        <v>270003</v>
      </c>
      <c r="I159" s="602">
        <v>614839398.57000005</v>
      </c>
      <c r="J159" s="602">
        <v>7.2530729434483696</v>
      </c>
      <c r="K159" s="602">
        <v>838111176.42000103</v>
      </c>
      <c r="L159" s="602">
        <v>19550305.48</v>
      </c>
      <c r="M159" s="498">
        <v>7.0558222371266197</v>
      </c>
      <c r="N159" s="602">
        <v>4.2694938195779404</v>
      </c>
      <c r="O159" s="602">
        <v>2.7863284175486802</v>
      </c>
      <c r="P159" s="498">
        <v>11829933.580032</v>
      </c>
      <c r="Q159" s="602">
        <v>7720371.8999680001</v>
      </c>
      <c r="R159" s="602">
        <v>0</v>
      </c>
      <c r="S159" s="602">
        <v>0</v>
      </c>
      <c r="T159" s="602">
        <v>0.10713993635361301</v>
      </c>
      <c r="U159" s="602">
        <v>296863.84016299999</v>
      </c>
      <c r="V159" s="602">
        <v>0</v>
      </c>
      <c r="W159" s="602">
        <v>0</v>
      </c>
      <c r="X159" s="602">
        <v>0</v>
      </c>
      <c r="Y159" s="602">
        <v>0</v>
      </c>
      <c r="Z159" s="602">
        <v>0</v>
      </c>
      <c r="AA159" s="602">
        <v>0</v>
      </c>
      <c r="AB159" s="602">
        <v>0</v>
      </c>
      <c r="AC159" s="602">
        <v>0</v>
      </c>
      <c r="AD159" s="602">
        <v>0</v>
      </c>
      <c r="AE159" s="602">
        <v>0</v>
      </c>
      <c r="AF159" s="602">
        <v>0</v>
      </c>
      <c r="AG159" s="602">
        <v>0</v>
      </c>
      <c r="AH159" s="602">
        <v>0</v>
      </c>
      <c r="AI159" s="602">
        <v>0</v>
      </c>
      <c r="AJ159" s="498">
        <v>0</v>
      </c>
      <c r="AK159" s="498">
        <v>0</v>
      </c>
      <c r="AL159" s="602">
        <v>4.3766337558914996</v>
      </c>
      <c r="AM159" s="602">
        <v>2.6791884812351299</v>
      </c>
      <c r="AN159" s="498">
        <v>12126797.420084</v>
      </c>
      <c r="AO159" s="603">
        <v>7423508.0599159999</v>
      </c>
    </row>
    <row r="160" spans="1:41" ht="12" thickBot="1">
      <c r="A160" s="918"/>
      <c r="B160" s="918"/>
      <c r="C160" s="918"/>
      <c r="D160" s="918"/>
      <c r="E160" s="600" t="s">
        <v>381</v>
      </c>
      <c r="F160" s="600" t="s">
        <v>381</v>
      </c>
      <c r="G160" s="600" t="s">
        <v>381</v>
      </c>
      <c r="H160" s="601">
        <v>270004</v>
      </c>
      <c r="I160" s="602">
        <v>10859910162.49</v>
      </c>
      <c r="J160" s="602">
        <v>5.9429199532219599</v>
      </c>
      <c r="K160" s="602">
        <v>10969199644.750799</v>
      </c>
      <c r="L160" s="602">
        <v>225603279.61000001</v>
      </c>
      <c r="M160" s="498">
        <v>6.2210856823902496</v>
      </c>
      <c r="N160" s="602">
        <v>3.9597969939673798</v>
      </c>
      <c r="O160" s="602">
        <v>2.26128868842288</v>
      </c>
      <c r="P160" s="498">
        <v>143599242.003306</v>
      </c>
      <c r="Q160" s="602">
        <v>82004037.606693998</v>
      </c>
      <c r="R160" s="602">
        <v>0</v>
      </c>
      <c r="S160" s="602">
        <v>0</v>
      </c>
      <c r="T160" s="602">
        <v>0.35237078709040698</v>
      </c>
      <c r="U160" s="602">
        <v>12778477.787466999</v>
      </c>
      <c r="V160" s="602">
        <v>0</v>
      </c>
      <c r="W160" s="602">
        <v>0</v>
      </c>
      <c r="X160" s="602">
        <v>0</v>
      </c>
      <c r="Y160" s="602">
        <v>0</v>
      </c>
      <c r="Z160" s="602">
        <v>0</v>
      </c>
      <c r="AA160" s="602">
        <v>0</v>
      </c>
      <c r="AB160" s="602">
        <v>0</v>
      </c>
      <c r="AC160" s="602">
        <v>0</v>
      </c>
      <c r="AD160" s="602">
        <v>0</v>
      </c>
      <c r="AE160" s="602">
        <v>0</v>
      </c>
      <c r="AF160" s="602">
        <v>0</v>
      </c>
      <c r="AG160" s="602">
        <v>0</v>
      </c>
      <c r="AH160" s="602">
        <v>0</v>
      </c>
      <c r="AI160" s="602">
        <v>0</v>
      </c>
      <c r="AJ160" s="498">
        <v>-4.7267826412699998E-4</v>
      </c>
      <c r="AK160" s="498">
        <v>-17141.343494000001</v>
      </c>
      <c r="AL160" s="602">
        <v>4.3116951028032799</v>
      </c>
      <c r="AM160" s="602">
        <v>1.9093905795869699</v>
      </c>
      <c r="AN160" s="498">
        <v>156360578.44762799</v>
      </c>
      <c r="AO160" s="603">
        <v>69242701.162371993</v>
      </c>
    </row>
    <row r="161" spans="1:41" ht="12" thickBot="1">
      <c r="A161" s="918"/>
      <c r="B161" s="918"/>
      <c r="C161" s="918"/>
      <c r="D161" s="918"/>
      <c r="E161" s="600" t="s">
        <v>382</v>
      </c>
      <c r="F161" s="600" t="s">
        <v>382</v>
      </c>
      <c r="G161" s="600" t="s">
        <v>382</v>
      </c>
      <c r="H161" s="601">
        <v>270005</v>
      </c>
      <c r="I161" s="602">
        <v>14061858958.65</v>
      </c>
      <c r="J161" s="602">
        <v>6.0884696565198002</v>
      </c>
      <c r="K161" s="602">
        <v>13003694717.004499</v>
      </c>
      <c r="L161" s="602">
        <v>257542387.53</v>
      </c>
      <c r="M161" s="498">
        <v>5.9907013198523202</v>
      </c>
      <c r="N161" s="602">
        <v>3.89896962998347</v>
      </c>
      <c r="O161" s="602">
        <v>2.0917316898688498</v>
      </c>
      <c r="P161" s="498">
        <v>167618095.74536699</v>
      </c>
      <c r="Q161" s="602">
        <v>89924291.784632996</v>
      </c>
      <c r="R161" s="602">
        <v>0</v>
      </c>
      <c r="S161" s="602">
        <v>0</v>
      </c>
      <c r="T161" s="602">
        <v>0.31733438859514201</v>
      </c>
      <c r="U161" s="602">
        <v>13642318.606894</v>
      </c>
      <c r="V161" s="602">
        <v>0</v>
      </c>
      <c r="W161" s="602">
        <v>0</v>
      </c>
      <c r="X161" s="602">
        <v>0</v>
      </c>
      <c r="Y161" s="602">
        <v>0</v>
      </c>
      <c r="Z161" s="602">
        <v>0</v>
      </c>
      <c r="AA161" s="602">
        <v>0</v>
      </c>
      <c r="AB161" s="602">
        <v>0</v>
      </c>
      <c r="AC161" s="602">
        <v>0</v>
      </c>
      <c r="AD161" s="602">
        <v>0</v>
      </c>
      <c r="AE161" s="602">
        <v>0</v>
      </c>
      <c r="AF161" s="602">
        <v>0</v>
      </c>
      <c r="AG161" s="602">
        <v>0</v>
      </c>
      <c r="AH161" s="602">
        <v>0</v>
      </c>
      <c r="AI161" s="602">
        <v>0</v>
      </c>
      <c r="AJ161" s="498">
        <v>-9.4613162883699995E-4</v>
      </c>
      <c r="AK161" s="498">
        <v>-40674.536352000003</v>
      </c>
      <c r="AL161" s="602">
        <v>4.2153578869455597</v>
      </c>
      <c r="AM161" s="602">
        <v>1.7753434329067601</v>
      </c>
      <c r="AN161" s="498">
        <v>181219739.81572801</v>
      </c>
      <c r="AO161" s="603">
        <v>76322647.714271903</v>
      </c>
    </row>
    <row r="162" spans="1:41" ht="12" thickBot="1">
      <c r="A162" s="918"/>
      <c r="B162" s="918"/>
      <c r="C162" s="918"/>
      <c r="D162" s="919"/>
      <c r="E162" s="600" t="s">
        <v>383</v>
      </c>
      <c r="F162" s="600" t="s">
        <v>383</v>
      </c>
      <c r="G162" s="600" t="s">
        <v>383</v>
      </c>
      <c r="H162" s="601">
        <v>270007</v>
      </c>
      <c r="I162" s="602">
        <v>9088587873.3299999</v>
      </c>
      <c r="J162" s="602">
        <v>7.6090913500333599</v>
      </c>
      <c r="K162" s="602">
        <v>9430149998.6618195</v>
      </c>
      <c r="L162" s="602">
        <v>231166732.84</v>
      </c>
      <c r="M162" s="498">
        <v>7.41485135675003</v>
      </c>
      <c r="N162" s="602">
        <v>4.1117206941521403</v>
      </c>
      <c r="O162" s="602">
        <v>3.3031306625978898</v>
      </c>
      <c r="P162" s="498">
        <v>128187740.183422</v>
      </c>
      <c r="Q162" s="602">
        <v>102978992.656578</v>
      </c>
      <c r="R162" s="602">
        <v>0</v>
      </c>
      <c r="S162" s="602">
        <v>0</v>
      </c>
      <c r="T162" s="602">
        <v>0.17920858533439299</v>
      </c>
      <c r="U162" s="602">
        <v>5587038.9270740002</v>
      </c>
      <c r="V162" s="602">
        <v>0</v>
      </c>
      <c r="W162" s="602">
        <v>0</v>
      </c>
      <c r="X162" s="602">
        <v>0</v>
      </c>
      <c r="Y162" s="602">
        <v>0</v>
      </c>
      <c r="Z162" s="602">
        <v>0</v>
      </c>
      <c r="AA162" s="602">
        <v>0</v>
      </c>
      <c r="AB162" s="602">
        <v>0</v>
      </c>
      <c r="AC162" s="602">
        <v>0</v>
      </c>
      <c r="AD162" s="602">
        <v>-2.3759973311706001E-2</v>
      </c>
      <c r="AE162" s="602">
        <v>-740745.17998699995</v>
      </c>
      <c r="AF162" s="602">
        <v>0</v>
      </c>
      <c r="AG162" s="602">
        <v>0</v>
      </c>
      <c r="AH162" s="602">
        <v>0</v>
      </c>
      <c r="AI162" s="602">
        <v>0</v>
      </c>
      <c r="AJ162" s="498">
        <v>-2.647526819114E-3</v>
      </c>
      <c r="AK162" s="498">
        <v>-82539.769906999994</v>
      </c>
      <c r="AL162" s="602">
        <v>4.2645217793510604</v>
      </c>
      <c r="AM162" s="602">
        <v>3.1503295773989701</v>
      </c>
      <c r="AN162" s="498">
        <v>132951494.160457</v>
      </c>
      <c r="AO162" s="603">
        <v>98215238.679543003</v>
      </c>
    </row>
    <row r="163" spans="1:41" ht="12" thickBot="1">
      <c r="A163" s="918"/>
      <c r="B163" s="918"/>
      <c r="C163" s="918"/>
      <c r="D163" s="600" t="s">
        <v>384</v>
      </c>
      <c r="E163" s="600" t="s">
        <v>384</v>
      </c>
      <c r="F163" s="600" t="s">
        <v>384</v>
      </c>
      <c r="G163" s="600" t="s">
        <v>384</v>
      </c>
      <c r="H163" s="601">
        <v>270021</v>
      </c>
      <c r="I163" s="602">
        <v>7902480355.6400003</v>
      </c>
      <c r="J163" s="602">
        <v>4.6739139620433097</v>
      </c>
      <c r="K163" s="602">
        <v>7924325837.8646297</v>
      </c>
      <c r="L163" s="602">
        <v>135731158.15000001</v>
      </c>
      <c r="M163" s="498">
        <v>5.1809922784127496</v>
      </c>
      <c r="N163" s="602">
        <v>4.1634987041989504</v>
      </c>
      <c r="O163" s="602">
        <v>1.0174935742138</v>
      </c>
      <c r="P163" s="498">
        <v>109074955.280589</v>
      </c>
      <c r="Q163" s="602">
        <v>26656202.869410999</v>
      </c>
      <c r="R163" s="602">
        <v>0</v>
      </c>
      <c r="S163" s="602">
        <v>0</v>
      </c>
      <c r="T163" s="602">
        <v>0.37626255882975501</v>
      </c>
      <c r="U163" s="602">
        <v>9857291.8340830002</v>
      </c>
      <c r="V163" s="602">
        <v>0</v>
      </c>
      <c r="W163" s="602">
        <v>0</v>
      </c>
      <c r="X163" s="602">
        <v>0</v>
      </c>
      <c r="Y163" s="602">
        <v>0</v>
      </c>
      <c r="Z163" s="602">
        <v>0</v>
      </c>
      <c r="AA163" s="602">
        <v>0</v>
      </c>
      <c r="AB163" s="602">
        <v>0</v>
      </c>
      <c r="AC163" s="602">
        <v>0</v>
      </c>
      <c r="AD163" s="602">
        <v>0</v>
      </c>
      <c r="AE163" s="602">
        <v>0</v>
      </c>
      <c r="AF163" s="602">
        <v>0</v>
      </c>
      <c r="AG163" s="602">
        <v>0</v>
      </c>
      <c r="AH163" s="602">
        <v>0</v>
      </c>
      <c r="AI163" s="602">
        <v>0</v>
      </c>
      <c r="AJ163" s="498">
        <v>-4.6330469318189996E-3</v>
      </c>
      <c r="AK163" s="498">
        <v>-121376.136467</v>
      </c>
      <c r="AL163" s="602">
        <v>4.5351282160720396</v>
      </c>
      <c r="AM163" s="602">
        <v>0.64586406234071503</v>
      </c>
      <c r="AN163" s="498">
        <v>118810870.97755399</v>
      </c>
      <c r="AO163" s="603">
        <v>16920287.172446001</v>
      </c>
    </row>
    <row r="164" spans="1:41" ht="12" thickBot="1">
      <c r="A164" s="918"/>
      <c r="B164" s="918"/>
      <c r="C164" s="919"/>
      <c r="D164" s="600" t="s">
        <v>385</v>
      </c>
      <c r="E164" s="600" t="s">
        <v>385</v>
      </c>
      <c r="F164" s="600" t="s">
        <v>385</v>
      </c>
      <c r="G164" s="600" t="s">
        <v>385</v>
      </c>
      <c r="H164" s="601">
        <v>270022</v>
      </c>
      <c r="I164" s="602">
        <v>1257600000</v>
      </c>
      <c r="J164" s="602">
        <v>6.8643936068702303</v>
      </c>
      <c r="K164" s="602">
        <v>1345914049.5867801</v>
      </c>
      <c r="L164" s="602">
        <v>31934756.050000001</v>
      </c>
      <c r="M164" s="498">
        <v>7.1769842205610397</v>
      </c>
      <c r="N164" s="602">
        <v>4.4107959122175302</v>
      </c>
      <c r="O164" s="602">
        <v>2.7661883083435099</v>
      </c>
      <c r="P164" s="498">
        <v>19626306.414255001</v>
      </c>
      <c r="Q164" s="602">
        <v>12308449.635745</v>
      </c>
      <c r="R164" s="602">
        <v>0</v>
      </c>
      <c r="S164" s="602">
        <v>0</v>
      </c>
      <c r="T164" s="602">
        <v>0.16304419072203499</v>
      </c>
      <c r="U164" s="602">
        <v>725482.50017899997</v>
      </c>
      <c r="V164" s="602">
        <v>0</v>
      </c>
      <c r="W164" s="602">
        <v>0</v>
      </c>
      <c r="X164" s="602">
        <v>0</v>
      </c>
      <c r="Y164" s="602">
        <v>0</v>
      </c>
      <c r="Z164" s="602">
        <v>0</v>
      </c>
      <c r="AA164" s="602">
        <v>0</v>
      </c>
      <c r="AB164" s="602">
        <v>0</v>
      </c>
      <c r="AC164" s="602">
        <v>0</v>
      </c>
      <c r="AD164" s="602">
        <v>0</v>
      </c>
      <c r="AE164" s="602">
        <v>0</v>
      </c>
      <c r="AF164" s="602">
        <v>0</v>
      </c>
      <c r="AG164" s="602">
        <v>0</v>
      </c>
      <c r="AH164" s="602">
        <v>0</v>
      </c>
      <c r="AI164" s="602">
        <v>0</v>
      </c>
      <c r="AJ164" s="498">
        <v>0</v>
      </c>
      <c r="AK164" s="498">
        <v>0</v>
      </c>
      <c r="AL164" s="602">
        <v>4.5738401028829303</v>
      </c>
      <c r="AM164" s="602">
        <v>2.6031441176781098</v>
      </c>
      <c r="AN164" s="498">
        <v>20351788.914182</v>
      </c>
      <c r="AO164" s="603">
        <v>11582967.135818001</v>
      </c>
    </row>
    <row r="165" spans="1:41" ht="12" thickBot="1">
      <c r="A165" s="918"/>
      <c r="B165" s="918"/>
      <c r="C165" s="917" t="s">
        <v>386</v>
      </c>
      <c r="D165" s="917" t="s">
        <v>387</v>
      </c>
      <c r="E165" s="600" t="s">
        <v>387</v>
      </c>
      <c r="F165" s="600" t="s">
        <v>387</v>
      </c>
      <c r="G165" s="600" t="s">
        <v>387</v>
      </c>
      <c r="H165" s="601">
        <v>270031</v>
      </c>
      <c r="I165" s="602">
        <v>22533339037.430099</v>
      </c>
      <c r="J165" s="602">
        <v>5.3950842442512501</v>
      </c>
      <c r="K165" s="602">
        <v>26765025934.8587</v>
      </c>
      <c r="L165" s="602">
        <v>421505421.60242099</v>
      </c>
      <c r="M165" s="498">
        <v>4.7635553036763003</v>
      </c>
      <c r="N165" s="602">
        <v>4.0723880913650703</v>
      </c>
      <c r="O165" s="602">
        <v>0.69116721231120404</v>
      </c>
      <c r="P165" s="498">
        <v>360347167.17884499</v>
      </c>
      <c r="Q165" s="602">
        <v>61158254.423574999</v>
      </c>
      <c r="R165" s="602">
        <v>0</v>
      </c>
      <c r="S165" s="602">
        <v>0</v>
      </c>
      <c r="T165" s="602">
        <v>1.5175047450130001E-3</v>
      </c>
      <c r="U165" s="602">
        <v>134277.117941</v>
      </c>
      <c r="V165" s="602">
        <v>0</v>
      </c>
      <c r="W165" s="602">
        <v>0</v>
      </c>
      <c r="X165" s="602">
        <v>0</v>
      </c>
      <c r="Y165" s="602">
        <v>0</v>
      </c>
      <c r="Z165" s="602">
        <v>0</v>
      </c>
      <c r="AA165" s="602">
        <v>0</v>
      </c>
      <c r="AB165" s="602">
        <v>0</v>
      </c>
      <c r="AC165" s="602">
        <v>0</v>
      </c>
      <c r="AD165" s="602">
        <v>-3.6808505538242997E-2</v>
      </c>
      <c r="AE165" s="602">
        <v>-3257017.848303</v>
      </c>
      <c r="AF165" s="602">
        <v>0</v>
      </c>
      <c r="AG165" s="602">
        <v>0</v>
      </c>
      <c r="AH165" s="602">
        <v>0</v>
      </c>
      <c r="AI165" s="602">
        <v>0</v>
      </c>
      <c r="AJ165" s="498">
        <v>-1.4437512809610999E-2</v>
      </c>
      <c r="AK165" s="498">
        <v>-1277510.0813899999</v>
      </c>
      <c r="AL165" s="602">
        <v>4.0226595777682101</v>
      </c>
      <c r="AM165" s="602">
        <v>0.74089572590806596</v>
      </c>
      <c r="AN165" s="498">
        <v>355946916.36762202</v>
      </c>
      <c r="AO165" s="603">
        <v>65558505.234797902</v>
      </c>
    </row>
    <row r="166" spans="1:41" ht="12" thickBot="1">
      <c r="A166" s="918"/>
      <c r="B166" s="918"/>
      <c r="C166" s="918"/>
      <c r="D166" s="919"/>
      <c r="E166" s="600" t="s">
        <v>388</v>
      </c>
      <c r="F166" s="600" t="s">
        <v>388</v>
      </c>
      <c r="G166" s="600" t="s">
        <v>388</v>
      </c>
      <c r="H166" s="601">
        <v>270034</v>
      </c>
      <c r="I166" s="602">
        <v>0</v>
      </c>
      <c r="J166" s="602">
        <v>0</v>
      </c>
      <c r="K166" s="602">
        <v>165289.25619799999</v>
      </c>
      <c r="L166" s="602">
        <v>2659.72</v>
      </c>
      <c r="M166" s="498">
        <v>4.8672876000102203</v>
      </c>
      <c r="N166" s="602">
        <v>2.7068979085499998</v>
      </c>
      <c r="O166" s="602">
        <v>2.1603896914499998</v>
      </c>
      <c r="P166" s="498">
        <v>1479.179185</v>
      </c>
      <c r="Q166" s="602">
        <v>1180.5408150000001</v>
      </c>
      <c r="R166" s="602">
        <v>0</v>
      </c>
      <c r="S166" s="602">
        <v>0</v>
      </c>
      <c r="T166" s="602">
        <v>4.574999817E-2</v>
      </c>
      <c r="U166" s="602">
        <v>24.999998999999999</v>
      </c>
      <c r="V166" s="602">
        <v>0</v>
      </c>
      <c r="W166" s="602">
        <v>0</v>
      </c>
      <c r="X166" s="602">
        <v>0</v>
      </c>
      <c r="Y166" s="602">
        <v>0</v>
      </c>
      <c r="Z166" s="602">
        <v>0</v>
      </c>
      <c r="AA166" s="602">
        <v>0</v>
      </c>
      <c r="AB166" s="602">
        <v>0</v>
      </c>
      <c r="AC166" s="602">
        <v>0</v>
      </c>
      <c r="AD166" s="602">
        <v>0</v>
      </c>
      <c r="AE166" s="602">
        <v>0</v>
      </c>
      <c r="AF166" s="602">
        <v>0</v>
      </c>
      <c r="AG166" s="602">
        <v>0</v>
      </c>
      <c r="AH166" s="602">
        <v>0</v>
      </c>
      <c r="AI166" s="602">
        <v>0</v>
      </c>
      <c r="AJ166" s="498">
        <v>0</v>
      </c>
      <c r="AK166" s="498">
        <v>0</v>
      </c>
      <c r="AL166" s="602">
        <v>2.75264790672</v>
      </c>
      <c r="AM166" s="602">
        <v>2.11463969328</v>
      </c>
      <c r="AN166" s="498">
        <v>1504.1791840000001</v>
      </c>
      <c r="AO166" s="603">
        <v>1155.5408159999999</v>
      </c>
    </row>
    <row r="167" spans="1:41" ht="12" thickBot="1">
      <c r="A167" s="918"/>
      <c r="B167" s="918"/>
      <c r="C167" s="919"/>
      <c r="D167" s="600" t="s">
        <v>389</v>
      </c>
      <c r="E167" s="600" t="s">
        <v>389</v>
      </c>
      <c r="F167" s="600" t="s">
        <v>389</v>
      </c>
      <c r="G167" s="600" t="s">
        <v>389</v>
      </c>
      <c r="H167" s="601">
        <v>270032</v>
      </c>
      <c r="I167" s="602">
        <v>52044657469.519997</v>
      </c>
      <c r="J167" s="602">
        <v>5.7055706481644402</v>
      </c>
      <c r="K167" s="602">
        <v>52344835673.506203</v>
      </c>
      <c r="L167" s="602">
        <v>976045434.54707396</v>
      </c>
      <c r="M167" s="498">
        <v>5.6401662919334203</v>
      </c>
      <c r="N167" s="602">
        <v>4.0109453537564699</v>
      </c>
      <c r="O167" s="602">
        <v>1.62922093817695</v>
      </c>
      <c r="P167" s="498">
        <v>694104517.15773702</v>
      </c>
      <c r="Q167" s="602">
        <v>281940917.38933498</v>
      </c>
      <c r="R167" s="602">
        <v>0</v>
      </c>
      <c r="S167" s="602">
        <v>0</v>
      </c>
      <c r="T167" s="602">
        <v>0.12867889572014099</v>
      </c>
      <c r="U167" s="602">
        <v>22268217.316541001</v>
      </c>
      <c r="V167" s="602">
        <v>0</v>
      </c>
      <c r="W167" s="602">
        <v>0</v>
      </c>
      <c r="X167" s="602">
        <v>0</v>
      </c>
      <c r="Y167" s="602">
        <v>0</v>
      </c>
      <c r="Z167" s="602">
        <v>0</v>
      </c>
      <c r="AA167" s="602">
        <v>0</v>
      </c>
      <c r="AB167" s="602">
        <v>0</v>
      </c>
      <c r="AC167" s="602">
        <v>0</v>
      </c>
      <c r="AD167" s="602">
        <v>-3.6118208725157003E-2</v>
      </c>
      <c r="AE167" s="602">
        <v>-6250349.8842979996</v>
      </c>
      <c r="AF167" s="602">
        <v>0</v>
      </c>
      <c r="AG167" s="602">
        <v>0</v>
      </c>
      <c r="AH167" s="602">
        <v>0</v>
      </c>
      <c r="AI167" s="602">
        <v>0</v>
      </c>
      <c r="AJ167" s="498">
        <v>-1.5322649215364E-2</v>
      </c>
      <c r="AK167" s="498">
        <v>-2651624.267393</v>
      </c>
      <c r="AL167" s="602">
        <v>4.0881833915579602</v>
      </c>
      <c r="AM167" s="602">
        <v>1.5519829003754699</v>
      </c>
      <c r="AN167" s="498">
        <v>707470760.32637095</v>
      </c>
      <c r="AO167" s="603">
        <v>268574674.22070199</v>
      </c>
    </row>
    <row r="168" spans="1:41" ht="12" thickBot="1">
      <c r="A168" s="918"/>
      <c r="B168" s="918"/>
      <c r="C168" s="917" t="s">
        <v>390</v>
      </c>
      <c r="D168" s="600" t="s">
        <v>391</v>
      </c>
      <c r="E168" s="600" t="s">
        <v>391</v>
      </c>
      <c r="F168" s="600" t="s">
        <v>391</v>
      </c>
      <c r="G168" s="600" t="s">
        <v>391</v>
      </c>
      <c r="H168" s="601">
        <v>270041</v>
      </c>
      <c r="I168" s="602">
        <v>191987293.03</v>
      </c>
      <c r="J168" s="602">
        <v>5.9182169508101703</v>
      </c>
      <c r="K168" s="602">
        <v>195745331.76380199</v>
      </c>
      <c r="L168" s="602">
        <v>3817411.65</v>
      </c>
      <c r="M168" s="498">
        <v>5.8989307258514199</v>
      </c>
      <c r="N168" s="602">
        <v>3.53931690491692</v>
      </c>
      <c r="O168" s="602">
        <v>2.3596138209345101</v>
      </c>
      <c r="P168" s="498">
        <v>2290420.1140490002</v>
      </c>
      <c r="Q168" s="602">
        <v>1526991.5359509999</v>
      </c>
      <c r="R168" s="602">
        <v>0</v>
      </c>
      <c r="S168" s="602">
        <v>0</v>
      </c>
      <c r="T168" s="602">
        <v>0.38704338157770102</v>
      </c>
      <c r="U168" s="602">
        <v>250469.78555199999</v>
      </c>
      <c r="V168" s="602">
        <v>0</v>
      </c>
      <c r="W168" s="602">
        <v>0</v>
      </c>
      <c r="X168" s="602">
        <v>0</v>
      </c>
      <c r="Y168" s="602">
        <v>0</v>
      </c>
      <c r="Z168" s="602">
        <v>0</v>
      </c>
      <c r="AA168" s="602">
        <v>0</v>
      </c>
      <c r="AB168" s="602">
        <v>0</v>
      </c>
      <c r="AC168" s="602">
        <v>0</v>
      </c>
      <c r="AD168" s="602">
        <v>0</v>
      </c>
      <c r="AE168" s="602">
        <v>0</v>
      </c>
      <c r="AF168" s="602">
        <v>0</v>
      </c>
      <c r="AG168" s="602">
        <v>0</v>
      </c>
      <c r="AH168" s="602">
        <v>0</v>
      </c>
      <c r="AI168" s="602">
        <v>0</v>
      </c>
      <c r="AJ168" s="498">
        <v>0</v>
      </c>
      <c r="AK168" s="498">
        <v>0</v>
      </c>
      <c r="AL168" s="602">
        <v>3.9263602861592899</v>
      </c>
      <c r="AM168" s="602">
        <v>1.97257043969213</v>
      </c>
      <c r="AN168" s="498">
        <v>2540889.8993839999</v>
      </c>
      <c r="AO168" s="603">
        <v>1276521.750616</v>
      </c>
    </row>
    <row r="169" spans="1:41" ht="12" thickBot="1">
      <c r="A169" s="918"/>
      <c r="B169" s="918"/>
      <c r="C169" s="919"/>
      <c r="D169" s="600" t="s">
        <v>392</v>
      </c>
      <c r="E169" s="600" t="s">
        <v>392</v>
      </c>
      <c r="F169" s="600" t="s">
        <v>392</v>
      </c>
      <c r="G169" s="600" t="s">
        <v>392</v>
      </c>
      <c r="H169" s="601">
        <v>270043</v>
      </c>
      <c r="I169" s="602">
        <v>13649558.720000001</v>
      </c>
      <c r="J169" s="602">
        <v>6.4223994374857698</v>
      </c>
      <c r="K169" s="602">
        <v>18232758.109090999</v>
      </c>
      <c r="L169" s="602">
        <v>367178.61</v>
      </c>
      <c r="M169" s="498">
        <v>6.0914504830020899</v>
      </c>
      <c r="N169" s="602">
        <v>3.84347516209399</v>
      </c>
      <c r="O169" s="602">
        <v>2.2479753209081301</v>
      </c>
      <c r="P169" s="498">
        <v>231675.833453</v>
      </c>
      <c r="Q169" s="602">
        <v>135502.77654699999</v>
      </c>
      <c r="R169" s="602">
        <v>0</v>
      </c>
      <c r="S169" s="602">
        <v>0</v>
      </c>
      <c r="T169" s="602">
        <v>0.14051889096516801</v>
      </c>
      <c r="U169" s="602">
        <v>8470.155213</v>
      </c>
      <c r="V169" s="602">
        <v>0</v>
      </c>
      <c r="W169" s="602">
        <v>0</v>
      </c>
      <c r="X169" s="602">
        <v>0</v>
      </c>
      <c r="Y169" s="602">
        <v>0</v>
      </c>
      <c r="Z169" s="602">
        <v>0</v>
      </c>
      <c r="AA169" s="602">
        <v>0</v>
      </c>
      <c r="AB169" s="602">
        <v>0</v>
      </c>
      <c r="AC169" s="602">
        <v>0</v>
      </c>
      <c r="AD169" s="602">
        <v>0</v>
      </c>
      <c r="AE169" s="602">
        <v>0</v>
      </c>
      <c r="AF169" s="602">
        <v>0</v>
      </c>
      <c r="AG169" s="602">
        <v>0</v>
      </c>
      <c r="AH169" s="602">
        <v>0</v>
      </c>
      <c r="AI169" s="602">
        <v>0</v>
      </c>
      <c r="AJ169" s="498">
        <v>0</v>
      </c>
      <c r="AK169" s="498">
        <v>0</v>
      </c>
      <c r="AL169" s="602">
        <v>3.9839940523126098</v>
      </c>
      <c r="AM169" s="602">
        <v>2.1074564306895098</v>
      </c>
      <c r="AN169" s="498">
        <v>240145.988621</v>
      </c>
      <c r="AO169" s="603">
        <v>127032.621379</v>
      </c>
    </row>
    <row r="170" spans="1:41" ht="12" thickBot="1">
      <c r="A170" s="918"/>
      <c r="B170" s="918"/>
      <c r="C170" s="917" t="s">
        <v>393</v>
      </c>
      <c r="D170" s="600" t="s">
        <v>394</v>
      </c>
      <c r="E170" s="600" t="s">
        <v>394</v>
      </c>
      <c r="F170" s="600" t="s">
        <v>394</v>
      </c>
      <c r="G170" s="600" t="s">
        <v>394</v>
      </c>
      <c r="H170" s="601">
        <v>270051</v>
      </c>
      <c r="I170" s="602">
        <v>4259995596.73</v>
      </c>
      <c r="J170" s="602">
        <v>15.1348733091134</v>
      </c>
      <c r="K170" s="602">
        <v>4300348158.1789198</v>
      </c>
      <c r="L170" s="602">
        <v>182871863.47</v>
      </c>
      <c r="M170" s="498">
        <v>12.862902797808101</v>
      </c>
      <c r="N170" s="602">
        <v>5.1144707523563904</v>
      </c>
      <c r="O170" s="602">
        <v>7.7484320454516498</v>
      </c>
      <c r="P170" s="498">
        <v>72712420.504771993</v>
      </c>
      <c r="Q170" s="602">
        <v>110159442.96522801</v>
      </c>
      <c r="R170" s="602">
        <v>0</v>
      </c>
      <c r="S170" s="602">
        <v>0</v>
      </c>
      <c r="T170" s="602">
        <v>0</v>
      </c>
      <c r="U170" s="602">
        <v>0</v>
      </c>
      <c r="V170" s="602">
        <v>0</v>
      </c>
      <c r="W170" s="602">
        <v>0</v>
      </c>
      <c r="X170" s="602">
        <v>0</v>
      </c>
      <c r="Y170" s="602">
        <v>0</v>
      </c>
      <c r="Z170" s="602">
        <v>0</v>
      </c>
      <c r="AA170" s="602">
        <v>0</v>
      </c>
      <c r="AB170" s="602">
        <v>0</v>
      </c>
      <c r="AC170" s="602">
        <v>0</v>
      </c>
      <c r="AD170" s="602">
        <v>-0.49103434773924598</v>
      </c>
      <c r="AE170" s="602">
        <v>-6981034.3442970002</v>
      </c>
      <c r="AF170" s="602">
        <v>0</v>
      </c>
      <c r="AG170" s="602">
        <v>0</v>
      </c>
      <c r="AH170" s="602">
        <v>0</v>
      </c>
      <c r="AI170" s="602">
        <v>0</v>
      </c>
      <c r="AJ170" s="498">
        <v>-4.2189863115228002E-2</v>
      </c>
      <c r="AK170" s="498">
        <v>-599813.19992100005</v>
      </c>
      <c r="AL170" s="602">
        <v>4.5812465420120203</v>
      </c>
      <c r="AM170" s="602">
        <v>8.2816562557960296</v>
      </c>
      <c r="AN170" s="498">
        <v>65131572.967805997</v>
      </c>
      <c r="AO170" s="603">
        <v>117740290.502194</v>
      </c>
    </row>
    <row r="171" spans="1:41" ht="12" thickBot="1">
      <c r="A171" s="918"/>
      <c r="B171" s="918"/>
      <c r="C171" s="919"/>
      <c r="D171" s="600" t="s">
        <v>395</v>
      </c>
      <c r="E171" s="600" t="s">
        <v>395</v>
      </c>
      <c r="F171" s="600" t="s">
        <v>395</v>
      </c>
      <c r="G171" s="600" t="s">
        <v>395</v>
      </c>
      <c r="H171" s="601">
        <v>270052</v>
      </c>
      <c r="I171" s="602">
        <v>5271723835.3000002</v>
      </c>
      <c r="J171" s="602">
        <v>8.6643615868217001</v>
      </c>
      <c r="K171" s="602">
        <v>5677968390.4259501</v>
      </c>
      <c r="L171" s="602">
        <v>144727902.22</v>
      </c>
      <c r="M171" s="498">
        <v>7.7100112514631798</v>
      </c>
      <c r="N171" s="602">
        <v>4.39452779093134</v>
      </c>
      <c r="O171" s="602">
        <v>3.3154834605318499</v>
      </c>
      <c r="P171" s="498">
        <v>82491551.268266007</v>
      </c>
      <c r="Q171" s="602">
        <v>62236350.951733999</v>
      </c>
      <c r="R171" s="602">
        <v>0</v>
      </c>
      <c r="S171" s="602">
        <v>0</v>
      </c>
      <c r="T171" s="602">
        <v>1.8607110448480998E-2</v>
      </c>
      <c r="U171" s="602">
        <v>349281.988541</v>
      </c>
      <c r="V171" s="602">
        <v>0</v>
      </c>
      <c r="W171" s="602">
        <v>0</v>
      </c>
      <c r="X171" s="602">
        <v>0</v>
      </c>
      <c r="Y171" s="602">
        <v>0</v>
      </c>
      <c r="Z171" s="602">
        <v>0</v>
      </c>
      <c r="AA171" s="602">
        <v>0</v>
      </c>
      <c r="AB171" s="602">
        <v>0</v>
      </c>
      <c r="AC171" s="602">
        <v>0</v>
      </c>
      <c r="AD171" s="602">
        <v>-0.20697011524275299</v>
      </c>
      <c r="AE171" s="602">
        <v>-3885124.109985</v>
      </c>
      <c r="AF171" s="602">
        <v>0</v>
      </c>
      <c r="AG171" s="602">
        <v>0</v>
      </c>
      <c r="AH171" s="602">
        <v>0</v>
      </c>
      <c r="AI171" s="602">
        <v>0</v>
      </c>
      <c r="AJ171" s="498">
        <v>-2.7668053163159002E-2</v>
      </c>
      <c r="AK171" s="498">
        <v>-519368.80015000002</v>
      </c>
      <c r="AL171" s="602">
        <v>4.1784967331035103</v>
      </c>
      <c r="AM171" s="602">
        <v>3.5315145183596699</v>
      </c>
      <c r="AN171" s="498">
        <v>78436340.349104896</v>
      </c>
      <c r="AO171" s="603">
        <v>66291561.870894998</v>
      </c>
    </row>
    <row r="172" spans="1:41" ht="12" thickBot="1">
      <c r="A172" s="918"/>
      <c r="B172" s="918"/>
      <c r="C172" s="917" t="s">
        <v>396</v>
      </c>
      <c r="D172" s="600" t="s">
        <v>397</v>
      </c>
      <c r="E172" s="600" t="s">
        <v>397</v>
      </c>
      <c r="F172" s="600" t="s">
        <v>397</v>
      </c>
      <c r="G172" s="600" t="s">
        <v>397</v>
      </c>
      <c r="H172" s="601">
        <v>270061</v>
      </c>
      <c r="I172" s="602">
        <v>4000000</v>
      </c>
      <c r="J172" s="602">
        <v>4.7850000000000001</v>
      </c>
      <c r="K172" s="602">
        <v>5140495.8677690001</v>
      </c>
      <c r="L172" s="602">
        <v>82674.17</v>
      </c>
      <c r="M172" s="498">
        <v>4.8647501961410997</v>
      </c>
      <c r="N172" s="602">
        <v>3.5700088268797399</v>
      </c>
      <c r="O172" s="602">
        <v>1.29474136926174</v>
      </c>
      <c r="P172" s="498">
        <v>60670.641812000002</v>
      </c>
      <c r="Q172" s="602">
        <v>22003.528188</v>
      </c>
      <c r="R172" s="602">
        <v>0</v>
      </c>
      <c r="S172" s="602">
        <v>0</v>
      </c>
      <c r="T172" s="602">
        <v>0</v>
      </c>
      <c r="U172" s="602">
        <v>0</v>
      </c>
      <c r="V172" s="602">
        <v>0</v>
      </c>
      <c r="W172" s="602">
        <v>0</v>
      </c>
      <c r="X172" s="602">
        <v>0</v>
      </c>
      <c r="Y172" s="602">
        <v>0</v>
      </c>
      <c r="Z172" s="602">
        <v>0</v>
      </c>
      <c r="AA172" s="602">
        <v>0</v>
      </c>
      <c r="AB172" s="602">
        <v>0</v>
      </c>
      <c r="AC172" s="602">
        <v>0</v>
      </c>
      <c r="AD172" s="602">
        <v>0</v>
      </c>
      <c r="AE172" s="602">
        <v>0</v>
      </c>
      <c r="AF172" s="602">
        <v>0</v>
      </c>
      <c r="AG172" s="602">
        <v>0</v>
      </c>
      <c r="AH172" s="602">
        <v>0</v>
      </c>
      <c r="AI172" s="602">
        <v>0</v>
      </c>
      <c r="AJ172" s="498">
        <v>0</v>
      </c>
      <c r="AK172" s="498">
        <v>0</v>
      </c>
      <c r="AL172" s="602">
        <v>3.5700088268797399</v>
      </c>
      <c r="AM172" s="602">
        <v>1.29474136926174</v>
      </c>
      <c r="AN172" s="498">
        <v>60670.641812000002</v>
      </c>
      <c r="AO172" s="603">
        <v>22003.528188</v>
      </c>
    </row>
    <row r="173" spans="1:41" ht="12" thickBot="1">
      <c r="A173" s="918"/>
      <c r="B173" s="918"/>
      <c r="C173" s="918"/>
      <c r="D173" s="600" t="s">
        <v>398</v>
      </c>
      <c r="E173" s="600" t="s">
        <v>398</v>
      </c>
      <c r="F173" s="600" t="s">
        <v>398</v>
      </c>
      <c r="G173" s="600" t="s">
        <v>398</v>
      </c>
      <c r="H173" s="601">
        <v>270062</v>
      </c>
      <c r="I173" s="602">
        <v>704423106.01999998</v>
      </c>
      <c r="J173" s="602">
        <v>6.5450722961513703</v>
      </c>
      <c r="K173" s="602">
        <v>751959245.98421502</v>
      </c>
      <c r="L173" s="602">
        <v>1911755.02</v>
      </c>
      <c r="M173" s="498">
        <v>0.76901294527267205</v>
      </c>
      <c r="N173" s="602">
        <v>3.6501103584197101</v>
      </c>
      <c r="O173" s="602">
        <v>-2.8810974131470299</v>
      </c>
      <c r="P173" s="498">
        <v>9074121.3709849995</v>
      </c>
      <c r="Q173" s="602">
        <v>-7162366.3509849999</v>
      </c>
      <c r="R173" s="602">
        <v>0</v>
      </c>
      <c r="S173" s="602">
        <v>0</v>
      </c>
      <c r="T173" s="602">
        <v>0</v>
      </c>
      <c r="U173" s="602">
        <v>0</v>
      </c>
      <c r="V173" s="602">
        <v>0</v>
      </c>
      <c r="W173" s="602">
        <v>0</v>
      </c>
      <c r="X173" s="602">
        <v>0</v>
      </c>
      <c r="Y173" s="602">
        <v>0</v>
      </c>
      <c r="Z173" s="602">
        <v>0</v>
      </c>
      <c r="AA173" s="602">
        <v>0</v>
      </c>
      <c r="AB173" s="602">
        <v>0</v>
      </c>
      <c r="AC173" s="602">
        <v>0</v>
      </c>
      <c r="AD173" s="602">
        <v>-1.16674279884732</v>
      </c>
      <c r="AE173" s="602">
        <v>-2900505.6630799999</v>
      </c>
      <c r="AF173" s="602">
        <v>0</v>
      </c>
      <c r="AG173" s="602">
        <v>0</v>
      </c>
      <c r="AH173" s="602">
        <v>0</v>
      </c>
      <c r="AI173" s="602">
        <v>0</v>
      </c>
      <c r="AJ173" s="498">
        <v>0</v>
      </c>
      <c r="AK173" s="498">
        <v>0</v>
      </c>
      <c r="AL173" s="602">
        <v>2.4833675595011901</v>
      </c>
      <c r="AM173" s="602">
        <v>-1.71435461422851</v>
      </c>
      <c r="AN173" s="498">
        <v>6173615.7077280004</v>
      </c>
      <c r="AO173" s="603">
        <v>-4261860.6877279999</v>
      </c>
    </row>
    <row r="174" spans="1:41" ht="12" thickBot="1">
      <c r="A174" s="918"/>
      <c r="B174" s="918"/>
      <c r="C174" s="918"/>
      <c r="D174" s="600" t="s">
        <v>399</v>
      </c>
      <c r="E174" s="600" t="s">
        <v>399</v>
      </c>
      <c r="F174" s="600" t="s">
        <v>399</v>
      </c>
      <c r="G174" s="600" t="s">
        <v>399</v>
      </c>
      <c r="H174" s="601">
        <v>270063</v>
      </c>
      <c r="I174" s="602">
        <v>115496000</v>
      </c>
      <c r="J174" s="602">
        <v>5.2512457574288298</v>
      </c>
      <c r="K174" s="602">
        <v>113547169.421488</v>
      </c>
      <c r="L174" s="602">
        <v>2008005.51</v>
      </c>
      <c r="M174" s="498">
        <v>5.3491441675948002</v>
      </c>
      <c r="N174" s="602">
        <v>3.5418361596217398</v>
      </c>
      <c r="O174" s="602">
        <v>1.8073080079730801</v>
      </c>
      <c r="P174" s="498">
        <v>1329563.4406570001</v>
      </c>
      <c r="Q174" s="602">
        <v>678442.06934299995</v>
      </c>
      <c r="R174" s="602">
        <v>0</v>
      </c>
      <c r="S174" s="602">
        <v>0</v>
      </c>
      <c r="T174" s="602">
        <v>0</v>
      </c>
      <c r="U174" s="602">
        <v>0</v>
      </c>
      <c r="V174" s="602">
        <v>0</v>
      </c>
      <c r="W174" s="602">
        <v>0</v>
      </c>
      <c r="X174" s="602">
        <v>0</v>
      </c>
      <c r="Y174" s="602">
        <v>0</v>
      </c>
      <c r="Z174" s="602">
        <v>0</v>
      </c>
      <c r="AA174" s="602">
        <v>0</v>
      </c>
      <c r="AB174" s="602">
        <v>0</v>
      </c>
      <c r="AC174" s="602">
        <v>0</v>
      </c>
      <c r="AD174" s="602">
        <v>0</v>
      </c>
      <c r="AE174" s="602">
        <v>0</v>
      </c>
      <c r="AF174" s="602">
        <v>0</v>
      </c>
      <c r="AG174" s="602">
        <v>0</v>
      </c>
      <c r="AH174" s="602">
        <v>0</v>
      </c>
      <c r="AI174" s="602">
        <v>0</v>
      </c>
      <c r="AJ174" s="498">
        <v>-0.14888292009194901</v>
      </c>
      <c r="AK174" s="498">
        <v>-55888.888862</v>
      </c>
      <c r="AL174" s="602">
        <v>3.39295323924209</v>
      </c>
      <c r="AM174" s="602">
        <v>1.9561909283527299</v>
      </c>
      <c r="AN174" s="498">
        <v>1273674.5516870001</v>
      </c>
      <c r="AO174" s="603">
        <v>734330.95831300004</v>
      </c>
    </row>
    <row r="175" spans="1:41" ht="12" thickBot="1">
      <c r="A175" s="918"/>
      <c r="B175" s="918"/>
      <c r="C175" s="918"/>
      <c r="D175" s="600" t="s">
        <v>400</v>
      </c>
      <c r="E175" s="600" t="s">
        <v>400</v>
      </c>
      <c r="F175" s="600" t="s">
        <v>400</v>
      </c>
      <c r="G175" s="600" t="s">
        <v>400</v>
      </c>
      <c r="H175" s="601">
        <v>270064</v>
      </c>
      <c r="I175" s="602">
        <v>36000000</v>
      </c>
      <c r="J175" s="602">
        <v>4.9170783333333299</v>
      </c>
      <c r="K175" s="602">
        <v>36081735.537189998</v>
      </c>
      <c r="L175" s="602">
        <v>596748.53</v>
      </c>
      <c r="M175" s="498">
        <v>5.0026446378630798</v>
      </c>
      <c r="N175" s="602">
        <v>3.79620220721017</v>
      </c>
      <c r="O175" s="602">
        <v>1.2064424306529</v>
      </c>
      <c r="P175" s="498">
        <v>452836.09984799998</v>
      </c>
      <c r="Q175" s="602">
        <v>143912.43015199999</v>
      </c>
      <c r="R175" s="602">
        <v>0</v>
      </c>
      <c r="S175" s="602">
        <v>0</v>
      </c>
      <c r="T175" s="602">
        <v>0</v>
      </c>
      <c r="U175" s="602">
        <v>0</v>
      </c>
      <c r="V175" s="602">
        <v>0</v>
      </c>
      <c r="W175" s="602">
        <v>0</v>
      </c>
      <c r="X175" s="602">
        <v>0</v>
      </c>
      <c r="Y175" s="602">
        <v>0</v>
      </c>
      <c r="Z175" s="602">
        <v>0</v>
      </c>
      <c r="AA175" s="602">
        <v>0</v>
      </c>
      <c r="AB175" s="602">
        <v>0</v>
      </c>
      <c r="AC175" s="602">
        <v>0</v>
      </c>
      <c r="AD175" s="602">
        <v>0</v>
      </c>
      <c r="AE175" s="602">
        <v>0</v>
      </c>
      <c r="AF175" s="602">
        <v>0</v>
      </c>
      <c r="AG175" s="602">
        <v>0</v>
      </c>
      <c r="AH175" s="602">
        <v>0</v>
      </c>
      <c r="AI175" s="602">
        <v>0</v>
      </c>
      <c r="AJ175" s="498">
        <v>0</v>
      </c>
      <c r="AK175" s="498">
        <v>0</v>
      </c>
      <c r="AL175" s="602">
        <v>3.79620220721017</v>
      </c>
      <c r="AM175" s="602">
        <v>1.2064424306529</v>
      </c>
      <c r="AN175" s="498">
        <v>452836.09984799998</v>
      </c>
      <c r="AO175" s="603">
        <v>143912.43015199999</v>
      </c>
    </row>
    <row r="176" spans="1:41" ht="12" thickBot="1">
      <c r="A176" s="918"/>
      <c r="B176" s="918"/>
      <c r="C176" s="919"/>
      <c r="D176" s="600" t="s">
        <v>401</v>
      </c>
      <c r="E176" s="600" t="s">
        <v>401</v>
      </c>
      <c r="F176" s="600" t="s">
        <v>401</v>
      </c>
      <c r="G176" s="600" t="s">
        <v>401</v>
      </c>
      <c r="H176" s="601">
        <v>270066</v>
      </c>
      <c r="I176" s="602">
        <v>500469318.23830599</v>
      </c>
      <c r="J176" s="602">
        <v>4.5207071341828904</v>
      </c>
      <c r="K176" s="602">
        <v>431275636.80301601</v>
      </c>
      <c r="L176" s="602">
        <v>6356798.922359</v>
      </c>
      <c r="M176" s="498">
        <v>4.4584024023390896</v>
      </c>
      <c r="N176" s="602">
        <v>3.5754063121876798</v>
      </c>
      <c r="O176" s="602">
        <v>0.88299609015140601</v>
      </c>
      <c r="P176" s="498">
        <v>5097821.358697</v>
      </c>
      <c r="Q176" s="602">
        <v>1258977.563662</v>
      </c>
      <c r="R176" s="602">
        <v>0</v>
      </c>
      <c r="S176" s="602">
        <v>0</v>
      </c>
      <c r="T176" s="602">
        <v>8.0896341280086007E-2</v>
      </c>
      <c r="U176" s="602">
        <v>115342.16265499999</v>
      </c>
      <c r="V176" s="602">
        <v>0</v>
      </c>
      <c r="W176" s="602">
        <v>0</v>
      </c>
      <c r="X176" s="602">
        <v>0</v>
      </c>
      <c r="Y176" s="602">
        <v>0</v>
      </c>
      <c r="Z176" s="602">
        <v>0</v>
      </c>
      <c r="AA176" s="602">
        <v>0</v>
      </c>
      <c r="AB176" s="602">
        <v>0</v>
      </c>
      <c r="AC176" s="602">
        <v>0</v>
      </c>
      <c r="AD176" s="602">
        <v>0</v>
      </c>
      <c r="AE176" s="602">
        <v>0</v>
      </c>
      <c r="AF176" s="602">
        <v>0</v>
      </c>
      <c r="AG176" s="602">
        <v>0</v>
      </c>
      <c r="AH176" s="602">
        <v>0</v>
      </c>
      <c r="AI176" s="602">
        <v>0</v>
      </c>
      <c r="AJ176" s="498">
        <v>-4.8608121715427999E-2</v>
      </c>
      <c r="AK176" s="498">
        <v>-69305.555634999997</v>
      </c>
      <c r="AL176" s="602">
        <v>3.6076945318687601</v>
      </c>
      <c r="AM176" s="602">
        <v>0.85070787047032304</v>
      </c>
      <c r="AN176" s="498">
        <v>5143857.9658829998</v>
      </c>
      <c r="AO176" s="603">
        <v>1212940.9564759999</v>
      </c>
    </row>
    <row r="177" spans="1:41" ht="12" thickBot="1">
      <c r="A177" s="918"/>
      <c r="B177" s="918"/>
      <c r="C177" s="917" t="s">
        <v>402</v>
      </c>
      <c r="D177" s="917" t="s">
        <v>403</v>
      </c>
      <c r="E177" s="600" t="s">
        <v>404</v>
      </c>
      <c r="F177" s="600" t="s">
        <v>404</v>
      </c>
      <c r="G177" s="600" t="s">
        <v>404</v>
      </c>
      <c r="H177" s="601">
        <v>270071</v>
      </c>
      <c r="I177" s="602">
        <v>0</v>
      </c>
      <c r="J177" s="602">
        <v>0</v>
      </c>
      <c r="K177" s="602">
        <v>0</v>
      </c>
      <c r="L177" s="602">
        <v>0</v>
      </c>
      <c r="M177" s="498">
        <v>0</v>
      </c>
      <c r="N177" s="602">
        <v>0</v>
      </c>
      <c r="O177" s="602">
        <v>0</v>
      </c>
      <c r="P177" s="498">
        <v>0</v>
      </c>
      <c r="Q177" s="602">
        <v>0</v>
      </c>
      <c r="R177" s="602">
        <v>0</v>
      </c>
      <c r="S177" s="602">
        <v>0</v>
      </c>
      <c r="T177" s="602">
        <v>0</v>
      </c>
      <c r="U177" s="602">
        <v>0</v>
      </c>
      <c r="V177" s="602">
        <v>0</v>
      </c>
      <c r="W177" s="602">
        <v>0</v>
      </c>
      <c r="X177" s="602">
        <v>0</v>
      </c>
      <c r="Y177" s="602">
        <v>0</v>
      </c>
      <c r="Z177" s="602">
        <v>0</v>
      </c>
      <c r="AA177" s="602">
        <v>0</v>
      </c>
      <c r="AB177" s="602">
        <v>0</v>
      </c>
      <c r="AC177" s="602">
        <v>0</v>
      </c>
      <c r="AD177" s="602">
        <v>0</v>
      </c>
      <c r="AE177" s="602">
        <v>0</v>
      </c>
      <c r="AF177" s="602">
        <v>0</v>
      </c>
      <c r="AG177" s="602">
        <v>0</v>
      </c>
      <c r="AH177" s="602">
        <v>0</v>
      </c>
      <c r="AI177" s="602">
        <v>0</v>
      </c>
      <c r="AJ177" s="498">
        <v>0</v>
      </c>
      <c r="AK177" s="498">
        <v>0</v>
      </c>
      <c r="AL177" s="602">
        <v>0</v>
      </c>
      <c r="AM177" s="602">
        <v>0</v>
      </c>
      <c r="AN177" s="498">
        <v>0</v>
      </c>
      <c r="AO177" s="603">
        <v>0</v>
      </c>
    </row>
    <row r="178" spans="1:41" ht="12" thickBot="1">
      <c r="A178" s="918"/>
      <c r="B178" s="918"/>
      <c r="C178" s="918"/>
      <c r="D178" s="919"/>
      <c r="E178" s="600" t="s">
        <v>405</v>
      </c>
      <c r="F178" s="600" t="s">
        <v>405</v>
      </c>
      <c r="G178" s="600" t="s">
        <v>405</v>
      </c>
      <c r="H178" s="601">
        <v>270072</v>
      </c>
      <c r="I178" s="602">
        <v>0</v>
      </c>
      <c r="J178" s="602">
        <v>0</v>
      </c>
      <c r="K178" s="602">
        <v>0</v>
      </c>
      <c r="L178" s="602">
        <v>0</v>
      </c>
      <c r="M178" s="498">
        <v>0</v>
      </c>
      <c r="N178" s="602">
        <v>0</v>
      </c>
      <c r="O178" s="602">
        <v>0</v>
      </c>
      <c r="P178" s="498">
        <v>0</v>
      </c>
      <c r="Q178" s="602">
        <v>0</v>
      </c>
      <c r="R178" s="602">
        <v>0</v>
      </c>
      <c r="S178" s="602">
        <v>0</v>
      </c>
      <c r="T178" s="602">
        <v>0</v>
      </c>
      <c r="U178" s="602">
        <v>0</v>
      </c>
      <c r="V178" s="602">
        <v>0</v>
      </c>
      <c r="W178" s="602">
        <v>0</v>
      </c>
      <c r="X178" s="602">
        <v>0</v>
      </c>
      <c r="Y178" s="602">
        <v>0</v>
      </c>
      <c r="Z178" s="602">
        <v>0</v>
      </c>
      <c r="AA178" s="602">
        <v>0</v>
      </c>
      <c r="AB178" s="602">
        <v>0</v>
      </c>
      <c r="AC178" s="602">
        <v>0</v>
      </c>
      <c r="AD178" s="602">
        <v>0</v>
      </c>
      <c r="AE178" s="602">
        <v>0</v>
      </c>
      <c r="AF178" s="602">
        <v>0</v>
      </c>
      <c r="AG178" s="602">
        <v>0</v>
      </c>
      <c r="AH178" s="602">
        <v>0</v>
      </c>
      <c r="AI178" s="602">
        <v>0</v>
      </c>
      <c r="AJ178" s="498">
        <v>0</v>
      </c>
      <c r="AK178" s="498">
        <v>0</v>
      </c>
      <c r="AL178" s="602">
        <v>0</v>
      </c>
      <c r="AM178" s="602">
        <v>0</v>
      </c>
      <c r="AN178" s="498">
        <v>0</v>
      </c>
      <c r="AO178" s="603">
        <v>0</v>
      </c>
    </row>
    <row r="179" spans="1:41" ht="12" thickBot="1">
      <c r="A179" s="918"/>
      <c r="B179" s="918"/>
      <c r="C179" s="918"/>
      <c r="D179" s="600" t="s">
        <v>406</v>
      </c>
      <c r="E179" s="600" t="s">
        <v>406</v>
      </c>
      <c r="F179" s="600" t="s">
        <v>406</v>
      </c>
      <c r="G179" s="600" t="s">
        <v>406</v>
      </c>
      <c r="H179" s="601">
        <v>270081</v>
      </c>
      <c r="I179" s="602">
        <v>0</v>
      </c>
      <c r="J179" s="602">
        <v>0</v>
      </c>
      <c r="K179" s="602">
        <v>0</v>
      </c>
      <c r="L179" s="602">
        <v>0</v>
      </c>
      <c r="M179" s="498">
        <v>0</v>
      </c>
      <c r="N179" s="602">
        <v>0</v>
      </c>
      <c r="O179" s="602">
        <v>0</v>
      </c>
      <c r="P179" s="498">
        <v>0</v>
      </c>
      <c r="Q179" s="602">
        <v>0</v>
      </c>
      <c r="R179" s="602">
        <v>0</v>
      </c>
      <c r="S179" s="602">
        <v>0</v>
      </c>
      <c r="T179" s="602">
        <v>0</v>
      </c>
      <c r="U179" s="602">
        <v>0</v>
      </c>
      <c r="V179" s="602">
        <v>0</v>
      </c>
      <c r="W179" s="602">
        <v>0</v>
      </c>
      <c r="X179" s="602">
        <v>0</v>
      </c>
      <c r="Y179" s="602">
        <v>0</v>
      </c>
      <c r="Z179" s="602">
        <v>0</v>
      </c>
      <c r="AA179" s="602">
        <v>0</v>
      </c>
      <c r="AB179" s="602">
        <v>0</v>
      </c>
      <c r="AC179" s="602">
        <v>0</v>
      </c>
      <c r="AD179" s="602">
        <v>0</v>
      </c>
      <c r="AE179" s="602">
        <v>0</v>
      </c>
      <c r="AF179" s="602">
        <v>0</v>
      </c>
      <c r="AG179" s="602">
        <v>0</v>
      </c>
      <c r="AH179" s="602">
        <v>0</v>
      </c>
      <c r="AI179" s="602">
        <v>0</v>
      </c>
      <c r="AJ179" s="498">
        <v>0</v>
      </c>
      <c r="AK179" s="498">
        <v>0</v>
      </c>
      <c r="AL179" s="602">
        <v>0</v>
      </c>
      <c r="AM179" s="602">
        <v>0</v>
      </c>
      <c r="AN179" s="498">
        <v>0</v>
      </c>
      <c r="AO179" s="603">
        <v>0</v>
      </c>
    </row>
    <row r="180" spans="1:41" ht="12" thickBot="1">
      <c r="A180" s="918"/>
      <c r="B180" s="918"/>
      <c r="C180" s="919"/>
      <c r="D180" s="600" t="s">
        <v>407</v>
      </c>
      <c r="E180" s="600" t="s">
        <v>407</v>
      </c>
      <c r="F180" s="600" t="s">
        <v>407</v>
      </c>
      <c r="G180" s="600" t="s">
        <v>407</v>
      </c>
      <c r="H180" s="601">
        <v>270091</v>
      </c>
      <c r="I180" s="602">
        <v>0</v>
      </c>
      <c r="J180" s="602">
        <v>0</v>
      </c>
      <c r="K180" s="602">
        <v>0</v>
      </c>
      <c r="L180" s="602">
        <v>0</v>
      </c>
      <c r="M180" s="498">
        <v>0</v>
      </c>
      <c r="N180" s="602">
        <v>0</v>
      </c>
      <c r="O180" s="602">
        <v>0</v>
      </c>
      <c r="P180" s="498">
        <v>0</v>
      </c>
      <c r="Q180" s="602">
        <v>0</v>
      </c>
      <c r="R180" s="602">
        <v>0</v>
      </c>
      <c r="S180" s="602">
        <v>0</v>
      </c>
      <c r="T180" s="602">
        <v>0</v>
      </c>
      <c r="U180" s="602">
        <v>0</v>
      </c>
      <c r="V180" s="602">
        <v>0</v>
      </c>
      <c r="W180" s="602">
        <v>0</v>
      </c>
      <c r="X180" s="602">
        <v>0</v>
      </c>
      <c r="Y180" s="602">
        <v>0</v>
      </c>
      <c r="Z180" s="602">
        <v>0</v>
      </c>
      <c r="AA180" s="602">
        <v>0</v>
      </c>
      <c r="AB180" s="602">
        <v>0</v>
      </c>
      <c r="AC180" s="602">
        <v>0</v>
      </c>
      <c r="AD180" s="602">
        <v>0</v>
      </c>
      <c r="AE180" s="602">
        <v>0</v>
      </c>
      <c r="AF180" s="602">
        <v>0</v>
      </c>
      <c r="AG180" s="602">
        <v>0</v>
      </c>
      <c r="AH180" s="602">
        <v>0</v>
      </c>
      <c r="AI180" s="602">
        <v>0</v>
      </c>
      <c r="AJ180" s="498">
        <v>0</v>
      </c>
      <c r="AK180" s="498">
        <v>0</v>
      </c>
      <c r="AL180" s="602">
        <v>0</v>
      </c>
      <c r="AM180" s="602">
        <v>0</v>
      </c>
      <c r="AN180" s="498">
        <v>0</v>
      </c>
      <c r="AO180" s="603">
        <v>0</v>
      </c>
    </row>
    <row r="181" spans="1:41" ht="12" thickBot="1">
      <c r="A181" s="918"/>
      <c r="B181" s="918"/>
      <c r="C181" s="917" t="s">
        <v>408</v>
      </c>
      <c r="D181" s="600" t="s">
        <v>409</v>
      </c>
      <c r="E181" s="600" t="s">
        <v>409</v>
      </c>
      <c r="F181" s="600" t="s">
        <v>409</v>
      </c>
      <c r="G181" s="600" t="s">
        <v>409</v>
      </c>
      <c r="H181" s="601">
        <v>270101</v>
      </c>
      <c r="I181" s="602">
        <v>1410000</v>
      </c>
      <c r="J181" s="602">
        <v>5.22</v>
      </c>
      <c r="K181" s="602">
        <v>1459834.710743</v>
      </c>
      <c r="L181" s="602">
        <v>25612.799999999999</v>
      </c>
      <c r="M181" s="498">
        <v>5.3070000000029101</v>
      </c>
      <c r="N181" s="602">
        <v>3.3476001558899502</v>
      </c>
      <c r="O181" s="602">
        <v>1.95939984411005</v>
      </c>
      <c r="P181" s="498">
        <v>16156.286654</v>
      </c>
      <c r="Q181" s="602">
        <v>9456.5133459999997</v>
      </c>
      <c r="R181" s="602">
        <v>0</v>
      </c>
      <c r="S181" s="602">
        <v>0</v>
      </c>
      <c r="T181" s="602">
        <v>0</v>
      </c>
      <c r="U181" s="602">
        <v>0</v>
      </c>
      <c r="V181" s="602">
        <v>0</v>
      </c>
      <c r="W181" s="602">
        <v>0</v>
      </c>
      <c r="X181" s="602">
        <v>0</v>
      </c>
      <c r="Y181" s="602">
        <v>0</v>
      </c>
      <c r="Z181" s="602">
        <v>0</v>
      </c>
      <c r="AA181" s="602">
        <v>0</v>
      </c>
      <c r="AB181" s="602">
        <v>0</v>
      </c>
      <c r="AC181" s="602">
        <v>0</v>
      </c>
      <c r="AD181" s="602">
        <v>0</v>
      </c>
      <c r="AE181" s="602">
        <v>0</v>
      </c>
      <c r="AF181" s="602">
        <v>0</v>
      </c>
      <c r="AG181" s="602">
        <v>0</v>
      </c>
      <c r="AH181" s="602">
        <v>0</v>
      </c>
      <c r="AI181" s="602">
        <v>0</v>
      </c>
      <c r="AJ181" s="498">
        <v>0</v>
      </c>
      <c r="AK181" s="498">
        <v>0</v>
      </c>
      <c r="AL181" s="602">
        <v>3.3476001558899502</v>
      </c>
      <c r="AM181" s="602">
        <v>1.95939984411005</v>
      </c>
      <c r="AN181" s="498">
        <v>16156.286654</v>
      </c>
      <c r="AO181" s="603">
        <v>9456.5133459999997</v>
      </c>
    </row>
    <row r="182" spans="1:41" ht="12" thickBot="1">
      <c r="A182" s="918"/>
      <c r="B182" s="918"/>
      <c r="C182" s="918"/>
      <c r="D182" s="600" t="s">
        <v>410</v>
      </c>
      <c r="E182" s="600" t="s">
        <v>410</v>
      </c>
      <c r="F182" s="600" t="s">
        <v>410</v>
      </c>
      <c r="G182" s="600" t="s">
        <v>410</v>
      </c>
      <c r="H182" s="601">
        <v>270103</v>
      </c>
      <c r="I182" s="602">
        <v>0</v>
      </c>
      <c r="J182" s="602">
        <v>0</v>
      </c>
      <c r="K182" s="602">
        <v>13760125.966941999</v>
      </c>
      <c r="L182" s="602">
        <v>211729.26548999999</v>
      </c>
      <c r="M182" s="498">
        <v>4.6542981069349096</v>
      </c>
      <c r="N182" s="602">
        <v>1.8999804633298001</v>
      </c>
      <c r="O182" s="602">
        <v>2.7543176436050598</v>
      </c>
      <c r="P182" s="498">
        <v>86432.252233000007</v>
      </c>
      <c r="Q182" s="602">
        <v>125297.013257</v>
      </c>
      <c r="R182" s="602">
        <v>0</v>
      </c>
      <c r="S182" s="602">
        <v>0</v>
      </c>
      <c r="T182" s="602">
        <v>0</v>
      </c>
      <c r="U182" s="602">
        <v>0</v>
      </c>
      <c r="V182" s="602">
        <v>0</v>
      </c>
      <c r="W182" s="602">
        <v>0</v>
      </c>
      <c r="X182" s="602">
        <v>0</v>
      </c>
      <c r="Y182" s="602">
        <v>0</v>
      </c>
      <c r="Z182" s="602">
        <v>0</v>
      </c>
      <c r="AA182" s="602">
        <v>0</v>
      </c>
      <c r="AB182" s="602">
        <v>0</v>
      </c>
      <c r="AC182" s="602">
        <v>0</v>
      </c>
      <c r="AD182" s="602">
        <v>0</v>
      </c>
      <c r="AE182" s="602">
        <v>0</v>
      </c>
      <c r="AF182" s="602">
        <v>0</v>
      </c>
      <c r="AG182" s="602">
        <v>0</v>
      </c>
      <c r="AH182" s="602">
        <v>0</v>
      </c>
      <c r="AI182" s="602">
        <v>0</v>
      </c>
      <c r="AJ182" s="498">
        <v>0</v>
      </c>
      <c r="AK182" s="498">
        <v>0</v>
      </c>
      <c r="AL182" s="602">
        <v>1.8999804633298001</v>
      </c>
      <c r="AM182" s="602">
        <v>2.7543176436050598</v>
      </c>
      <c r="AN182" s="498">
        <v>86432.252233000007</v>
      </c>
      <c r="AO182" s="603">
        <v>125297.013257</v>
      </c>
    </row>
    <row r="183" spans="1:41" ht="12" thickBot="1">
      <c r="A183" s="918"/>
      <c r="B183" s="918"/>
      <c r="C183" s="918"/>
      <c r="D183" s="600" t="s">
        <v>411</v>
      </c>
      <c r="E183" s="600" t="s">
        <v>411</v>
      </c>
      <c r="F183" s="600" t="s">
        <v>411</v>
      </c>
      <c r="G183" s="600" t="s">
        <v>411</v>
      </c>
      <c r="H183" s="601">
        <v>270104</v>
      </c>
      <c r="I183" s="602">
        <v>0</v>
      </c>
      <c r="J183" s="602">
        <v>0</v>
      </c>
      <c r="K183" s="602">
        <v>0</v>
      </c>
      <c r="L183" s="602">
        <v>0</v>
      </c>
      <c r="M183" s="498">
        <v>0</v>
      </c>
      <c r="N183" s="602">
        <v>0</v>
      </c>
      <c r="O183" s="602">
        <v>0</v>
      </c>
      <c r="P183" s="498">
        <v>0</v>
      </c>
      <c r="Q183" s="602">
        <v>0</v>
      </c>
      <c r="R183" s="602">
        <v>0</v>
      </c>
      <c r="S183" s="602">
        <v>0</v>
      </c>
      <c r="T183" s="602">
        <v>0</v>
      </c>
      <c r="U183" s="602">
        <v>0</v>
      </c>
      <c r="V183" s="602">
        <v>0</v>
      </c>
      <c r="W183" s="602">
        <v>0</v>
      </c>
      <c r="X183" s="602">
        <v>0</v>
      </c>
      <c r="Y183" s="602">
        <v>0</v>
      </c>
      <c r="Z183" s="602">
        <v>0</v>
      </c>
      <c r="AA183" s="602">
        <v>0</v>
      </c>
      <c r="AB183" s="602">
        <v>0</v>
      </c>
      <c r="AC183" s="602">
        <v>0</v>
      </c>
      <c r="AD183" s="602">
        <v>0</v>
      </c>
      <c r="AE183" s="602">
        <v>0</v>
      </c>
      <c r="AF183" s="602">
        <v>0</v>
      </c>
      <c r="AG183" s="602">
        <v>0</v>
      </c>
      <c r="AH183" s="602">
        <v>0</v>
      </c>
      <c r="AI183" s="602">
        <v>0</v>
      </c>
      <c r="AJ183" s="498">
        <v>0</v>
      </c>
      <c r="AK183" s="498">
        <v>0</v>
      </c>
      <c r="AL183" s="602">
        <v>0</v>
      </c>
      <c r="AM183" s="602">
        <v>0</v>
      </c>
      <c r="AN183" s="498">
        <v>0</v>
      </c>
      <c r="AO183" s="603">
        <v>0</v>
      </c>
    </row>
    <row r="184" spans="1:41" ht="12" thickBot="1">
      <c r="A184" s="918"/>
      <c r="B184" s="918"/>
      <c r="C184" s="918"/>
      <c r="D184" s="600" t="s">
        <v>412</v>
      </c>
      <c r="E184" s="600" t="s">
        <v>412</v>
      </c>
      <c r="F184" s="600" t="s">
        <v>412</v>
      </c>
      <c r="G184" s="600" t="s">
        <v>412</v>
      </c>
      <c r="H184" s="601">
        <v>270108</v>
      </c>
      <c r="I184" s="602">
        <v>27994275.796025001</v>
      </c>
      <c r="J184" s="602">
        <v>3.1302442200076701</v>
      </c>
      <c r="K184" s="602">
        <v>15162692.068769</v>
      </c>
      <c r="L184" s="602">
        <v>161561.309874</v>
      </c>
      <c r="M184" s="498">
        <v>3.2229737286526601</v>
      </c>
      <c r="N184" s="602">
        <v>1.3931285732518801</v>
      </c>
      <c r="O184" s="602">
        <v>1.8298451554005699</v>
      </c>
      <c r="P184" s="498">
        <v>69834.784912000003</v>
      </c>
      <c r="Q184" s="602">
        <v>91726.524961999996</v>
      </c>
      <c r="R184" s="602">
        <v>0</v>
      </c>
      <c r="S184" s="602">
        <v>0</v>
      </c>
      <c r="T184" s="602">
        <v>0</v>
      </c>
      <c r="U184" s="602">
        <v>0</v>
      </c>
      <c r="V184" s="602">
        <v>0</v>
      </c>
      <c r="W184" s="602">
        <v>0</v>
      </c>
      <c r="X184" s="602">
        <v>0</v>
      </c>
      <c r="Y184" s="602">
        <v>0</v>
      </c>
      <c r="Z184" s="602">
        <v>0</v>
      </c>
      <c r="AA184" s="602">
        <v>0</v>
      </c>
      <c r="AB184" s="602">
        <v>0</v>
      </c>
      <c r="AC184" s="602">
        <v>0</v>
      </c>
      <c r="AD184" s="602">
        <v>0</v>
      </c>
      <c r="AE184" s="602">
        <v>0</v>
      </c>
      <c r="AF184" s="602">
        <v>0</v>
      </c>
      <c r="AG184" s="602">
        <v>0</v>
      </c>
      <c r="AH184" s="602">
        <v>0</v>
      </c>
      <c r="AI184" s="602">
        <v>0</v>
      </c>
      <c r="AJ184" s="498">
        <v>0</v>
      </c>
      <c r="AK184" s="498">
        <v>0</v>
      </c>
      <c r="AL184" s="602">
        <v>1.3931285732518801</v>
      </c>
      <c r="AM184" s="602">
        <v>1.8298451554005699</v>
      </c>
      <c r="AN184" s="498">
        <v>69834.784912000003</v>
      </c>
      <c r="AO184" s="603">
        <v>91726.524961999996</v>
      </c>
    </row>
    <row r="185" spans="1:41" ht="12" thickBot="1">
      <c r="A185" s="918"/>
      <c r="B185" s="918"/>
      <c r="C185" s="919"/>
      <c r="D185" s="600" t="s">
        <v>414</v>
      </c>
      <c r="E185" s="600" t="s">
        <v>414</v>
      </c>
      <c r="F185" s="600" t="s">
        <v>414</v>
      </c>
      <c r="G185" s="600" t="s">
        <v>414</v>
      </c>
      <c r="H185" s="601">
        <v>270111</v>
      </c>
      <c r="I185" s="602">
        <v>4628504.2553749997</v>
      </c>
      <c r="J185" s="602">
        <v>3.3318476195789</v>
      </c>
      <c r="K185" s="602">
        <v>2729523.281494</v>
      </c>
      <c r="L185" s="602">
        <v>30827.812988000001</v>
      </c>
      <c r="M185" s="498">
        <v>3.4162655998600702</v>
      </c>
      <c r="N185" s="602">
        <v>1.8398676625635599</v>
      </c>
      <c r="O185" s="602">
        <v>1.57639793729683</v>
      </c>
      <c r="P185" s="498">
        <v>16602.66</v>
      </c>
      <c r="Q185" s="602">
        <v>14225.152988</v>
      </c>
      <c r="R185" s="602">
        <v>0</v>
      </c>
      <c r="S185" s="602">
        <v>0</v>
      </c>
      <c r="T185" s="602">
        <v>0</v>
      </c>
      <c r="U185" s="602">
        <v>0</v>
      </c>
      <c r="V185" s="602">
        <v>0</v>
      </c>
      <c r="W185" s="602">
        <v>0</v>
      </c>
      <c r="X185" s="602">
        <v>0</v>
      </c>
      <c r="Y185" s="602">
        <v>0</v>
      </c>
      <c r="Z185" s="602">
        <v>0</v>
      </c>
      <c r="AA185" s="602">
        <v>0</v>
      </c>
      <c r="AB185" s="602">
        <v>0</v>
      </c>
      <c r="AC185" s="602">
        <v>0</v>
      </c>
      <c r="AD185" s="602">
        <v>0</v>
      </c>
      <c r="AE185" s="602">
        <v>0</v>
      </c>
      <c r="AF185" s="602">
        <v>0</v>
      </c>
      <c r="AG185" s="602">
        <v>0</v>
      </c>
      <c r="AH185" s="602">
        <v>0</v>
      </c>
      <c r="AI185" s="602">
        <v>0</v>
      </c>
      <c r="AJ185" s="498">
        <v>0</v>
      </c>
      <c r="AK185" s="498">
        <v>0</v>
      </c>
      <c r="AL185" s="602">
        <v>1.8398676625635599</v>
      </c>
      <c r="AM185" s="602">
        <v>1.57639793729683</v>
      </c>
      <c r="AN185" s="498">
        <v>16602.66</v>
      </c>
      <c r="AO185" s="603">
        <v>14225.152988</v>
      </c>
    </row>
    <row r="186" spans="1:41" ht="12" thickBot="1">
      <c r="A186" s="918"/>
      <c r="B186" s="918"/>
      <c r="C186" s="917" t="s">
        <v>415</v>
      </c>
      <c r="D186" s="917" t="s">
        <v>416</v>
      </c>
      <c r="E186" s="917" t="s">
        <v>416</v>
      </c>
      <c r="F186" s="917" t="s">
        <v>416</v>
      </c>
      <c r="G186" s="600" t="s">
        <v>416</v>
      </c>
      <c r="H186" s="601">
        <v>270132</v>
      </c>
      <c r="I186" s="602">
        <v>338127347.58999997</v>
      </c>
      <c r="J186" s="602">
        <v>4.7318175622074898</v>
      </c>
      <c r="K186" s="602">
        <v>320389038.48347098</v>
      </c>
      <c r="L186" s="602">
        <v>959282.32</v>
      </c>
      <c r="M186" s="498">
        <v>0.905658580864104</v>
      </c>
      <c r="N186" s="602">
        <v>4.8081169808387001</v>
      </c>
      <c r="O186" s="602">
        <v>-3.9024583999745901</v>
      </c>
      <c r="P186" s="498">
        <v>5092803.965717</v>
      </c>
      <c r="Q186" s="602">
        <v>-4133521.6457170001</v>
      </c>
      <c r="R186" s="602">
        <v>0</v>
      </c>
      <c r="S186" s="602">
        <v>0</v>
      </c>
      <c r="T186" s="602">
        <v>0</v>
      </c>
      <c r="U186" s="602">
        <v>0</v>
      </c>
      <c r="V186" s="602">
        <v>0</v>
      </c>
      <c r="W186" s="602">
        <v>0</v>
      </c>
      <c r="X186" s="602">
        <v>0</v>
      </c>
      <c r="Y186" s="602">
        <v>0</v>
      </c>
      <c r="Z186" s="602">
        <v>0</v>
      </c>
      <c r="AA186" s="602">
        <v>0</v>
      </c>
      <c r="AB186" s="602">
        <v>0</v>
      </c>
      <c r="AC186" s="602">
        <v>0</v>
      </c>
      <c r="AD186" s="602">
        <v>-1.63863247163973</v>
      </c>
      <c r="AE186" s="602">
        <v>-1735655.3476499999</v>
      </c>
      <c r="AF186" s="602">
        <v>0</v>
      </c>
      <c r="AG186" s="602">
        <v>0</v>
      </c>
      <c r="AH186" s="602">
        <v>0</v>
      </c>
      <c r="AI186" s="602">
        <v>0</v>
      </c>
      <c r="AJ186" s="498">
        <v>0</v>
      </c>
      <c r="AK186" s="498">
        <v>0</v>
      </c>
      <c r="AL186" s="602">
        <v>3.1694845093925101</v>
      </c>
      <c r="AM186" s="602">
        <v>-2.2638259285284001</v>
      </c>
      <c r="AN186" s="498">
        <v>3357148.618272</v>
      </c>
      <c r="AO186" s="603">
        <v>-2397866.2982720002</v>
      </c>
    </row>
    <row r="187" spans="1:41" ht="12" thickBot="1">
      <c r="A187" s="918"/>
      <c r="B187" s="918"/>
      <c r="C187" s="918"/>
      <c r="D187" s="919"/>
      <c r="E187" s="919"/>
      <c r="F187" s="919"/>
      <c r="G187" s="600" t="s">
        <v>417</v>
      </c>
      <c r="H187" s="601">
        <v>270136</v>
      </c>
      <c r="I187" s="602">
        <v>31294767.949999999</v>
      </c>
      <c r="J187" s="602">
        <v>4.3499999999999996</v>
      </c>
      <c r="K187" s="602">
        <v>23541530.297189999</v>
      </c>
      <c r="L187" s="602">
        <v>36281.9</v>
      </c>
      <c r="M187" s="498">
        <v>0.46617721895831499</v>
      </c>
      <c r="N187" s="602">
        <v>4.3888876210190899</v>
      </c>
      <c r="O187" s="602">
        <v>-3.9227104020607801</v>
      </c>
      <c r="P187" s="498">
        <v>341580.78795199998</v>
      </c>
      <c r="Q187" s="602">
        <v>-305298.88795200002</v>
      </c>
      <c r="R187" s="602">
        <v>0</v>
      </c>
      <c r="S187" s="602">
        <v>0</v>
      </c>
      <c r="T187" s="602">
        <v>0</v>
      </c>
      <c r="U187" s="602">
        <v>0</v>
      </c>
      <c r="V187" s="602">
        <v>0</v>
      </c>
      <c r="W187" s="602">
        <v>0</v>
      </c>
      <c r="X187" s="602">
        <v>0</v>
      </c>
      <c r="Y187" s="602">
        <v>0</v>
      </c>
      <c r="Z187" s="602">
        <v>0</v>
      </c>
      <c r="AA187" s="602">
        <v>0</v>
      </c>
      <c r="AB187" s="602">
        <v>0</v>
      </c>
      <c r="AC187" s="602">
        <v>0</v>
      </c>
      <c r="AD187" s="602">
        <v>0</v>
      </c>
      <c r="AE187" s="602">
        <v>0</v>
      </c>
      <c r="AF187" s="602">
        <v>0</v>
      </c>
      <c r="AG187" s="602">
        <v>0</v>
      </c>
      <c r="AH187" s="602">
        <v>0</v>
      </c>
      <c r="AI187" s="602">
        <v>0</v>
      </c>
      <c r="AJ187" s="498">
        <v>0</v>
      </c>
      <c r="AK187" s="498">
        <v>0</v>
      </c>
      <c r="AL187" s="602">
        <v>4.3888876210190899</v>
      </c>
      <c r="AM187" s="602">
        <v>-3.9227104020607801</v>
      </c>
      <c r="AN187" s="498">
        <v>341580.78795199998</v>
      </c>
      <c r="AO187" s="603">
        <v>-305298.88795200002</v>
      </c>
    </row>
    <row r="188" spans="1:41" ht="12" thickBot="1">
      <c r="A188" s="918"/>
      <c r="B188" s="918"/>
      <c r="C188" s="919"/>
      <c r="D188" s="600" t="s">
        <v>2714</v>
      </c>
      <c r="E188" s="600" t="s">
        <v>2714</v>
      </c>
      <c r="F188" s="600" t="s">
        <v>2714</v>
      </c>
      <c r="G188" s="600" t="s">
        <v>2714</v>
      </c>
      <c r="H188" s="601">
        <v>270137</v>
      </c>
      <c r="I188" s="602">
        <v>34995525.799999997</v>
      </c>
      <c r="J188" s="602">
        <v>5.6</v>
      </c>
      <c r="K188" s="602">
        <v>34995525.799999997</v>
      </c>
      <c r="L188" s="602">
        <v>0</v>
      </c>
      <c r="M188" s="498">
        <v>0</v>
      </c>
      <c r="N188" s="602">
        <v>5.6556270050241002</v>
      </c>
      <c r="O188" s="602">
        <v>-5.6556270050241002</v>
      </c>
      <c r="P188" s="498">
        <v>654331.10746199999</v>
      </c>
      <c r="Q188" s="602">
        <v>-654331.10746199999</v>
      </c>
      <c r="R188" s="602">
        <v>0</v>
      </c>
      <c r="S188" s="602">
        <v>0</v>
      </c>
      <c r="T188" s="602">
        <v>0</v>
      </c>
      <c r="U188" s="602">
        <v>0</v>
      </c>
      <c r="V188" s="602">
        <v>0</v>
      </c>
      <c r="W188" s="602">
        <v>0</v>
      </c>
      <c r="X188" s="602">
        <v>0</v>
      </c>
      <c r="Y188" s="602">
        <v>0</v>
      </c>
      <c r="Z188" s="602">
        <v>0</v>
      </c>
      <c r="AA188" s="602">
        <v>0</v>
      </c>
      <c r="AB188" s="602">
        <v>0</v>
      </c>
      <c r="AC188" s="602">
        <v>0</v>
      </c>
      <c r="AD188" s="602">
        <v>-3.37835812706366</v>
      </c>
      <c r="AE188" s="602">
        <v>-390861.13930799998</v>
      </c>
      <c r="AF188" s="602">
        <v>0</v>
      </c>
      <c r="AG188" s="602">
        <v>0</v>
      </c>
      <c r="AH188" s="602">
        <v>0</v>
      </c>
      <c r="AI188" s="602">
        <v>0</v>
      </c>
      <c r="AJ188" s="498">
        <v>0</v>
      </c>
      <c r="AK188" s="498">
        <v>0</v>
      </c>
      <c r="AL188" s="602">
        <v>2.2772688779604402</v>
      </c>
      <c r="AM188" s="602">
        <v>-2.2772688779604402</v>
      </c>
      <c r="AN188" s="498">
        <v>263469.968154</v>
      </c>
      <c r="AO188" s="603">
        <v>-263469.968154</v>
      </c>
    </row>
    <row r="189" spans="1:41" ht="12" thickBot="1">
      <c r="A189" s="918"/>
      <c r="B189" s="919"/>
      <c r="C189" s="600" t="s">
        <v>3397</v>
      </c>
      <c r="D189" s="600" t="s">
        <v>3397</v>
      </c>
      <c r="E189" s="600" t="s">
        <v>3397</v>
      </c>
      <c r="F189" s="600" t="s">
        <v>3397</v>
      </c>
      <c r="G189" s="600" t="s">
        <v>3397</v>
      </c>
      <c r="H189" s="601">
        <v>270998</v>
      </c>
      <c r="I189" s="602">
        <v>693642126.94000006</v>
      </c>
      <c r="J189" s="602">
        <v>6.0298560672220596</v>
      </c>
      <c r="K189" s="602">
        <v>893794429.30123901</v>
      </c>
      <c r="L189" s="602">
        <v>295559.78999999998</v>
      </c>
      <c r="M189" s="498">
        <v>0.100023816368671</v>
      </c>
      <c r="N189" s="602">
        <v>0</v>
      </c>
      <c r="O189" s="602">
        <v>0.100023816368671</v>
      </c>
      <c r="P189" s="498">
        <v>0</v>
      </c>
      <c r="Q189" s="602">
        <v>295559.78999999998</v>
      </c>
      <c r="R189" s="602">
        <v>0</v>
      </c>
      <c r="S189" s="602">
        <v>0</v>
      </c>
      <c r="T189" s="602">
        <v>0</v>
      </c>
      <c r="U189" s="602">
        <v>0</v>
      </c>
      <c r="V189" s="602">
        <v>0</v>
      </c>
      <c r="W189" s="602">
        <v>0</v>
      </c>
      <c r="X189" s="602">
        <v>0</v>
      </c>
      <c r="Y189" s="602">
        <v>0</v>
      </c>
      <c r="Z189" s="602">
        <v>0</v>
      </c>
      <c r="AA189" s="602">
        <v>0</v>
      </c>
      <c r="AB189" s="602">
        <v>0</v>
      </c>
      <c r="AC189" s="602">
        <v>0</v>
      </c>
      <c r="AD189" s="602">
        <v>0</v>
      </c>
      <c r="AE189" s="602">
        <v>0</v>
      </c>
      <c r="AF189" s="602">
        <v>0</v>
      </c>
      <c r="AG189" s="602">
        <v>0</v>
      </c>
      <c r="AH189" s="602">
        <v>0</v>
      </c>
      <c r="AI189" s="602">
        <v>0</v>
      </c>
      <c r="AJ189" s="498">
        <v>0</v>
      </c>
      <c r="AK189" s="498">
        <v>0</v>
      </c>
      <c r="AL189" s="602">
        <v>0</v>
      </c>
      <c r="AM189" s="602">
        <v>0.100023816368671</v>
      </c>
      <c r="AN189" s="498">
        <v>0</v>
      </c>
      <c r="AO189" s="603">
        <v>295559.78999999998</v>
      </c>
    </row>
    <row r="190" spans="1:41" ht="12" thickBot="1">
      <c r="A190" s="918"/>
      <c r="B190" s="600" t="s">
        <v>2873</v>
      </c>
      <c r="C190" s="600" t="s">
        <v>443</v>
      </c>
      <c r="D190" s="600" t="s">
        <v>443</v>
      </c>
      <c r="E190" s="600" t="s">
        <v>443</v>
      </c>
      <c r="F190" s="600" t="s">
        <v>443</v>
      </c>
      <c r="G190" s="600" t="s">
        <v>444</v>
      </c>
      <c r="H190" s="601">
        <v>271070</v>
      </c>
      <c r="I190" s="602">
        <v>895513.73</v>
      </c>
      <c r="J190" s="602">
        <v>0</v>
      </c>
      <c r="K190" s="602">
        <v>895513.73</v>
      </c>
      <c r="L190" s="602">
        <v>0</v>
      </c>
      <c r="M190" s="498">
        <v>0</v>
      </c>
      <c r="N190" s="602">
        <v>3.45845070319359</v>
      </c>
      <c r="O190" s="602">
        <v>-3.45845070319359</v>
      </c>
      <c r="P190" s="498">
        <v>10239.013682999999</v>
      </c>
      <c r="Q190" s="602">
        <v>-10239.013682999999</v>
      </c>
      <c r="R190" s="602">
        <v>0</v>
      </c>
      <c r="S190" s="602">
        <v>0</v>
      </c>
      <c r="T190" s="602">
        <v>0</v>
      </c>
      <c r="U190" s="602">
        <v>0</v>
      </c>
      <c r="V190" s="602">
        <v>0</v>
      </c>
      <c r="W190" s="602">
        <v>0</v>
      </c>
      <c r="X190" s="602">
        <v>0</v>
      </c>
      <c r="Y190" s="602">
        <v>0</v>
      </c>
      <c r="Z190" s="602">
        <v>0</v>
      </c>
      <c r="AA190" s="602">
        <v>0</v>
      </c>
      <c r="AB190" s="602">
        <v>0</v>
      </c>
      <c r="AC190" s="602">
        <v>0</v>
      </c>
      <c r="AD190" s="602">
        <v>0</v>
      </c>
      <c r="AE190" s="602">
        <v>0</v>
      </c>
      <c r="AF190" s="602">
        <v>0</v>
      </c>
      <c r="AG190" s="602">
        <v>0</v>
      </c>
      <c r="AH190" s="602">
        <v>0</v>
      </c>
      <c r="AI190" s="602">
        <v>0</v>
      </c>
      <c r="AJ190" s="498">
        <v>0</v>
      </c>
      <c r="AK190" s="498">
        <v>0</v>
      </c>
      <c r="AL190" s="602">
        <v>3.45845070319359</v>
      </c>
      <c r="AM190" s="602">
        <v>-3.45845070319359</v>
      </c>
      <c r="AN190" s="498">
        <v>10239.013682999999</v>
      </c>
      <c r="AO190" s="603">
        <v>-10239.013682999999</v>
      </c>
    </row>
    <row r="191" spans="1:41" ht="12" thickBot="1">
      <c r="A191" s="918"/>
      <c r="B191" s="917" t="s">
        <v>418</v>
      </c>
      <c r="C191" s="917" t="s">
        <v>419</v>
      </c>
      <c r="D191" s="917" t="s">
        <v>420</v>
      </c>
      <c r="E191" s="600" t="s">
        <v>421</v>
      </c>
      <c r="F191" s="600" t="s">
        <v>421</v>
      </c>
      <c r="G191" s="600" t="s">
        <v>421</v>
      </c>
      <c r="H191" s="601">
        <v>271001</v>
      </c>
      <c r="I191" s="602">
        <v>21387424805.380001</v>
      </c>
      <c r="J191" s="602">
        <v>4.6487247675537198</v>
      </c>
      <c r="K191" s="602">
        <v>20788875566.686199</v>
      </c>
      <c r="L191" s="602">
        <v>327151591.43000001</v>
      </c>
      <c r="M191" s="498">
        <v>4.7600745292713</v>
      </c>
      <c r="N191" s="602">
        <v>3.5641193111153102</v>
      </c>
      <c r="O191" s="602">
        <v>1.195955218156</v>
      </c>
      <c r="P191" s="498">
        <v>244955682.41791099</v>
      </c>
      <c r="Q191" s="602">
        <v>82195909.012088999</v>
      </c>
      <c r="R191" s="602">
        <v>0</v>
      </c>
      <c r="S191" s="602">
        <v>0</v>
      </c>
      <c r="T191" s="602">
        <v>0.42981743074107098</v>
      </c>
      <c r="U191" s="602">
        <v>29540599.758807</v>
      </c>
      <c r="V191" s="602">
        <v>0</v>
      </c>
      <c r="W191" s="602">
        <v>0</v>
      </c>
      <c r="X191" s="602">
        <v>-0.22810392252415901</v>
      </c>
      <c r="Y191" s="602">
        <v>-15677183.373141</v>
      </c>
      <c r="Z191" s="602">
        <v>-0.335459729470305</v>
      </c>
      <c r="AA191" s="602">
        <v>-23055560.093024001</v>
      </c>
      <c r="AB191" s="602">
        <v>0</v>
      </c>
      <c r="AC191" s="602">
        <v>0</v>
      </c>
      <c r="AD191" s="602">
        <v>-9.2559894057009998E-3</v>
      </c>
      <c r="AE191" s="602">
        <v>-636147.95224599994</v>
      </c>
      <c r="AF191" s="602">
        <v>0</v>
      </c>
      <c r="AG191" s="602">
        <v>0</v>
      </c>
      <c r="AH191" s="602">
        <v>0</v>
      </c>
      <c r="AI191" s="602">
        <v>0</v>
      </c>
      <c r="AJ191" s="498">
        <v>-1.45428204538E-4</v>
      </c>
      <c r="AK191" s="498">
        <v>-9995.0259729999998</v>
      </c>
      <c r="AL191" s="602">
        <v>3.5869286496023198</v>
      </c>
      <c r="AM191" s="602">
        <v>1.17314587966899</v>
      </c>
      <c r="AN191" s="498">
        <v>246523328.33177301</v>
      </c>
      <c r="AO191" s="603">
        <v>80628263.098226994</v>
      </c>
    </row>
    <row r="192" spans="1:41" ht="12" thickBot="1">
      <c r="A192" s="918"/>
      <c r="B192" s="918"/>
      <c r="C192" s="918"/>
      <c r="D192" s="918"/>
      <c r="E192" s="600" t="s">
        <v>422</v>
      </c>
      <c r="F192" s="600" t="s">
        <v>422</v>
      </c>
      <c r="G192" s="600" t="s">
        <v>422</v>
      </c>
      <c r="H192" s="601">
        <v>271004</v>
      </c>
      <c r="I192" s="602">
        <v>810668314.54999995</v>
      </c>
      <c r="J192" s="602">
        <v>4.6836853708938397</v>
      </c>
      <c r="K192" s="602">
        <v>823211089.73471105</v>
      </c>
      <c r="L192" s="602">
        <v>13054223.189999999</v>
      </c>
      <c r="M192" s="498">
        <v>4.7966224566925204</v>
      </c>
      <c r="N192" s="602">
        <v>3.6341101692827502</v>
      </c>
      <c r="O192" s="602">
        <v>1.16251228740977</v>
      </c>
      <c r="P192" s="498">
        <v>9890393.8500880003</v>
      </c>
      <c r="Q192" s="602">
        <v>3163829.3399120001</v>
      </c>
      <c r="R192" s="602">
        <v>0</v>
      </c>
      <c r="S192" s="602">
        <v>0</v>
      </c>
      <c r="T192" s="602">
        <v>0.44613847646319199</v>
      </c>
      <c r="U192" s="602">
        <v>1214185.8772460001</v>
      </c>
      <c r="V192" s="602">
        <v>0</v>
      </c>
      <c r="W192" s="602">
        <v>0</v>
      </c>
      <c r="X192" s="602">
        <v>-7.8654457830946004E-2</v>
      </c>
      <c r="Y192" s="602">
        <v>-214061.63538699999</v>
      </c>
      <c r="Z192" s="602">
        <v>-0.39231499410045101</v>
      </c>
      <c r="AA192" s="602">
        <v>-1067702.8555010001</v>
      </c>
      <c r="AB192" s="602">
        <v>0</v>
      </c>
      <c r="AC192" s="602">
        <v>0</v>
      </c>
      <c r="AD192" s="602">
        <v>-4.6511761490129998E-3</v>
      </c>
      <c r="AE192" s="602">
        <v>-12658.384539000001</v>
      </c>
      <c r="AF192" s="602">
        <v>0</v>
      </c>
      <c r="AG192" s="602">
        <v>0</v>
      </c>
      <c r="AH192" s="602">
        <v>0</v>
      </c>
      <c r="AI192" s="602">
        <v>0</v>
      </c>
      <c r="AJ192" s="498">
        <v>0</v>
      </c>
      <c r="AK192" s="498">
        <v>0</v>
      </c>
      <c r="AL192" s="602">
        <v>3.6633170846251</v>
      </c>
      <c r="AM192" s="602">
        <v>1.13330537206741</v>
      </c>
      <c r="AN192" s="498">
        <v>9969881.7804000005</v>
      </c>
      <c r="AO192" s="603">
        <v>3084341.4095999999</v>
      </c>
    </row>
    <row r="193" spans="1:41" ht="12" thickBot="1">
      <c r="A193" s="918"/>
      <c r="B193" s="918"/>
      <c r="C193" s="918"/>
      <c r="D193" s="919"/>
      <c r="E193" s="600" t="s">
        <v>423</v>
      </c>
      <c r="F193" s="600" t="s">
        <v>423</v>
      </c>
      <c r="G193" s="600" t="s">
        <v>423</v>
      </c>
      <c r="H193" s="601">
        <v>271005</v>
      </c>
      <c r="I193" s="602">
        <v>5432124.7000000002</v>
      </c>
      <c r="J193" s="602">
        <v>4.3132095869356597</v>
      </c>
      <c r="K193" s="602">
        <v>7311243.3725619996</v>
      </c>
      <c r="L193" s="602">
        <v>102550.67</v>
      </c>
      <c r="M193" s="498">
        <v>4.2427063741190096</v>
      </c>
      <c r="N193" s="602">
        <v>3.51268295261369</v>
      </c>
      <c r="O193" s="602">
        <v>0.73002342150532995</v>
      </c>
      <c r="P193" s="498">
        <v>84905.237017000007</v>
      </c>
      <c r="Q193" s="602">
        <v>17645.432982999999</v>
      </c>
      <c r="R193" s="602">
        <v>0</v>
      </c>
      <c r="S193" s="602">
        <v>0</v>
      </c>
      <c r="T193" s="602">
        <v>0.37350850329178398</v>
      </c>
      <c r="U193" s="602">
        <v>9028.0928929999991</v>
      </c>
      <c r="V193" s="602">
        <v>0</v>
      </c>
      <c r="W193" s="602">
        <v>0</v>
      </c>
      <c r="X193" s="602">
        <v>0</v>
      </c>
      <c r="Y193" s="602">
        <v>0</v>
      </c>
      <c r="Z193" s="602">
        <v>-0.62468948727549001</v>
      </c>
      <c r="AA193" s="602">
        <v>-15099.40114</v>
      </c>
      <c r="AB193" s="602">
        <v>0</v>
      </c>
      <c r="AC193" s="602">
        <v>0</v>
      </c>
      <c r="AD193" s="602">
        <v>0</v>
      </c>
      <c r="AE193" s="602">
        <v>0</v>
      </c>
      <c r="AF193" s="602">
        <v>0</v>
      </c>
      <c r="AG193" s="602">
        <v>0</v>
      </c>
      <c r="AH193" s="602">
        <v>0</v>
      </c>
      <c r="AI193" s="602">
        <v>0</v>
      </c>
      <c r="AJ193" s="498">
        <v>0</v>
      </c>
      <c r="AK193" s="498">
        <v>0</v>
      </c>
      <c r="AL193" s="602">
        <v>3.26150196982976</v>
      </c>
      <c r="AM193" s="602">
        <v>0.98120440428925304</v>
      </c>
      <c r="AN193" s="498">
        <v>78833.928799000001</v>
      </c>
      <c r="AO193" s="603">
        <v>23716.741201000001</v>
      </c>
    </row>
    <row r="194" spans="1:41" ht="12" thickBot="1">
      <c r="A194" s="918"/>
      <c r="B194" s="918"/>
      <c r="C194" s="918"/>
      <c r="D194" s="917" t="s">
        <v>424</v>
      </c>
      <c r="E194" s="600" t="s">
        <v>425</v>
      </c>
      <c r="F194" s="600" t="s">
        <v>425</v>
      </c>
      <c r="G194" s="600" t="s">
        <v>425</v>
      </c>
      <c r="H194" s="601">
        <v>271011</v>
      </c>
      <c r="I194" s="602">
        <v>4508842513.29</v>
      </c>
      <c r="J194" s="602">
        <v>4.2021347299362803</v>
      </c>
      <c r="K194" s="602">
        <v>4541674353.8851204</v>
      </c>
      <c r="L194" s="602">
        <v>63362666.630000003</v>
      </c>
      <c r="M194" s="498">
        <v>4.2200069877698398</v>
      </c>
      <c r="N194" s="602">
        <v>3.5154930309604899</v>
      </c>
      <c r="O194" s="602">
        <v>0.70451395680934503</v>
      </c>
      <c r="P194" s="498">
        <v>52784512.823415004</v>
      </c>
      <c r="Q194" s="602">
        <v>10578153.806585001</v>
      </c>
      <c r="R194" s="602">
        <v>0</v>
      </c>
      <c r="S194" s="602">
        <v>0</v>
      </c>
      <c r="T194" s="602">
        <v>0.41212693172175702</v>
      </c>
      <c r="U194" s="602">
        <v>6188013.7780839996</v>
      </c>
      <c r="V194" s="602">
        <v>0</v>
      </c>
      <c r="W194" s="602">
        <v>0</v>
      </c>
      <c r="X194" s="602">
        <v>-0.106772632887446</v>
      </c>
      <c r="Y194" s="602">
        <v>-1603172.4029039999</v>
      </c>
      <c r="Z194" s="602">
        <v>-0.69336493266756705</v>
      </c>
      <c r="AA194" s="602">
        <v>-10410753.159621</v>
      </c>
      <c r="AB194" s="602">
        <v>0</v>
      </c>
      <c r="AC194" s="602">
        <v>0</v>
      </c>
      <c r="AD194" s="602">
        <v>-1.6060797528663E-2</v>
      </c>
      <c r="AE194" s="602">
        <v>-241150.06505199999</v>
      </c>
      <c r="AF194" s="602">
        <v>0</v>
      </c>
      <c r="AG194" s="602">
        <v>0</v>
      </c>
      <c r="AH194" s="602">
        <v>0</v>
      </c>
      <c r="AI194" s="602">
        <v>0</v>
      </c>
      <c r="AJ194" s="498">
        <v>-6.1383911697000004E-5</v>
      </c>
      <c r="AK194" s="498">
        <v>-921.66869499999996</v>
      </c>
      <c r="AL194" s="602">
        <v>3.18860392384622</v>
      </c>
      <c r="AM194" s="602">
        <v>1.03140306392361</v>
      </c>
      <c r="AN194" s="498">
        <v>47876330.069431998</v>
      </c>
      <c r="AO194" s="603">
        <v>15486336.560567999</v>
      </c>
    </row>
    <row r="195" spans="1:41" ht="12" thickBot="1">
      <c r="A195" s="918"/>
      <c r="B195" s="918"/>
      <c r="C195" s="918"/>
      <c r="D195" s="918"/>
      <c r="E195" s="600" t="s">
        <v>426</v>
      </c>
      <c r="F195" s="600" t="s">
        <v>426</v>
      </c>
      <c r="G195" s="600" t="s">
        <v>426</v>
      </c>
      <c r="H195" s="601">
        <v>271054</v>
      </c>
      <c r="I195" s="602">
        <v>14455051.93</v>
      </c>
      <c r="J195" s="602">
        <v>4.1559308142777498</v>
      </c>
      <c r="K195" s="602">
        <v>14980463.689339999</v>
      </c>
      <c r="L195" s="602">
        <v>208155.47</v>
      </c>
      <c r="M195" s="498">
        <v>4.2029893231511002</v>
      </c>
      <c r="N195" s="602">
        <v>3.5024482442324198</v>
      </c>
      <c r="O195" s="602">
        <v>0.70054107891900197</v>
      </c>
      <c r="P195" s="498">
        <v>173460.76908</v>
      </c>
      <c r="Q195" s="602">
        <v>34694.700920000003</v>
      </c>
      <c r="R195" s="602">
        <v>0</v>
      </c>
      <c r="S195" s="602">
        <v>0</v>
      </c>
      <c r="T195" s="602">
        <v>0.38889981080435998</v>
      </c>
      <c r="U195" s="602">
        <v>19260.487400000002</v>
      </c>
      <c r="V195" s="602">
        <v>0</v>
      </c>
      <c r="W195" s="602">
        <v>0</v>
      </c>
      <c r="X195" s="602">
        <v>0</v>
      </c>
      <c r="Y195" s="602">
        <v>0</v>
      </c>
      <c r="Z195" s="602">
        <v>-0.68041089873988803</v>
      </c>
      <c r="AA195" s="602">
        <v>-33697.742138000001</v>
      </c>
      <c r="AB195" s="602">
        <v>0</v>
      </c>
      <c r="AC195" s="602">
        <v>0</v>
      </c>
      <c r="AD195" s="602">
        <v>0</v>
      </c>
      <c r="AE195" s="602">
        <v>0</v>
      </c>
      <c r="AF195" s="602">
        <v>0</v>
      </c>
      <c r="AG195" s="602">
        <v>0</v>
      </c>
      <c r="AH195" s="602">
        <v>0</v>
      </c>
      <c r="AI195" s="602">
        <v>0</v>
      </c>
      <c r="AJ195" s="498">
        <v>0</v>
      </c>
      <c r="AK195" s="498">
        <v>0</v>
      </c>
      <c r="AL195" s="602">
        <v>3.2109371550450199</v>
      </c>
      <c r="AM195" s="602">
        <v>0.99205216810640895</v>
      </c>
      <c r="AN195" s="498">
        <v>159023.51428</v>
      </c>
      <c r="AO195" s="603">
        <v>49131.955719999998</v>
      </c>
    </row>
    <row r="196" spans="1:41" ht="12" thickBot="1">
      <c r="A196" s="918"/>
      <c r="B196" s="918"/>
      <c r="C196" s="918"/>
      <c r="D196" s="918"/>
      <c r="E196" s="600" t="s">
        <v>427</v>
      </c>
      <c r="F196" s="600" t="s">
        <v>427</v>
      </c>
      <c r="G196" s="600" t="s">
        <v>427</v>
      </c>
      <c r="H196" s="601">
        <v>271056</v>
      </c>
      <c r="I196" s="602">
        <v>29343269.329999998</v>
      </c>
      <c r="J196" s="602">
        <v>4.7870075561703596</v>
      </c>
      <c r="K196" s="602">
        <v>30731985.563797001</v>
      </c>
      <c r="L196" s="602">
        <v>482910.07</v>
      </c>
      <c r="M196" s="498">
        <v>4.7530387644815599</v>
      </c>
      <c r="N196" s="602">
        <v>3.5056917309775901</v>
      </c>
      <c r="O196" s="602">
        <v>1.2473470335032499</v>
      </c>
      <c r="P196" s="498">
        <v>356179.26196099998</v>
      </c>
      <c r="Q196" s="602">
        <v>126730.808039</v>
      </c>
      <c r="R196" s="602">
        <v>0</v>
      </c>
      <c r="S196" s="602">
        <v>0</v>
      </c>
      <c r="T196" s="602">
        <v>0.37614933213129398</v>
      </c>
      <c r="U196" s="602">
        <v>38216.877520000002</v>
      </c>
      <c r="V196" s="602">
        <v>0</v>
      </c>
      <c r="W196" s="602">
        <v>0</v>
      </c>
      <c r="X196" s="602">
        <v>0</v>
      </c>
      <c r="Y196" s="602">
        <v>0</v>
      </c>
      <c r="Z196" s="602">
        <v>-4.1685848848592E-2</v>
      </c>
      <c r="AA196" s="602">
        <v>-4235.2939210000004</v>
      </c>
      <c r="AB196" s="602">
        <v>0</v>
      </c>
      <c r="AC196" s="602">
        <v>0</v>
      </c>
      <c r="AD196" s="602">
        <v>-2.4170191121055999E-2</v>
      </c>
      <c r="AE196" s="602">
        <v>-2455.6981890000002</v>
      </c>
      <c r="AF196" s="602">
        <v>0</v>
      </c>
      <c r="AG196" s="602">
        <v>0</v>
      </c>
      <c r="AH196" s="602">
        <v>0</v>
      </c>
      <c r="AI196" s="602">
        <v>0</v>
      </c>
      <c r="AJ196" s="498">
        <v>0</v>
      </c>
      <c r="AK196" s="498">
        <v>0</v>
      </c>
      <c r="AL196" s="602">
        <v>3.8159850273419802</v>
      </c>
      <c r="AM196" s="602">
        <v>0.93705373713885998</v>
      </c>
      <c r="AN196" s="498">
        <v>387705.14779800002</v>
      </c>
      <c r="AO196" s="603">
        <v>95204.922202000002</v>
      </c>
    </row>
    <row r="197" spans="1:41" ht="12" thickBot="1">
      <c r="A197" s="918"/>
      <c r="B197" s="918"/>
      <c r="C197" s="918"/>
      <c r="D197" s="918"/>
      <c r="E197" s="600" t="s">
        <v>428</v>
      </c>
      <c r="F197" s="600" t="s">
        <v>428</v>
      </c>
      <c r="G197" s="600" t="s">
        <v>428</v>
      </c>
      <c r="H197" s="601">
        <v>271057</v>
      </c>
      <c r="I197" s="602">
        <v>27828672.370000001</v>
      </c>
      <c r="J197" s="602">
        <v>3.6669417031065099</v>
      </c>
      <c r="K197" s="602">
        <v>28759211.966281999</v>
      </c>
      <c r="L197" s="602">
        <v>353148.73</v>
      </c>
      <c r="M197" s="498">
        <v>3.7142949010172801</v>
      </c>
      <c r="N197" s="602">
        <v>3.5083104464432799</v>
      </c>
      <c r="O197" s="602">
        <v>0.205984454574131</v>
      </c>
      <c r="P197" s="498">
        <v>333564.08460399997</v>
      </c>
      <c r="Q197" s="602">
        <v>19584.645396</v>
      </c>
      <c r="R197" s="602">
        <v>0</v>
      </c>
      <c r="S197" s="602">
        <v>0</v>
      </c>
      <c r="T197" s="602">
        <v>0.37634294852473499</v>
      </c>
      <c r="U197" s="602">
        <v>35782.036121999998</v>
      </c>
      <c r="V197" s="602">
        <v>0</v>
      </c>
      <c r="W197" s="602">
        <v>0</v>
      </c>
      <c r="X197" s="602">
        <v>0</v>
      </c>
      <c r="Y197" s="602">
        <v>0</v>
      </c>
      <c r="Z197" s="602">
        <v>-1.19489244096071</v>
      </c>
      <c r="AA197" s="602">
        <v>-113608.30501</v>
      </c>
      <c r="AB197" s="602">
        <v>0</v>
      </c>
      <c r="AC197" s="602">
        <v>0</v>
      </c>
      <c r="AD197" s="602">
        <v>0</v>
      </c>
      <c r="AE197" s="602">
        <v>0</v>
      </c>
      <c r="AF197" s="602">
        <v>0</v>
      </c>
      <c r="AG197" s="602">
        <v>0</v>
      </c>
      <c r="AH197" s="602">
        <v>0</v>
      </c>
      <c r="AI197" s="602">
        <v>0</v>
      </c>
      <c r="AJ197" s="498">
        <v>0</v>
      </c>
      <c r="AK197" s="498">
        <v>0</v>
      </c>
      <c r="AL197" s="602">
        <v>2.68976095722571</v>
      </c>
      <c r="AM197" s="602">
        <v>1.0245339437917</v>
      </c>
      <c r="AN197" s="498">
        <v>255737.81602200001</v>
      </c>
      <c r="AO197" s="603">
        <v>97410.913977999997</v>
      </c>
    </row>
    <row r="198" spans="1:41" ht="12" thickBot="1">
      <c r="A198" s="918"/>
      <c r="B198" s="918"/>
      <c r="C198" s="918"/>
      <c r="D198" s="919"/>
      <c r="E198" s="600" t="s">
        <v>429</v>
      </c>
      <c r="F198" s="600" t="s">
        <v>429</v>
      </c>
      <c r="G198" s="600" t="s">
        <v>429</v>
      </c>
      <c r="H198" s="601">
        <v>271059</v>
      </c>
      <c r="I198" s="602">
        <v>506370.01</v>
      </c>
      <c r="J198" s="602">
        <v>3.4745434153969699</v>
      </c>
      <c r="K198" s="602">
        <v>521900.92545500002</v>
      </c>
      <c r="L198" s="602">
        <v>6019.68</v>
      </c>
      <c r="M198" s="498">
        <v>3.4888400032225602</v>
      </c>
      <c r="N198" s="602">
        <v>3.5076185172783898</v>
      </c>
      <c r="O198" s="602">
        <v>-1.8778514052785002E-2</v>
      </c>
      <c r="P198" s="498">
        <v>6052.0806389999998</v>
      </c>
      <c r="Q198" s="602">
        <v>-32.400638999999998</v>
      </c>
      <c r="R198" s="602">
        <v>0</v>
      </c>
      <c r="S198" s="602">
        <v>0</v>
      </c>
      <c r="T198" s="602">
        <v>0.37626671256254601</v>
      </c>
      <c r="U198" s="602">
        <v>649.21441000000004</v>
      </c>
      <c r="V198" s="602">
        <v>0</v>
      </c>
      <c r="W198" s="602">
        <v>0</v>
      </c>
      <c r="X198" s="602">
        <v>0</v>
      </c>
      <c r="Y198" s="602">
        <v>0</v>
      </c>
      <c r="Z198" s="602">
        <v>-1.3898556933797099</v>
      </c>
      <c r="AA198" s="602">
        <v>-2398.0711390000001</v>
      </c>
      <c r="AB198" s="602">
        <v>0</v>
      </c>
      <c r="AC198" s="602">
        <v>0</v>
      </c>
      <c r="AD198" s="602">
        <v>0</v>
      </c>
      <c r="AE198" s="602">
        <v>0</v>
      </c>
      <c r="AF198" s="602">
        <v>0</v>
      </c>
      <c r="AG198" s="602">
        <v>0</v>
      </c>
      <c r="AH198" s="602">
        <v>0</v>
      </c>
      <c r="AI198" s="602">
        <v>0</v>
      </c>
      <c r="AJ198" s="498">
        <v>0</v>
      </c>
      <c r="AK198" s="498">
        <v>0</v>
      </c>
      <c r="AL198" s="602">
        <v>2.4940295521096698</v>
      </c>
      <c r="AM198" s="602">
        <v>0.99481045111592703</v>
      </c>
      <c r="AN198" s="498">
        <v>4303.2239369999998</v>
      </c>
      <c r="AO198" s="603">
        <v>1716.4560630000001</v>
      </c>
    </row>
    <row r="199" spans="1:41" ht="12" thickBot="1">
      <c r="A199" s="918"/>
      <c r="B199" s="918"/>
      <c r="C199" s="918"/>
      <c r="D199" s="917" t="s">
        <v>430</v>
      </c>
      <c r="E199" s="600" t="s">
        <v>431</v>
      </c>
      <c r="F199" s="600" t="s">
        <v>431</v>
      </c>
      <c r="G199" s="600" t="s">
        <v>431</v>
      </c>
      <c r="H199" s="601">
        <v>271071</v>
      </c>
      <c r="I199" s="602">
        <v>700364880.05999994</v>
      </c>
      <c r="J199" s="602">
        <v>4.7043249528653499</v>
      </c>
      <c r="K199" s="602">
        <v>694877976.69561803</v>
      </c>
      <c r="L199" s="602">
        <v>11136385.93</v>
      </c>
      <c r="M199" s="498">
        <v>4.8476520571641997</v>
      </c>
      <c r="N199" s="602">
        <v>3.63089215217133</v>
      </c>
      <c r="O199" s="602">
        <v>1.2167599049928599</v>
      </c>
      <c r="P199" s="498">
        <v>8341154.8106119996</v>
      </c>
      <c r="Q199" s="602">
        <v>2795231.1193880001</v>
      </c>
      <c r="R199" s="602">
        <v>0</v>
      </c>
      <c r="S199" s="602">
        <v>0</v>
      </c>
      <c r="T199" s="602">
        <v>0.44365475872260501</v>
      </c>
      <c r="U199" s="602">
        <v>1019196.624377</v>
      </c>
      <c r="V199" s="602">
        <v>0</v>
      </c>
      <c r="W199" s="602">
        <v>0</v>
      </c>
      <c r="X199" s="602">
        <v>-0.22627676973190999</v>
      </c>
      <c r="Y199" s="602">
        <v>-519819.78182700003</v>
      </c>
      <c r="Z199" s="602">
        <v>-0.35203633928999101</v>
      </c>
      <c r="AA199" s="602">
        <v>-808723.99452099996</v>
      </c>
      <c r="AB199" s="602">
        <v>0</v>
      </c>
      <c r="AC199" s="602">
        <v>0</v>
      </c>
      <c r="AD199" s="602">
        <v>-8.4355597753300003E-4</v>
      </c>
      <c r="AE199" s="602">
        <v>-1937.879371</v>
      </c>
      <c r="AF199" s="602">
        <v>0</v>
      </c>
      <c r="AG199" s="602">
        <v>0</v>
      </c>
      <c r="AH199" s="602">
        <v>0</v>
      </c>
      <c r="AI199" s="602">
        <v>0</v>
      </c>
      <c r="AJ199" s="498">
        <v>-7.3884488446999996E-5</v>
      </c>
      <c r="AK199" s="498">
        <v>-169.73292799999999</v>
      </c>
      <c r="AL199" s="602">
        <v>3.66293976686734</v>
      </c>
      <c r="AM199" s="602">
        <v>1.1847122902968501</v>
      </c>
      <c r="AN199" s="498">
        <v>8414776.9685520008</v>
      </c>
      <c r="AO199" s="603">
        <v>2721608.9614479998</v>
      </c>
    </row>
    <row r="200" spans="1:41" ht="12" thickBot="1">
      <c r="A200" s="918"/>
      <c r="B200" s="918"/>
      <c r="C200" s="919"/>
      <c r="D200" s="919"/>
      <c r="E200" s="600" t="s">
        <v>432</v>
      </c>
      <c r="F200" s="600" t="s">
        <v>432</v>
      </c>
      <c r="G200" s="600" t="s">
        <v>432</v>
      </c>
      <c r="H200" s="601">
        <v>271072</v>
      </c>
      <c r="I200" s="602">
        <v>54861939.350000001</v>
      </c>
      <c r="J200" s="602">
        <v>4.6451351328158301</v>
      </c>
      <c r="K200" s="602">
        <v>57109913.616774999</v>
      </c>
      <c r="L200" s="602">
        <v>895769.86</v>
      </c>
      <c r="M200" s="498">
        <v>4.7443930107552701</v>
      </c>
      <c r="N200" s="602">
        <v>3.7298196510116401</v>
      </c>
      <c r="O200" s="602">
        <v>1.0145733597434801</v>
      </c>
      <c r="P200" s="498">
        <v>704212.32369200001</v>
      </c>
      <c r="Q200" s="602">
        <v>191557.53630800001</v>
      </c>
      <c r="R200" s="602">
        <v>0</v>
      </c>
      <c r="S200" s="602">
        <v>0</v>
      </c>
      <c r="T200" s="602">
        <v>0.44922411089575098</v>
      </c>
      <c r="U200" s="602">
        <v>84816.206839000006</v>
      </c>
      <c r="V200" s="602">
        <v>0</v>
      </c>
      <c r="W200" s="602">
        <v>0</v>
      </c>
      <c r="X200" s="602">
        <v>-0.116011442125768</v>
      </c>
      <c r="Y200" s="602">
        <v>-21903.656176</v>
      </c>
      <c r="Z200" s="602">
        <v>-0.48636880813074101</v>
      </c>
      <c r="AA200" s="602">
        <v>-91829.348492000005</v>
      </c>
      <c r="AB200" s="602">
        <v>0</v>
      </c>
      <c r="AC200" s="602">
        <v>0</v>
      </c>
      <c r="AD200" s="602">
        <v>0</v>
      </c>
      <c r="AE200" s="602">
        <v>0</v>
      </c>
      <c r="AF200" s="602">
        <v>0</v>
      </c>
      <c r="AG200" s="602">
        <v>0</v>
      </c>
      <c r="AH200" s="602">
        <v>0</v>
      </c>
      <c r="AI200" s="602">
        <v>0</v>
      </c>
      <c r="AJ200" s="498">
        <v>0</v>
      </c>
      <c r="AK200" s="498">
        <v>0</v>
      </c>
      <c r="AL200" s="602">
        <v>3.6640476717836901</v>
      </c>
      <c r="AM200" s="602">
        <v>1.0803453389714199</v>
      </c>
      <c r="AN200" s="498">
        <v>691794.17947600002</v>
      </c>
      <c r="AO200" s="603">
        <v>203975.680524</v>
      </c>
    </row>
    <row r="201" spans="1:41" ht="12" thickBot="1">
      <c r="A201" s="918"/>
      <c r="B201" s="918"/>
      <c r="C201" s="917" t="s">
        <v>433</v>
      </c>
      <c r="D201" s="600" t="s">
        <v>434</v>
      </c>
      <c r="E201" s="600" t="s">
        <v>434</v>
      </c>
      <c r="F201" s="600" t="s">
        <v>434</v>
      </c>
      <c r="G201" s="600" t="s">
        <v>434</v>
      </c>
      <c r="H201" s="601">
        <v>271063</v>
      </c>
      <c r="I201" s="602">
        <v>341509.31</v>
      </c>
      <c r="J201" s="602">
        <v>4.8048239841543401</v>
      </c>
      <c r="K201" s="602">
        <v>351457.48595100001</v>
      </c>
      <c r="L201" s="602">
        <v>2206.9499999999998</v>
      </c>
      <c r="M201" s="498">
        <v>1.8993955273229699</v>
      </c>
      <c r="N201" s="602">
        <v>3.4692381521719802</v>
      </c>
      <c r="O201" s="602">
        <v>-1.5698426248458399</v>
      </c>
      <c r="P201" s="498">
        <v>4030.9851370000001</v>
      </c>
      <c r="Q201" s="602">
        <v>-1824.0351370000001</v>
      </c>
      <c r="R201" s="602">
        <v>0</v>
      </c>
      <c r="S201" s="602">
        <v>0</v>
      </c>
      <c r="T201" s="602">
        <v>0.14260272178318201</v>
      </c>
      <c r="U201" s="602">
        <v>165.69328100000001</v>
      </c>
      <c r="V201" s="602">
        <v>0</v>
      </c>
      <c r="W201" s="602">
        <v>0</v>
      </c>
      <c r="X201" s="602">
        <v>0</v>
      </c>
      <c r="Y201" s="602">
        <v>0</v>
      </c>
      <c r="Z201" s="602">
        <v>0</v>
      </c>
      <c r="AA201" s="602">
        <v>0</v>
      </c>
      <c r="AB201" s="602">
        <v>0</v>
      </c>
      <c r="AC201" s="602">
        <v>0</v>
      </c>
      <c r="AD201" s="602">
        <v>-0.86221774722112499</v>
      </c>
      <c r="AE201" s="602">
        <v>-1001.830019</v>
      </c>
      <c r="AF201" s="602">
        <v>0</v>
      </c>
      <c r="AG201" s="602">
        <v>0</v>
      </c>
      <c r="AH201" s="602">
        <v>0</v>
      </c>
      <c r="AI201" s="602">
        <v>0</v>
      </c>
      <c r="AJ201" s="498">
        <v>0</v>
      </c>
      <c r="AK201" s="498">
        <v>0</v>
      </c>
      <c r="AL201" s="602">
        <v>2.7496231904216</v>
      </c>
      <c r="AM201" s="602">
        <v>-0.85022766309545905</v>
      </c>
      <c r="AN201" s="498">
        <v>3194.848473</v>
      </c>
      <c r="AO201" s="603">
        <v>-987.89847299999997</v>
      </c>
    </row>
    <row r="202" spans="1:41" ht="12" thickBot="1">
      <c r="A202" s="918"/>
      <c r="B202" s="918"/>
      <c r="C202" s="918"/>
      <c r="D202" s="600" t="s">
        <v>435</v>
      </c>
      <c r="E202" s="600" t="s">
        <v>435</v>
      </c>
      <c r="F202" s="600" t="s">
        <v>435</v>
      </c>
      <c r="G202" s="600" t="s">
        <v>435</v>
      </c>
      <c r="H202" s="601">
        <v>271064</v>
      </c>
      <c r="I202" s="602">
        <v>308561354.86000001</v>
      </c>
      <c r="J202" s="602">
        <v>6.0633178756002399</v>
      </c>
      <c r="K202" s="602">
        <v>332913898.28247702</v>
      </c>
      <c r="L202" s="602">
        <v>6785818.6900000004</v>
      </c>
      <c r="M202" s="498">
        <v>6.1654678925957702</v>
      </c>
      <c r="N202" s="602">
        <v>3.7709872583441202</v>
      </c>
      <c r="O202" s="602">
        <v>2.3944806342515998</v>
      </c>
      <c r="P202" s="498">
        <v>4150412.6309949998</v>
      </c>
      <c r="Q202" s="602">
        <v>2635406.0590050002</v>
      </c>
      <c r="R202" s="602">
        <v>0</v>
      </c>
      <c r="S202" s="602">
        <v>0</v>
      </c>
      <c r="T202" s="602">
        <v>0.42030661337840203</v>
      </c>
      <c r="U202" s="602">
        <v>462596.59806500003</v>
      </c>
      <c r="V202" s="602">
        <v>0</v>
      </c>
      <c r="W202" s="602">
        <v>0</v>
      </c>
      <c r="X202" s="602">
        <v>0</v>
      </c>
      <c r="Y202" s="602">
        <v>0</v>
      </c>
      <c r="Z202" s="602">
        <v>0</v>
      </c>
      <c r="AA202" s="602">
        <v>0</v>
      </c>
      <c r="AB202" s="602">
        <v>0</v>
      </c>
      <c r="AC202" s="602">
        <v>0</v>
      </c>
      <c r="AD202" s="602">
        <v>-2.3554782317390999E-2</v>
      </c>
      <c r="AE202" s="602">
        <v>-25924.793523</v>
      </c>
      <c r="AF202" s="602">
        <v>0</v>
      </c>
      <c r="AG202" s="602">
        <v>0</v>
      </c>
      <c r="AH202" s="602">
        <v>0</v>
      </c>
      <c r="AI202" s="602">
        <v>0</v>
      </c>
      <c r="AJ202" s="498">
        <v>-5.4041911536700001E-4</v>
      </c>
      <c r="AK202" s="498">
        <v>-594.79445799999996</v>
      </c>
      <c r="AL202" s="602">
        <v>4.1671986688260398</v>
      </c>
      <c r="AM202" s="602">
        <v>1.99826922376968</v>
      </c>
      <c r="AN202" s="498">
        <v>4586489.6394680003</v>
      </c>
      <c r="AO202" s="603">
        <v>2199329.0505320001</v>
      </c>
    </row>
    <row r="203" spans="1:41" ht="12" thickBot="1">
      <c r="A203" s="918"/>
      <c r="B203" s="918"/>
      <c r="C203" s="918"/>
      <c r="D203" s="600" t="s">
        <v>436</v>
      </c>
      <c r="E203" s="600" t="s">
        <v>436</v>
      </c>
      <c r="F203" s="600" t="s">
        <v>436</v>
      </c>
      <c r="G203" s="600" t="s">
        <v>436</v>
      </c>
      <c r="H203" s="601">
        <v>271065</v>
      </c>
      <c r="I203" s="602">
        <v>7507021636.4200001</v>
      </c>
      <c r="J203" s="602">
        <v>6.6202632239770898</v>
      </c>
      <c r="K203" s="602">
        <v>7156264703.3884401</v>
      </c>
      <c r="L203" s="602">
        <v>161345927.06999999</v>
      </c>
      <c r="M203" s="498">
        <v>6.8197322720653801</v>
      </c>
      <c r="N203" s="602">
        <v>3.9656497284127901</v>
      </c>
      <c r="O203" s="602">
        <v>2.8540825436525901</v>
      </c>
      <c r="P203" s="498">
        <v>93822074.876243904</v>
      </c>
      <c r="Q203" s="602">
        <v>67523852.193755999</v>
      </c>
      <c r="R203" s="602">
        <v>0</v>
      </c>
      <c r="S203" s="602">
        <v>0</v>
      </c>
      <c r="T203" s="602">
        <v>0.26526462459495598</v>
      </c>
      <c r="U203" s="602">
        <v>6275813.3408639999</v>
      </c>
      <c r="V203" s="602">
        <v>0</v>
      </c>
      <c r="W203" s="602">
        <v>0</v>
      </c>
      <c r="X203" s="602">
        <v>0</v>
      </c>
      <c r="Y203" s="602">
        <v>0</v>
      </c>
      <c r="Z203" s="602">
        <v>0</v>
      </c>
      <c r="AA203" s="602">
        <v>0</v>
      </c>
      <c r="AB203" s="602">
        <v>0</v>
      </c>
      <c r="AC203" s="602">
        <v>0</v>
      </c>
      <c r="AD203" s="602">
        <v>-1.3184703670842001E-2</v>
      </c>
      <c r="AE203" s="602">
        <v>-311932.80792400002</v>
      </c>
      <c r="AF203" s="602">
        <v>0</v>
      </c>
      <c r="AG203" s="602">
        <v>0</v>
      </c>
      <c r="AH203" s="602">
        <v>0</v>
      </c>
      <c r="AI203" s="602">
        <v>0</v>
      </c>
      <c r="AJ203" s="498">
        <v>-3.0649333547556001E-2</v>
      </c>
      <c r="AK203" s="498">
        <v>-725123.06026499998</v>
      </c>
      <c r="AL203" s="602">
        <v>4.1870803148802596</v>
      </c>
      <c r="AM203" s="602">
        <v>2.6326519571851299</v>
      </c>
      <c r="AN203" s="498">
        <v>99060832.327410996</v>
      </c>
      <c r="AO203" s="603">
        <v>62285094.742588997</v>
      </c>
    </row>
    <row r="204" spans="1:41" ht="12" thickBot="1">
      <c r="A204" s="918"/>
      <c r="B204" s="918"/>
      <c r="C204" s="918"/>
      <c r="D204" s="600" t="s">
        <v>437</v>
      </c>
      <c r="E204" s="600" t="s">
        <v>437</v>
      </c>
      <c r="F204" s="600" t="s">
        <v>437</v>
      </c>
      <c r="G204" s="600" t="s">
        <v>437</v>
      </c>
      <c r="H204" s="601">
        <v>271066</v>
      </c>
      <c r="I204" s="602">
        <v>97272538.829999998</v>
      </c>
      <c r="J204" s="602">
        <v>6.21978816187434</v>
      </c>
      <c r="K204" s="602">
        <v>93075345.546033993</v>
      </c>
      <c r="L204" s="602">
        <v>1901756.28</v>
      </c>
      <c r="M204" s="498">
        <v>6.18039050878805</v>
      </c>
      <c r="N204" s="602">
        <v>3.7557692882162499</v>
      </c>
      <c r="O204" s="602">
        <v>2.42462122057186</v>
      </c>
      <c r="P204" s="498">
        <v>1155680.667741</v>
      </c>
      <c r="Q204" s="602">
        <v>746075.61225899996</v>
      </c>
      <c r="R204" s="602">
        <v>0</v>
      </c>
      <c r="S204" s="602">
        <v>0</v>
      </c>
      <c r="T204" s="602">
        <v>0.39910839159164802</v>
      </c>
      <c r="U204" s="602">
        <v>122808.888699</v>
      </c>
      <c r="V204" s="602">
        <v>0</v>
      </c>
      <c r="W204" s="602">
        <v>0</v>
      </c>
      <c r="X204" s="602">
        <v>0</v>
      </c>
      <c r="Y204" s="602">
        <v>0</v>
      </c>
      <c r="Z204" s="602">
        <v>0</v>
      </c>
      <c r="AA204" s="602">
        <v>0</v>
      </c>
      <c r="AB204" s="602">
        <v>0</v>
      </c>
      <c r="AC204" s="602">
        <v>0</v>
      </c>
      <c r="AD204" s="602">
        <v>-3.3041580137352998E-2</v>
      </c>
      <c r="AE204" s="602">
        <v>-10167.162162000001</v>
      </c>
      <c r="AF204" s="602">
        <v>0</v>
      </c>
      <c r="AG204" s="602">
        <v>0</v>
      </c>
      <c r="AH204" s="602">
        <v>0</v>
      </c>
      <c r="AI204" s="602">
        <v>0</v>
      </c>
      <c r="AJ204" s="498">
        <v>-2.436308116786E-3</v>
      </c>
      <c r="AK204" s="498">
        <v>-749.67176500000005</v>
      </c>
      <c r="AL204" s="602">
        <v>4.1193997914855096</v>
      </c>
      <c r="AM204" s="602">
        <v>2.0609907173025999</v>
      </c>
      <c r="AN204" s="498">
        <v>1267572.7224920001</v>
      </c>
      <c r="AO204" s="603">
        <v>634183.55750800006</v>
      </c>
    </row>
    <row r="205" spans="1:41" ht="12" thickBot="1">
      <c r="A205" s="918"/>
      <c r="B205" s="918"/>
      <c r="C205" s="918"/>
      <c r="D205" s="600" t="s">
        <v>438</v>
      </c>
      <c r="E205" s="600" t="s">
        <v>438</v>
      </c>
      <c r="F205" s="600" t="s">
        <v>438</v>
      </c>
      <c r="G205" s="600" t="s">
        <v>438</v>
      </c>
      <c r="H205" s="601">
        <v>271074</v>
      </c>
      <c r="I205" s="602">
        <v>1451652.81</v>
      </c>
      <c r="J205" s="602">
        <v>0.3</v>
      </c>
      <c r="K205" s="602">
        <v>1510161.9618200001</v>
      </c>
      <c r="L205" s="602">
        <v>0</v>
      </c>
      <c r="M205" s="498">
        <v>0</v>
      </c>
      <c r="N205" s="602">
        <v>3.26077452386602</v>
      </c>
      <c r="O205" s="602">
        <v>-3.26077452386602</v>
      </c>
      <c r="P205" s="498">
        <v>16279.781854999999</v>
      </c>
      <c r="Q205" s="602">
        <v>-16279.781854999999</v>
      </c>
      <c r="R205" s="602">
        <v>0</v>
      </c>
      <c r="S205" s="602">
        <v>0</v>
      </c>
      <c r="T205" s="602">
        <v>0</v>
      </c>
      <c r="U205" s="602">
        <v>0</v>
      </c>
      <c r="V205" s="602">
        <v>0</v>
      </c>
      <c r="W205" s="602">
        <v>0</v>
      </c>
      <c r="X205" s="602">
        <v>0</v>
      </c>
      <c r="Y205" s="602">
        <v>0</v>
      </c>
      <c r="Z205" s="602">
        <v>0</v>
      </c>
      <c r="AA205" s="602">
        <v>0</v>
      </c>
      <c r="AB205" s="602">
        <v>0</v>
      </c>
      <c r="AC205" s="602">
        <v>0</v>
      </c>
      <c r="AD205" s="602">
        <v>0</v>
      </c>
      <c r="AE205" s="602">
        <v>0</v>
      </c>
      <c r="AF205" s="602">
        <v>0</v>
      </c>
      <c r="AG205" s="602">
        <v>0</v>
      </c>
      <c r="AH205" s="602">
        <v>0</v>
      </c>
      <c r="AI205" s="602">
        <v>0</v>
      </c>
      <c r="AJ205" s="498">
        <v>0</v>
      </c>
      <c r="AK205" s="498">
        <v>0</v>
      </c>
      <c r="AL205" s="602">
        <v>3.26077452386602</v>
      </c>
      <c r="AM205" s="602">
        <v>-3.26077452386602</v>
      </c>
      <c r="AN205" s="498">
        <v>16279.781854999999</v>
      </c>
      <c r="AO205" s="603">
        <v>-16279.781854999999</v>
      </c>
    </row>
    <row r="206" spans="1:41" ht="12" thickBot="1">
      <c r="A206" s="918"/>
      <c r="B206" s="918"/>
      <c r="C206" s="918"/>
      <c r="D206" s="600" t="s">
        <v>439</v>
      </c>
      <c r="E206" s="600" t="s">
        <v>439</v>
      </c>
      <c r="F206" s="600" t="s">
        <v>439</v>
      </c>
      <c r="G206" s="600" t="s">
        <v>439</v>
      </c>
      <c r="H206" s="601">
        <v>271079</v>
      </c>
      <c r="I206" s="602">
        <v>432619857.72000003</v>
      </c>
      <c r="J206" s="602">
        <v>14.1191120978588</v>
      </c>
      <c r="K206" s="602">
        <v>398619058.17827302</v>
      </c>
      <c r="L206" s="602">
        <v>18670431.780000001</v>
      </c>
      <c r="M206" s="498">
        <v>14.1674607494597</v>
      </c>
      <c r="N206" s="602">
        <v>5.0431864750643598</v>
      </c>
      <c r="O206" s="602">
        <v>9.1242742743956402</v>
      </c>
      <c r="P206" s="498">
        <v>6646107.6336559998</v>
      </c>
      <c r="Q206" s="602">
        <v>12024324.146344</v>
      </c>
      <c r="R206" s="602">
        <v>0</v>
      </c>
      <c r="S206" s="602">
        <v>0</v>
      </c>
      <c r="T206" s="602">
        <v>0</v>
      </c>
      <c r="U206" s="602">
        <v>0</v>
      </c>
      <c r="V206" s="602">
        <v>0</v>
      </c>
      <c r="W206" s="602">
        <v>0</v>
      </c>
      <c r="X206" s="602">
        <v>0</v>
      </c>
      <c r="Y206" s="602">
        <v>0</v>
      </c>
      <c r="Z206" s="602">
        <v>0</v>
      </c>
      <c r="AA206" s="602">
        <v>0</v>
      </c>
      <c r="AB206" s="602">
        <v>0</v>
      </c>
      <c r="AC206" s="602">
        <v>0</v>
      </c>
      <c r="AD206" s="602">
        <v>-3.3205231701479002E-2</v>
      </c>
      <c r="AE206" s="602">
        <v>-43759.148106000001</v>
      </c>
      <c r="AF206" s="602">
        <v>0</v>
      </c>
      <c r="AG206" s="602">
        <v>0</v>
      </c>
      <c r="AH206" s="602">
        <v>0</v>
      </c>
      <c r="AI206" s="602">
        <v>0</v>
      </c>
      <c r="AJ206" s="498">
        <v>-2.3469154119246001E-2</v>
      </c>
      <c r="AK206" s="498">
        <v>-30928.565723</v>
      </c>
      <c r="AL206" s="602">
        <v>4.9865120901140001</v>
      </c>
      <c r="AM206" s="602">
        <v>9.1809486593460008</v>
      </c>
      <c r="AN206" s="498">
        <v>6571419.9209740004</v>
      </c>
      <c r="AO206" s="603">
        <v>12099011.859026</v>
      </c>
    </row>
    <row r="207" spans="1:41" ht="12" thickBot="1">
      <c r="A207" s="918"/>
      <c r="B207" s="918"/>
      <c r="C207" s="919"/>
      <c r="D207" s="600" t="s">
        <v>440</v>
      </c>
      <c r="E207" s="600" t="s">
        <v>440</v>
      </c>
      <c r="F207" s="600" t="s">
        <v>440</v>
      </c>
      <c r="G207" s="600" t="s">
        <v>440</v>
      </c>
      <c r="H207" s="601">
        <v>271082</v>
      </c>
      <c r="I207" s="602">
        <v>1750.8</v>
      </c>
      <c r="J207" s="602">
        <v>0.3</v>
      </c>
      <c r="K207" s="602">
        <v>4107.0149590000001</v>
      </c>
      <c r="L207" s="602">
        <v>16.940000000000001</v>
      </c>
      <c r="M207" s="498">
        <v>1.2476214601486699</v>
      </c>
      <c r="N207" s="602">
        <v>3.1485542271446398</v>
      </c>
      <c r="O207" s="602">
        <v>-1.90093276689806</v>
      </c>
      <c r="P207" s="498">
        <v>42.750554000000001</v>
      </c>
      <c r="Q207" s="602">
        <v>-25.810554</v>
      </c>
      <c r="R207" s="602">
        <v>0</v>
      </c>
      <c r="S207" s="602">
        <v>0</v>
      </c>
      <c r="T207" s="602">
        <v>0</v>
      </c>
      <c r="U207" s="602">
        <v>0</v>
      </c>
      <c r="V207" s="602">
        <v>0</v>
      </c>
      <c r="W207" s="602">
        <v>0</v>
      </c>
      <c r="X207" s="602">
        <v>0</v>
      </c>
      <c r="Y207" s="602">
        <v>0</v>
      </c>
      <c r="Z207" s="602">
        <v>0</v>
      </c>
      <c r="AA207" s="602">
        <v>0</v>
      </c>
      <c r="AB207" s="602">
        <v>0</v>
      </c>
      <c r="AC207" s="602">
        <v>0</v>
      </c>
      <c r="AD207" s="602">
        <v>0</v>
      </c>
      <c r="AE207" s="602">
        <v>0</v>
      </c>
      <c r="AF207" s="602">
        <v>0</v>
      </c>
      <c r="AG207" s="602">
        <v>0</v>
      </c>
      <c r="AH207" s="602">
        <v>0</v>
      </c>
      <c r="AI207" s="602">
        <v>0</v>
      </c>
      <c r="AJ207" s="498">
        <v>0</v>
      </c>
      <c r="AK207" s="498">
        <v>0</v>
      </c>
      <c r="AL207" s="602">
        <v>3.1485542271446398</v>
      </c>
      <c r="AM207" s="602">
        <v>-1.90093276689806</v>
      </c>
      <c r="AN207" s="498">
        <v>42.750554000000001</v>
      </c>
      <c r="AO207" s="603">
        <v>-25.810554</v>
      </c>
    </row>
    <row r="208" spans="1:41" ht="12" thickBot="1">
      <c r="A208" s="918"/>
      <c r="B208" s="918"/>
      <c r="C208" s="917" t="s">
        <v>441</v>
      </c>
      <c r="D208" s="917" t="s">
        <v>442</v>
      </c>
      <c r="E208" s="917" t="s">
        <v>442</v>
      </c>
      <c r="F208" s="917" t="s">
        <v>442</v>
      </c>
      <c r="G208" s="600" t="s">
        <v>2643</v>
      </c>
      <c r="H208" s="601">
        <v>271067</v>
      </c>
      <c r="I208" s="602">
        <v>85158364.159999996</v>
      </c>
      <c r="J208" s="602">
        <v>6.1159094314298601</v>
      </c>
      <c r="K208" s="602">
        <v>76327578.340823993</v>
      </c>
      <c r="L208" s="602">
        <v>1577083.37</v>
      </c>
      <c r="M208" s="498">
        <v>6.2498397751826502</v>
      </c>
      <c r="N208" s="602">
        <v>3.9191762566467401</v>
      </c>
      <c r="O208" s="602">
        <v>2.3306635185357099</v>
      </c>
      <c r="P208" s="498">
        <v>988964.18481000001</v>
      </c>
      <c r="Q208" s="602">
        <v>588119.18518999999</v>
      </c>
      <c r="R208" s="602">
        <v>0</v>
      </c>
      <c r="S208" s="602">
        <v>0</v>
      </c>
      <c r="T208" s="602">
        <v>6.1819671262976002E-2</v>
      </c>
      <c r="U208" s="602">
        <v>15599.563988</v>
      </c>
      <c r="V208" s="602">
        <v>0</v>
      </c>
      <c r="W208" s="602">
        <v>0</v>
      </c>
      <c r="X208" s="602">
        <v>0</v>
      </c>
      <c r="Y208" s="602">
        <v>0</v>
      </c>
      <c r="Z208" s="602">
        <v>0</v>
      </c>
      <c r="AA208" s="602">
        <v>0</v>
      </c>
      <c r="AB208" s="602">
        <v>0</v>
      </c>
      <c r="AC208" s="602">
        <v>0</v>
      </c>
      <c r="AD208" s="602">
        <v>0</v>
      </c>
      <c r="AE208" s="602">
        <v>0</v>
      </c>
      <c r="AF208" s="602">
        <v>0</v>
      </c>
      <c r="AG208" s="602">
        <v>0</v>
      </c>
      <c r="AH208" s="602">
        <v>0</v>
      </c>
      <c r="AI208" s="602">
        <v>0</v>
      </c>
      <c r="AJ208" s="498">
        <v>-0.111918880441992</v>
      </c>
      <c r="AK208" s="498">
        <v>-28241.588822000002</v>
      </c>
      <c r="AL208" s="602">
        <v>3.8690770487952899</v>
      </c>
      <c r="AM208" s="602">
        <v>2.3807627263871498</v>
      </c>
      <c r="AN208" s="498">
        <v>976322.16031099996</v>
      </c>
      <c r="AO208" s="603">
        <v>600761.20968900004</v>
      </c>
    </row>
    <row r="209" spans="1:41" ht="12" thickBot="1">
      <c r="A209" s="918"/>
      <c r="B209" s="918"/>
      <c r="C209" s="919"/>
      <c r="D209" s="919"/>
      <c r="E209" s="919"/>
      <c r="F209" s="919"/>
      <c r="G209" s="600" t="s">
        <v>2644</v>
      </c>
      <c r="H209" s="601">
        <v>271083</v>
      </c>
      <c r="I209" s="602">
        <v>89117770.059999004</v>
      </c>
      <c r="J209" s="602">
        <v>6.0404000924512804</v>
      </c>
      <c r="K209" s="602">
        <v>87221921.073635995</v>
      </c>
      <c r="L209" s="602">
        <v>1817475.8999989999</v>
      </c>
      <c r="M209" s="498">
        <v>6.3028754907911297</v>
      </c>
      <c r="N209" s="602">
        <v>3.9659352960166099</v>
      </c>
      <c r="O209" s="602">
        <v>2.3369401947744999</v>
      </c>
      <c r="P209" s="498">
        <v>1143603.7142090001</v>
      </c>
      <c r="Q209" s="602">
        <v>673872.18579000002</v>
      </c>
      <c r="R209" s="602">
        <v>0</v>
      </c>
      <c r="S209" s="602">
        <v>0</v>
      </c>
      <c r="T209" s="602">
        <v>4.6582096169744E-2</v>
      </c>
      <c r="U209" s="602">
        <v>13432.256004999999</v>
      </c>
      <c r="V209" s="602">
        <v>0</v>
      </c>
      <c r="W209" s="602">
        <v>0</v>
      </c>
      <c r="X209" s="602">
        <v>0</v>
      </c>
      <c r="Y209" s="602">
        <v>0</v>
      </c>
      <c r="Z209" s="602">
        <v>0</v>
      </c>
      <c r="AA209" s="602">
        <v>0</v>
      </c>
      <c r="AB209" s="602">
        <v>0</v>
      </c>
      <c r="AC209" s="602">
        <v>0</v>
      </c>
      <c r="AD209" s="602">
        <v>0</v>
      </c>
      <c r="AE209" s="602">
        <v>0</v>
      </c>
      <c r="AF209" s="602">
        <v>0</v>
      </c>
      <c r="AG209" s="602">
        <v>0</v>
      </c>
      <c r="AH209" s="602">
        <v>0</v>
      </c>
      <c r="AI209" s="602">
        <v>0</v>
      </c>
      <c r="AJ209" s="498">
        <v>-6.8645706981963997E-2</v>
      </c>
      <c r="AK209" s="498">
        <v>-19794.444339000001</v>
      </c>
      <c r="AL209" s="602">
        <v>3.9438716837270502</v>
      </c>
      <c r="AM209" s="602">
        <v>2.35900380706406</v>
      </c>
      <c r="AN209" s="498">
        <v>1137241.5254490001</v>
      </c>
      <c r="AO209" s="603">
        <v>680234.37454999995</v>
      </c>
    </row>
    <row r="210" spans="1:41" ht="12" thickBot="1">
      <c r="A210" s="918"/>
      <c r="B210" s="918"/>
      <c r="C210" s="917" t="s">
        <v>445</v>
      </c>
      <c r="D210" s="917" t="s">
        <v>445</v>
      </c>
      <c r="E210" s="600" t="s">
        <v>2715</v>
      </c>
      <c r="F210" s="600" t="s">
        <v>2715</v>
      </c>
      <c r="G210" s="600" t="s">
        <v>2715</v>
      </c>
      <c r="H210" s="601">
        <v>271089</v>
      </c>
      <c r="I210" s="602">
        <v>28673367.609999999</v>
      </c>
      <c r="J210" s="602">
        <v>6.5711818254315597</v>
      </c>
      <c r="K210" s="602">
        <v>29698373.103305999</v>
      </c>
      <c r="L210" s="602">
        <v>653760.29</v>
      </c>
      <c r="M210" s="498">
        <v>6.6585795657264004</v>
      </c>
      <c r="N210" s="602">
        <v>3.6337491945956102</v>
      </c>
      <c r="O210" s="602">
        <v>3.02483037113084</v>
      </c>
      <c r="P210" s="498">
        <v>356772.92788899998</v>
      </c>
      <c r="Q210" s="602">
        <v>296987.36211099999</v>
      </c>
      <c r="R210" s="602">
        <v>0</v>
      </c>
      <c r="S210" s="602">
        <v>0</v>
      </c>
      <c r="T210" s="602">
        <v>0</v>
      </c>
      <c r="U210" s="602">
        <v>0</v>
      </c>
      <c r="V210" s="602">
        <v>0</v>
      </c>
      <c r="W210" s="602">
        <v>0</v>
      </c>
      <c r="X210" s="602">
        <v>0</v>
      </c>
      <c r="Y210" s="602">
        <v>0</v>
      </c>
      <c r="Z210" s="602">
        <v>0</v>
      </c>
      <c r="AA210" s="602">
        <v>0</v>
      </c>
      <c r="AB210" s="602">
        <v>0</v>
      </c>
      <c r="AC210" s="602">
        <v>0</v>
      </c>
      <c r="AD210" s="602">
        <v>0</v>
      </c>
      <c r="AE210" s="602">
        <v>0</v>
      </c>
      <c r="AF210" s="602">
        <v>0</v>
      </c>
      <c r="AG210" s="602">
        <v>0</v>
      </c>
      <c r="AH210" s="602">
        <v>0</v>
      </c>
      <c r="AI210" s="602">
        <v>0</v>
      </c>
      <c r="AJ210" s="498">
        <v>-2.2990683429582999E-2</v>
      </c>
      <c r="AK210" s="498">
        <v>-2257.2976290000001</v>
      </c>
      <c r="AL210" s="602">
        <v>3.6107585092104899</v>
      </c>
      <c r="AM210" s="602">
        <v>3.04782105651595</v>
      </c>
      <c r="AN210" s="498">
        <v>354515.630068</v>
      </c>
      <c r="AO210" s="603">
        <v>299244.65993199998</v>
      </c>
    </row>
    <row r="211" spans="1:41" ht="12" thickBot="1">
      <c r="A211" s="918"/>
      <c r="B211" s="918"/>
      <c r="C211" s="918"/>
      <c r="D211" s="918"/>
      <c r="E211" s="917" t="s">
        <v>445</v>
      </c>
      <c r="F211" s="917" t="s">
        <v>445</v>
      </c>
      <c r="G211" s="600" t="s">
        <v>2645</v>
      </c>
      <c r="H211" s="601">
        <v>271075</v>
      </c>
      <c r="I211" s="602">
        <v>3944590463.1199999</v>
      </c>
      <c r="J211" s="602">
        <v>6.2679875901069098</v>
      </c>
      <c r="K211" s="602">
        <v>4193629652.35497</v>
      </c>
      <c r="L211" s="602">
        <v>86179588.719998002</v>
      </c>
      <c r="M211" s="498">
        <v>6.2159864315023796</v>
      </c>
      <c r="N211" s="602">
        <v>4.0402117119359504</v>
      </c>
      <c r="O211" s="602">
        <v>2.1757747195664399</v>
      </c>
      <c r="P211" s="498">
        <v>56014244.482867002</v>
      </c>
      <c r="Q211" s="602">
        <v>30165344.237131</v>
      </c>
      <c r="R211" s="602">
        <v>0</v>
      </c>
      <c r="S211" s="602">
        <v>0</v>
      </c>
      <c r="T211" s="602">
        <v>8.1575192343789002E-2</v>
      </c>
      <c r="U211" s="602">
        <v>1130973.5958100001</v>
      </c>
      <c r="V211" s="602">
        <v>0</v>
      </c>
      <c r="W211" s="602">
        <v>0</v>
      </c>
      <c r="X211" s="602">
        <v>0</v>
      </c>
      <c r="Y211" s="602">
        <v>0</v>
      </c>
      <c r="Z211" s="602">
        <v>0</v>
      </c>
      <c r="AA211" s="602">
        <v>0</v>
      </c>
      <c r="AB211" s="602">
        <v>0</v>
      </c>
      <c r="AC211" s="602">
        <v>0</v>
      </c>
      <c r="AD211" s="602">
        <v>-4.4680209629942999E-2</v>
      </c>
      <c r="AE211" s="602">
        <v>-619454.71282200003</v>
      </c>
      <c r="AF211" s="602">
        <v>0</v>
      </c>
      <c r="AG211" s="602">
        <v>0</v>
      </c>
      <c r="AH211" s="602">
        <v>0</v>
      </c>
      <c r="AI211" s="602">
        <v>0</v>
      </c>
      <c r="AJ211" s="498">
        <v>-4.2873389121995002E-2</v>
      </c>
      <c r="AK211" s="498">
        <v>-594404.61820200004</v>
      </c>
      <c r="AL211" s="602">
        <v>4.03423330559293</v>
      </c>
      <c r="AM211" s="602">
        <v>2.1817531259094598</v>
      </c>
      <c r="AN211" s="498">
        <v>55931358.748556003</v>
      </c>
      <c r="AO211" s="603">
        <v>30248229.971441999</v>
      </c>
    </row>
    <row r="212" spans="1:41" ht="12" thickBot="1">
      <c r="A212" s="918"/>
      <c r="B212" s="918"/>
      <c r="C212" s="918"/>
      <c r="D212" s="918"/>
      <c r="E212" s="919"/>
      <c r="F212" s="919"/>
      <c r="G212" s="600" t="s">
        <v>2646</v>
      </c>
      <c r="H212" s="601">
        <v>271086</v>
      </c>
      <c r="I212" s="602">
        <v>10926655940.91</v>
      </c>
      <c r="J212" s="602">
        <v>6.3465616272964196</v>
      </c>
      <c r="K212" s="602">
        <v>11437655480.920401</v>
      </c>
      <c r="L212" s="602">
        <v>242996306.90000799</v>
      </c>
      <c r="M212" s="498">
        <v>6.42626125389154</v>
      </c>
      <c r="N212" s="602">
        <v>4.0141020423507001</v>
      </c>
      <c r="O212" s="602">
        <v>2.4121592115408501</v>
      </c>
      <c r="P212" s="498">
        <v>151785296.811629</v>
      </c>
      <c r="Q212" s="602">
        <v>91211010.0883791</v>
      </c>
      <c r="R212" s="602">
        <v>0</v>
      </c>
      <c r="S212" s="602">
        <v>0</v>
      </c>
      <c r="T212" s="602">
        <v>6.8317951803334998E-2</v>
      </c>
      <c r="U212" s="602">
        <v>2583307.6694680001</v>
      </c>
      <c r="V212" s="602">
        <v>0</v>
      </c>
      <c r="W212" s="602">
        <v>0</v>
      </c>
      <c r="X212" s="602">
        <v>0</v>
      </c>
      <c r="Y212" s="602">
        <v>0</v>
      </c>
      <c r="Z212" s="602">
        <v>0</v>
      </c>
      <c r="AA212" s="602">
        <v>0</v>
      </c>
      <c r="AB212" s="602">
        <v>0</v>
      </c>
      <c r="AC212" s="602">
        <v>0</v>
      </c>
      <c r="AD212" s="602">
        <v>-3.5759899037267999E-2</v>
      </c>
      <c r="AE212" s="602">
        <v>-1352189.5637079999</v>
      </c>
      <c r="AF212" s="602">
        <v>0</v>
      </c>
      <c r="AG212" s="602">
        <v>0</v>
      </c>
      <c r="AH212" s="602">
        <v>0</v>
      </c>
      <c r="AI212" s="602">
        <v>0</v>
      </c>
      <c r="AJ212" s="498">
        <v>-4.3273720034068999E-2</v>
      </c>
      <c r="AK212" s="498">
        <v>-1636309.782416</v>
      </c>
      <c r="AL212" s="602">
        <v>4.0033863750274499</v>
      </c>
      <c r="AM212" s="602">
        <v>2.4228748788640999</v>
      </c>
      <c r="AN212" s="498">
        <v>151380105.132884</v>
      </c>
      <c r="AO212" s="603">
        <v>91616201.767124102</v>
      </c>
    </row>
    <row r="213" spans="1:41" ht="12" thickBot="1">
      <c r="A213" s="918"/>
      <c r="B213" s="918"/>
      <c r="C213" s="919"/>
      <c r="D213" s="919"/>
      <c r="E213" s="600" t="s">
        <v>446</v>
      </c>
      <c r="F213" s="600" t="s">
        <v>446</v>
      </c>
      <c r="G213" s="600" t="s">
        <v>446</v>
      </c>
      <c r="H213" s="601">
        <v>271077</v>
      </c>
      <c r="I213" s="602">
        <v>0</v>
      </c>
      <c r="J213" s="602">
        <v>0</v>
      </c>
      <c r="K213" s="602">
        <v>167884.50247899999</v>
      </c>
      <c r="L213" s="602">
        <v>3058.17</v>
      </c>
      <c r="M213" s="498">
        <v>5.5099382373613102</v>
      </c>
      <c r="N213" s="602">
        <v>3.7127093047558</v>
      </c>
      <c r="O213" s="602">
        <v>1.79722893259439</v>
      </c>
      <c r="P213" s="498">
        <v>2060.65762</v>
      </c>
      <c r="Q213" s="602">
        <v>997.51238000000001</v>
      </c>
      <c r="R213" s="602">
        <v>0</v>
      </c>
      <c r="S213" s="602">
        <v>0</v>
      </c>
      <c r="T213" s="602">
        <v>3.2941577722204997E-2</v>
      </c>
      <c r="U213" s="602">
        <v>18.283498000000002</v>
      </c>
      <c r="V213" s="602">
        <v>0</v>
      </c>
      <c r="W213" s="602">
        <v>0</v>
      </c>
      <c r="X213" s="602">
        <v>0</v>
      </c>
      <c r="Y213" s="602">
        <v>0</v>
      </c>
      <c r="Z213" s="602">
        <v>0</v>
      </c>
      <c r="AA213" s="602">
        <v>0</v>
      </c>
      <c r="AB213" s="602">
        <v>0</v>
      </c>
      <c r="AC213" s="602">
        <v>0</v>
      </c>
      <c r="AD213" s="602">
        <v>0</v>
      </c>
      <c r="AE213" s="602">
        <v>0</v>
      </c>
      <c r="AF213" s="602">
        <v>0</v>
      </c>
      <c r="AG213" s="602">
        <v>0</v>
      </c>
      <c r="AH213" s="602">
        <v>0</v>
      </c>
      <c r="AI213" s="602">
        <v>0</v>
      </c>
      <c r="AJ213" s="498">
        <v>-0.14307910051384801</v>
      </c>
      <c r="AK213" s="498">
        <v>-79.412907000000004</v>
      </c>
      <c r="AL213" s="602">
        <v>3.6025717657487601</v>
      </c>
      <c r="AM213" s="602">
        <v>1.90736647160143</v>
      </c>
      <c r="AN213" s="498">
        <v>1999.528202</v>
      </c>
      <c r="AO213" s="603">
        <v>1058.6417980000001</v>
      </c>
    </row>
    <row r="214" spans="1:41" ht="12" thickBot="1">
      <c r="A214" s="918"/>
      <c r="B214" s="918"/>
      <c r="C214" s="917" t="s">
        <v>447</v>
      </c>
      <c r="D214" s="600" t="s">
        <v>448</v>
      </c>
      <c r="E214" s="600" t="s">
        <v>448</v>
      </c>
      <c r="F214" s="600" t="s">
        <v>448</v>
      </c>
      <c r="G214" s="600" t="s">
        <v>448</v>
      </c>
      <c r="H214" s="601">
        <v>271076</v>
      </c>
      <c r="I214" s="602">
        <v>39834798.759999998</v>
      </c>
      <c r="J214" s="602">
        <v>5.00465674689403</v>
      </c>
      <c r="K214" s="602">
        <v>52597647.717027999</v>
      </c>
      <c r="L214" s="602">
        <v>897155.02</v>
      </c>
      <c r="M214" s="498">
        <v>5.1593725017744898</v>
      </c>
      <c r="N214" s="602">
        <v>3.7322443302989199</v>
      </c>
      <c r="O214" s="602">
        <v>1.4271281714758901</v>
      </c>
      <c r="P214" s="498">
        <v>648993.98825000005</v>
      </c>
      <c r="Q214" s="602">
        <v>248161.03174999999</v>
      </c>
      <c r="R214" s="602">
        <v>0</v>
      </c>
      <c r="S214" s="602">
        <v>0</v>
      </c>
      <c r="T214" s="602">
        <v>0</v>
      </c>
      <c r="U214" s="602">
        <v>0</v>
      </c>
      <c r="V214" s="602">
        <v>0</v>
      </c>
      <c r="W214" s="602">
        <v>0</v>
      </c>
      <c r="X214" s="602">
        <v>0</v>
      </c>
      <c r="Y214" s="602">
        <v>0</v>
      </c>
      <c r="Z214" s="602">
        <v>0</v>
      </c>
      <c r="AA214" s="602">
        <v>0</v>
      </c>
      <c r="AB214" s="602">
        <v>0</v>
      </c>
      <c r="AC214" s="602">
        <v>0</v>
      </c>
      <c r="AD214" s="602">
        <v>0</v>
      </c>
      <c r="AE214" s="602">
        <v>0</v>
      </c>
      <c r="AF214" s="602">
        <v>0</v>
      </c>
      <c r="AG214" s="602">
        <v>0</v>
      </c>
      <c r="AH214" s="602">
        <v>0</v>
      </c>
      <c r="AI214" s="602">
        <v>0</v>
      </c>
      <c r="AJ214" s="498">
        <v>-3.8249688065595998E-2</v>
      </c>
      <c r="AK214" s="498">
        <v>-6651.1769889999996</v>
      </c>
      <c r="AL214" s="602">
        <v>3.6939946472652898</v>
      </c>
      <c r="AM214" s="602">
        <v>1.46537785450952</v>
      </c>
      <c r="AN214" s="498">
        <v>642342.81213600002</v>
      </c>
      <c r="AO214" s="603">
        <v>254812.207864</v>
      </c>
    </row>
    <row r="215" spans="1:41" ht="12" thickBot="1">
      <c r="A215" s="918"/>
      <c r="B215" s="918"/>
      <c r="C215" s="918"/>
      <c r="D215" s="917" t="s">
        <v>449</v>
      </c>
      <c r="E215" s="917" t="s">
        <v>449</v>
      </c>
      <c r="F215" s="917" t="s">
        <v>449</v>
      </c>
      <c r="G215" s="600" t="s">
        <v>3514</v>
      </c>
      <c r="H215" s="601">
        <v>271078</v>
      </c>
      <c r="I215" s="602">
        <v>590399</v>
      </c>
      <c r="J215" s="602">
        <v>5.4392484811119299</v>
      </c>
      <c r="K215" s="602">
        <v>6781593.2595899999</v>
      </c>
      <c r="L215" s="602">
        <v>112639.81</v>
      </c>
      <c r="M215" s="498">
        <v>5.0240723605794999</v>
      </c>
      <c r="N215" s="602">
        <v>3.6004874440442101</v>
      </c>
      <c r="O215" s="602">
        <v>1.4235849165376799</v>
      </c>
      <c r="P215" s="498">
        <v>80723.005661000003</v>
      </c>
      <c r="Q215" s="602">
        <v>31916.804338999998</v>
      </c>
      <c r="R215" s="602">
        <v>0</v>
      </c>
      <c r="S215" s="602">
        <v>0</v>
      </c>
      <c r="T215" s="602">
        <v>0</v>
      </c>
      <c r="U215" s="602">
        <v>0</v>
      </c>
      <c r="V215" s="602">
        <v>0</v>
      </c>
      <c r="W215" s="602">
        <v>0</v>
      </c>
      <c r="X215" s="602">
        <v>0</v>
      </c>
      <c r="Y215" s="602">
        <v>0</v>
      </c>
      <c r="Z215" s="602">
        <v>0</v>
      </c>
      <c r="AA215" s="602">
        <v>0</v>
      </c>
      <c r="AB215" s="602">
        <v>0</v>
      </c>
      <c r="AC215" s="602">
        <v>0</v>
      </c>
      <c r="AD215" s="602">
        <v>0</v>
      </c>
      <c r="AE215" s="602">
        <v>0</v>
      </c>
      <c r="AF215" s="602">
        <v>0</v>
      </c>
      <c r="AG215" s="602">
        <v>0</v>
      </c>
      <c r="AH215" s="602">
        <v>0</v>
      </c>
      <c r="AI215" s="602">
        <v>0</v>
      </c>
      <c r="AJ215" s="498">
        <v>-8.2402083673561E-2</v>
      </c>
      <c r="AK215" s="498">
        <v>-1847.4564820000001</v>
      </c>
      <c r="AL215" s="602">
        <v>3.51808538182468</v>
      </c>
      <c r="AM215" s="602">
        <v>1.5059869787572</v>
      </c>
      <c r="AN215" s="498">
        <v>78875.549660000004</v>
      </c>
      <c r="AO215" s="603">
        <v>33764.260340000001</v>
      </c>
    </row>
    <row r="216" spans="1:41" ht="12" thickBot="1">
      <c r="A216" s="919"/>
      <c r="B216" s="919"/>
      <c r="C216" s="919"/>
      <c r="D216" s="919"/>
      <c r="E216" s="919"/>
      <c r="F216" s="919"/>
      <c r="G216" s="600" t="s">
        <v>2647</v>
      </c>
      <c r="H216" s="601">
        <v>271087</v>
      </c>
      <c r="I216" s="602">
        <v>79869290.010000005</v>
      </c>
      <c r="J216" s="602">
        <v>5.1409616667421503</v>
      </c>
      <c r="K216" s="602">
        <v>118576533.909995</v>
      </c>
      <c r="L216" s="602">
        <v>2092820.4</v>
      </c>
      <c r="M216" s="498">
        <v>5.3386189495941396</v>
      </c>
      <c r="N216" s="602">
        <v>3.8056957834899499</v>
      </c>
      <c r="O216" s="602">
        <v>1.53292316610396</v>
      </c>
      <c r="P216" s="498">
        <v>1491891.0390649999</v>
      </c>
      <c r="Q216" s="602">
        <v>600929.360935</v>
      </c>
      <c r="R216" s="602">
        <v>0</v>
      </c>
      <c r="S216" s="602">
        <v>0</v>
      </c>
      <c r="T216" s="602">
        <v>0</v>
      </c>
      <c r="U216" s="602">
        <v>0</v>
      </c>
      <c r="V216" s="602">
        <v>0</v>
      </c>
      <c r="W216" s="602">
        <v>0</v>
      </c>
      <c r="X216" s="602">
        <v>0</v>
      </c>
      <c r="Y216" s="602">
        <v>0</v>
      </c>
      <c r="Z216" s="602">
        <v>0</v>
      </c>
      <c r="AA216" s="602">
        <v>0</v>
      </c>
      <c r="AB216" s="602">
        <v>0</v>
      </c>
      <c r="AC216" s="602">
        <v>0</v>
      </c>
      <c r="AD216" s="602">
        <v>0</v>
      </c>
      <c r="AE216" s="602">
        <v>0</v>
      </c>
      <c r="AF216" s="602">
        <v>0</v>
      </c>
      <c r="AG216" s="602">
        <v>0</v>
      </c>
      <c r="AH216" s="602">
        <v>0</v>
      </c>
      <c r="AI216" s="602">
        <v>0</v>
      </c>
      <c r="AJ216" s="498">
        <v>-4.5879875938264002E-2</v>
      </c>
      <c r="AK216" s="498">
        <v>-17985.614110999999</v>
      </c>
      <c r="AL216" s="602">
        <v>3.7598159207348498</v>
      </c>
      <c r="AM216" s="602">
        <v>1.57880302885906</v>
      </c>
      <c r="AN216" s="498">
        <v>1473905.4301219999</v>
      </c>
      <c r="AO216" s="603">
        <v>618914.96987799997</v>
      </c>
    </row>
    <row r="217" spans="1:41" ht="12" thickBot="1">
      <c r="A217" s="917" t="s">
        <v>451</v>
      </c>
      <c r="B217" s="917" t="s">
        <v>452</v>
      </c>
      <c r="C217" s="917" t="s">
        <v>452</v>
      </c>
      <c r="D217" s="917" t="s">
        <v>452</v>
      </c>
      <c r="E217" s="917" t="s">
        <v>626</v>
      </c>
      <c r="F217" s="600" t="s">
        <v>2583</v>
      </c>
      <c r="G217" s="600" t="s">
        <v>2716</v>
      </c>
      <c r="H217" s="601">
        <v>470021</v>
      </c>
      <c r="I217" s="602">
        <v>1446905461.1350901</v>
      </c>
      <c r="J217" s="602">
        <v>0.396953977355119</v>
      </c>
      <c r="K217" s="602">
        <v>1340238737.83639</v>
      </c>
      <c r="L217" s="602">
        <v>168919574.19428501</v>
      </c>
      <c r="M217" s="498">
        <v>38.123566852282401</v>
      </c>
      <c r="N217" s="602">
        <v>1.97664693195407</v>
      </c>
      <c r="O217" s="602">
        <v>36.146919920328401</v>
      </c>
      <c r="P217" s="498">
        <v>8758214.0299689993</v>
      </c>
      <c r="Q217" s="602">
        <v>160161360.164316</v>
      </c>
      <c r="R217" s="602">
        <v>0</v>
      </c>
      <c r="S217" s="602">
        <v>0</v>
      </c>
      <c r="T217" s="602">
        <v>0</v>
      </c>
      <c r="U217" s="602">
        <v>0</v>
      </c>
      <c r="V217" s="602">
        <v>0</v>
      </c>
      <c r="W217" s="602">
        <v>0</v>
      </c>
      <c r="X217" s="602">
        <v>0</v>
      </c>
      <c r="Y217" s="602">
        <v>0</v>
      </c>
      <c r="Z217" s="602">
        <v>0</v>
      </c>
      <c r="AA217" s="602">
        <v>0</v>
      </c>
      <c r="AB217" s="602">
        <v>0</v>
      </c>
      <c r="AC217" s="602">
        <v>0</v>
      </c>
      <c r="AD217" s="602">
        <v>0</v>
      </c>
      <c r="AE217" s="602">
        <v>0</v>
      </c>
      <c r="AF217" s="602">
        <v>0</v>
      </c>
      <c r="AG217" s="602">
        <v>0</v>
      </c>
      <c r="AH217" s="602">
        <v>0</v>
      </c>
      <c r="AI217" s="602">
        <v>0</v>
      </c>
      <c r="AJ217" s="498">
        <v>0</v>
      </c>
      <c r="AK217" s="498">
        <v>0</v>
      </c>
      <c r="AL217" s="602">
        <v>1.97664693195407</v>
      </c>
      <c r="AM217" s="602">
        <v>36.146919920328401</v>
      </c>
      <c r="AN217" s="498">
        <v>8758214.0299689993</v>
      </c>
      <c r="AO217" s="603">
        <v>160161360.164316</v>
      </c>
    </row>
    <row r="218" spans="1:41" ht="12" thickBot="1">
      <c r="A218" s="918"/>
      <c r="B218" s="918"/>
      <c r="C218" s="918"/>
      <c r="D218" s="918"/>
      <c r="E218" s="919"/>
      <c r="F218" s="600" t="s">
        <v>2584</v>
      </c>
      <c r="G218" s="600" t="s">
        <v>2584</v>
      </c>
      <c r="H218" s="601">
        <v>470031</v>
      </c>
      <c r="I218" s="602">
        <v>6160058983.0600004</v>
      </c>
      <c r="J218" s="602">
        <v>7.0248433954773995E-2</v>
      </c>
      <c r="K218" s="602">
        <v>15407993345.704599</v>
      </c>
      <c r="L218" s="602">
        <v>31647497.829999998</v>
      </c>
      <c r="M218" s="498">
        <v>0.62128234383756298</v>
      </c>
      <c r="N218" s="602">
        <v>3.2635358899555098</v>
      </c>
      <c r="O218" s="602">
        <v>-2.6422535461179502</v>
      </c>
      <c r="P218" s="498">
        <v>166241236.40393999</v>
      </c>
      <c r="Q218" s="602">
        <v>-134593738.57394001</v>
      </c>
      <c r="R218" s="602">
        <v>0</v>
      </c>
      <c r="S218" s="602">
        <v>0</v>
      </c>
      <c r="T218" s="602">
        <v>0</v>
      </c>
      <c r="U218" s="602">
        <v>0</v>
      </c>
      <c r="V218" s="602">
        <v>0</v>
      </c>
      <c r="W218" s="602">
        <v>0</v>
      </c>
      <c r="X218" s="602">
        <v>0</v>
      </c>
      <c r="Y218" s="602">
        <v>0</v>
      </c>
      <c r="Z218" s="602">
        <v>0</v>
      </c>
      <c r="AA218" s="602">
        <v>0</v>
      </c>
      <c r="AB218" s="602">
        <v>0</v>
      </c>
      <c r="AC218" s="602">
        <v>0</v>
      </c>
      <c r="AD218" s="602">
        <v>0</v>
      </c>
      <c r="AE218" s="602">
        <v>0</v>
      </c>
      <c r="AF218" s="602">
        <v>0</v>
      </c>
      <c r="AG218" s="602">
        <v>0</v>
      </c>
      <c r="AH218" s="602">
        <v>0</v>
      </c>
      <c r="AI218" s="602">
        <v>0</v>
      </c>
      <c r="AJ218" s="498">
        <v>0</v>
      </c>
      <c r="AK218" s="498">
        <v>0</v>
      </c>
      <c r="AL218" s="602">
        <v>3.2635358899555098</v>
      </c>
      <c r="AM218" s="602">
        <v>-2.6422535461179502</v>
      </c>
      <c r="AN218" s="498">
        <v>166241236.40393999</v>
      </c>
      <c r="AO218" s="603">
        <v>-134593738.57394001</v>
      </c>
    </row>
    <row r="219" spans="1:41" ht="12" thickBot="1">
      <c r="A219" s="918"/>
      <c r="B219" s="918"/>
      <c r="C219" s="918"/>
      <c r="D219" s="918"/>
      <c r="E219" s="600" t="s">
        <v>2717</v>
      </c>
      <c r="F219" s="600" t="s">
        <v>2718</v>
      </c>
      <c r="G219" s="600" t="s">
        <v>2719</v>
      </c>
      <c r="H219" s="601">
        <v>470041</v>
      </c>
      <c r="I219" s="602">
        <v>0</v>
      </c>
      <c r="J219" s="602">
        <v>0</v>
      </c>
      <c r="K219" s="602">
        <v>0</v>
      </c>
      <c r="L219" s="602">
        <v>162804.66</v>
      </c>
      <c r="M219" s="498">
        <v>0</v>
      </c>
      <c r="N219" s="602">
        <v>0</v>
      </c>
      <c r="O219" s="602">
        <v>0</v>
      </c>
      <c r="P219" s="498">
        <v>0</v>
      </c>
      <c r="Q219" s="602">
        <v>162804.66</v>
      </c>
      <c r="R219" s="602">
        <v>0</v>
      </c>
      <c r="S219" s="602">
        <v>0</v>
      </c>
      <c r="T219" s="602">
        <v>0</v>
      </c>
      <c r="U219" s="602">
        <v>0</v>
      </c>
      <c r="V219" s="602">
        <v>0</v>
      </c>
      <c r="W219" s="602">
        <v>0</v>
      </c>
      <c r="X219" s="602">
        <v>0</v>
      </c>
      <c r="Y219" s="602">
        <v>0</v>
      </c>
      <c r="Z219" s="602">
        <v>0</v>
      </c>
      <c r="AA219" s="602">
        <v>0</v>
      </c>
      <c r="AB219" s="602">
        <v>0</v>
      </c>
      <c r="AC219" s="602">
        <v>0</v>
      </c>
      <c r="AD219" s="602">
        <v>0</v>
      </c>
      <c r="AE219" s="602">
        <v>0</v>
      </c>
      <c r="AF219" s="602">
        <v>0</v>
      </c>
      <c r="AG219" s="602">
        <v>0</v>
      </c>
      <c r="AH219" s="602">
        <v>0</v>
      </c>
      <c r="AI219" s="602">
        <v>0</v>
      </c>
      <c r="AJ219" s="498">
        <v>0</v>
      </c>
      <c r="AK219" s="498">
        <v>0</v>
      </c>
      <c r="AL219" s="602">
        <v>0</v>
      </c>
      <c r="AM219" s="602">
        <v>0</v>
      </c>
      <c r="AN219" s="498">
        <v>0</v>
      </c>
      <c r="AO219" s="603">
        <v>162804.66</v>
      </c>
    </row>
    <row r="220" spans="1:41" ht="12" thickBot="1">
      <c r="A220" s="918"/>
      <c r="B220" s="918"/>
      <c r="C220" s="918"/>
      <c r="D220" s="918"/>
      <c r="E220" s="600" t="s">
        <v>453</v>
      </c>
      <c r="F220" s="600" t="s">
        <v>2720</v>
      </c>
      <c r="G220" s="600" t="s">
        <v>454</v>
      </c>
      <c r="H220" s="601">
        <v>470061</v>
      </c>
      <c r="I220" s="602">
        <v>311322592.53924698</v>
      </c>
      <c r="J220" s="602">
        <v>2.9915992806609998E-3</v>
      </c>
      <c r="K220" s="602">
        <v>370733281.42575198</v>
      </c>
      <c r="L220" s="602">
        <v>0</v>
      </c>
      <c r="M220" s="498">
        <v>0</v>
      </c>
      <c r="N220" s="602">
        <v>0.90927260584317304</v>
      </c>
      <c r="O220" s="602">
        <v>-0.90927260584317304</v>
      </c>
      <c r="P220" s="498">
        <v>1114448.405515</v>
      </c>
      <c r="Q220" s="602">
        <v>-1114448.405515</v>
      </c>
      <c r="R220" s="602">
        <v>0</v>
      </c>
      <c r="S220" s="602">
        <v>0</v>
      </c>
      <c r="T220" s="602">
        <v>0</v>
      </c>
      <c r="U220" s="602">
        <v>0</v>
      </c>
      <c r="V220" s="602">
        <v>0</v>
      </c>
      <c r="W220" s="602">
        <v>0</v>
      </c>
      <c r="X220" s="602">
        <v>0</v>
      </c>
      <c r="Y220" s="602">
        <v>0</v>
      </c>
      <c r="Z220" s="602">
        <v>0</v>
      </c>
      <c r="AA220" s="602">
        <v>0</v>
      </c>
      <c r="AB220" s="602">
        <v>0</v>
      </c>
      <c r="AC220" s="602">
        <v>0</v>
      </c>
      <c r="AD220" s="602">
        <v>0</v>
      </c>
      <c r="AE220" s="602">
        <v>0</v>
      </c>
      <c r="AF220" s="602">
        <v>0</v>
      </c>
      <c r="AG220" s="602">
        <v>0</v>
      </c>
      <c r="AH220" s="602">
        <v>0</v>
      </c>
      <c r="AI220" s="602">
        <v>0</v>
      </c>
      <c r="AJ220" s="498">
        <v>0</v>
      </c>
      <c r="AK220" s="498">
        <v>0</v>
      </c>
      <c r="AL220" s="602">
        <v>0.90927260584317304</v>
      </c>
      <c r="AM220" s="602">
        <v>-0.90927260584317304</v>
      </c>
      <c r="AN220" s="498">
        <v>1114448.405515</v>
      </c>
      <c r="AO220" s="603">
        <v>-1114448.405515</v>
      </c>
    </row>
    <row r="221" spans="1:41" ht="12" thickBot="1">
      <c r="A221" s="918"/>
      <c r="B221" s="918"/>
      <c r="C221" s="918"/>
      <c r="D221" s="918"/>
      <c r="E221" s="600" t="s">
        <v>3946</v>
      </c>
      <c r="F221" s="600" t="s">
        <v>3947</v>
      </c>
      <c r="G221" s="600" t="s">
        <v>3947</v>
      </c>
      <c r="H221" s="601">
        <v>470091</v>
      </c>
      <c r="I221" s="602">
        <v>0</v>
      </c>
      <c r="J221" s="602">
        <v>0</v>
      </c>
      <c r="K221" s="602">
        <v>2314049.5867770002</v>
      </c>
      <c r="L221" s="602">
        <v>0</v>
      </c>
      <c r="M221" s="498">
        <v>0</v>
      </c>
      <c r="N221" s="602">
        <v>2.8587650006100001</v>
      </c>
      <c r="O221" s="602">
        <v>-2.8587650006100001</v>
      </c>
      <c r="P221" s="498">
        <v>21870.333338</v>
      </c>
      <c r="Q221" s="602">
        <v>-21870.333338</v>
      </c>
      <c r="R221" s="602">
        <v>0</v>
      </c>
      <c r="S221" s="602">
        <v>0</v>
      </c>
      <c r="T221" s="602">
        <v>0</v>
      </c>
      <c r="U221" s="602">
        <v>0</v>
      </c>
      <c r="V221" s="602">
        <v>0</v>
      </c>
      <c r="W221" s="602">
        <v>0</v>
      </c>
      <c r="X221" s="602">
        <v>0</v>
      </c>
      <c r="Y221" s="602">
        <v>0</v>
      </c>
      <c r="Z221" s="602">
        <v>0</v>
      </c>
      <c r="AA221" s="602">
        <v>0</v>
      </c>
      <c r="AB221" s="602">
        <v>0</v>
      </c>
      <c r="AC221" s="602">
        <v>0</v>
      </c>
      <c r="AD221" s="602">
        <v>0</v>
      </c>
      <c r="AE221" s="602">
        <v>0</v>
      </c>
      <c r="AF221" s="602">
        <v>0</v>
      </c>
      <c r="AG221" s="602">
        <v>0</v>
      </c>
      <c r="AH221" s="602">
        <v>0</v>
      </c>
      <c r="AI221" s="602">
        <v>0</v>
      </c>
      <c r="AJ221" s="498">
        <v>0</v>
      </c>
      <c r="AK221" s="498">
        <v>0</v>
      </c>
      <c r="AL221" s="602">
        <v>2.8587650006100001</v>
      </c>
      <c r="AM221" s="602">
        <v>-2.8587650006100001</v>
      </c>
      <c r="AN221" s="498">
        <v>21870.333338</v>
      </c>
      <c r="AO221" s="603">
        <v>-21870.333338</v>
      </c>
    </row>
    <row r="222" spans="1:41" ht="12" thickBot="1">
      <c r="A222" s="918"/>
      <c r="B222" s="918"/>
      <c r="C222" s="918"/>
      <c r="D222" s="918"/>
      <c r="E222" s="600" t="s">
        <v>2721</v>
      </c>
      <c r="F222" s="600" t="s">
        <v>2722</v>
      </c>
      <c r="G222" s="600" t="s">
        <v>2723</v>
      </c>
      <c r="H222" s="601">
        <v>470161</v>
      </c>
      <c r="I222" s="602">
        <v>316796520.52999997</v>
      </c>
      <c r="J222" s="602">
        <v>0.72</v>
      </c>
      <c r="K222" s="602">
        <v>359715808.02595001</v>
      </c>
      <c r="L222" s="602">
        <v>3593635.9</v>
      </c>
      <c r="M222" s="498">
        <v>3.0218316427060201</v>
      </c>
      <c r="N222" s="602">
        <v>2.0113105286041</v>
      </c>
      <c r="O222" s="602">
        <v>1.0105211141019199</v>
      </c>
      <c r="P222" s="498">
        <v>2391899.5418179999</v>
      </c>
      <c r="Q222" s="602">
        <v>1201736.358182</v>
      </c>
      <c r="R222" s="602">
        <v>0</v>
      </c>
      <c r="S222" s="602">
        <v>0</v>
      </c>
      <c r="T222" s="602">
        <v>0</v>
      </c>
      <c r="U222" s="602">
        <v>0</v>
      </c>
      <c r="V222" s="602">
        <v>0</v>
      </c>
      <c r="W222" s="602">
        <v>0</v>
      </c>
      <c r="X222" s="602">
        <v>0</v>
      </c>
      <c r="Y222" s="602">
        <v>0</v>
      </c>
      <c r="Z222" s="602">
        <v>0</v>
      </c>
      <c r="AA222" s="602">
        <v>0</v>
      </c>
      <c r="AB222" s="602">
        <v>0</v>
      </c>
      <c r="AC222" s="602">
        <v>0</v>
      </c>
      <c r="AD222" s="602">
        <v>0</v>
      </c>
      <c r="AE222" s="602">
        <v>0</v>
      </c>
      <c r="AF222" s="602">
        <v>0</v>
      </c>
      <c r="AG222" s="602">
        <v>0</v>
      </c>
      <c r="AH222" s="602">
        <v>0</v>
      </c>
      <c r="AI222" s="602">
        <v>0</v>
      </c>
      <c r="AJ222" s="498">
        <v>0</v>
      </c>
      <c r="AK222" s="498">
        <v>0</v>
      </c>
      <c r="AL222" s="602">
        <v>2.0113105286041</v>
      </c>
      <c r="AM222" s="602">
        <v>1.0105211141019199</v>
      </c>
      <c r="AN222" s="498">
        <v>2391899.5418179999</v>
      </c>
      <c r="AO222" s="603">
        <v>1201736.358182</v>
      </c>
    </row>
    <row r="223" spans="1:41" ht="12" thickBot="1">
      <c r="A223" s="918"/>
      <c r="B223" s="918"/>
      <c r="C223" s="918"/>
      <c r="D223" s="918"/>
      <c r="E223" s="917" t="s">
        <v>2874</v>
      </c>
      <c r="F223" s="600" t="s">
        <v>3398</v>
      </c>
      <c r="G223" s="600" t="s">
        <v>3399</v>
      </c>
      <c r="H223" s="601">
        <v>470181</v>
      </c>
      <c r="I223" s="602">
        <v>103690850.06</v>
      </c>
      <c r="J223" s="602">
        <v>0.72</v>
      </c>
      <c r="K223" s="602">
        <v>214040058.37735501</v>
      </c>
      <c r="L223" s="602">
        <v>4282873.2699999996</v>
      </c>
      <c r="M223" s="498">
        <v>6.0525150519904303</v>
      </c>
      <c r="N223" s="602">
        <v>1.1783166666876299</v>
      </c>
      <c r="O223" s="602">
        <v>4.8741983853027904</v>
      </c>
      <c r="P223" s="498">
        <v>833798.99298099999</v>
      </c>
      <c r="Q223" s="602">
        <v>3449074.2770190001</v>
      </c>
      <c r="R223" s="602">
        <v>0</v>
      </c>
      <c r="S223" s="602">
        <v>0</v>
      </c>
      <c r="T223" s="602">
        <v>0</v>
      </c>
      <c r="U223" s="602">
        <v>0</v>
      </c>
      <c r="V223" s="602">
        <v>0</v>
      </c>
      <c r="W223" s="602">
        <v>0</v>
      </c>
      <c r="X223" s="602">
        <v>0</v>
      </c>
      <c r="Y223" s="602">
        <v>0</v>
      </c>
      <c r="Z223" s="602">
        <v>0</v>
      </c>
      <c r="AA223" s="602">
        <v>0</v>
      </c>
      <c r="AB223" s="602">
        <v>0</v>
      </c>
      <c r="AC223" s="602">
        <v>0</v>
      </c>
      <c r="AD223" s="602">
        <v>0</v>
      </c>
      <c r="AE223" s="602">
        <v>0</v>
      </c>
      <c r="AF223" s="602">
        <v>0</v>
      </c>
      <c r="AG223" s="602">
        <v>0</v>
      </c>
      <c r="AH223" s="602">
        <v>0</v>
      </c>
      <c r="AI223" s="602">
        <v>0</v>
      </c>
      <c r="AJ223" s="498">
        <v>0</v>
      </c>
      <c r="AK223" s="498">
        <v>0</v>
      </c>
      <c r="AL223" s="602">
        <v>1.1783166666876299</v>
      </c>
      <c r="AM223" s="602">
        <v>4.8741983853027904</v>
      </c>
      <c r="AN223" s="498">
        <v>833798.99298099999</v>
      </c>
      <c r="AO223" s="603">
        <v>3449074.2770190001</v>
      </c>
    </row>
    <row r="224" spans="1:41" ht="12" thickBot="1">
      <c r="A224" s="918"/>
      <c r="B224" s="919"/>
      <c r="C224" s="919"/>
      <c r="D224" s="919"/>
      <c r="E224" s="919"/>
      <c r="F224" s="600" t="s">
        <v>2875</v>
      </c>
      <c r="G224" s="600" t="s">
        <v>2875</v>
      </c>
      <c r="H224" s="601">
        <v>470191</v>
      </c>
      <c r="I224" s="602">
        <v>0</v>
      </c>
      <c r="J224" s="602">
        <v>0</v>
      </c>
      <c r="K224" s="602">
        <v>289256198.34710699</v>
      </c>
      <c r="L224" s="602">
        <v>0</v>
      </c>
      <c r="M224" s="498">
        <v>0</v>
      </c>
      <c r="N224" s="602">
        <v>3.2973317038183501</v>
      </c>
      <c r="O224" s="602">
        <v>-3.2973317038183501</v>
      </c>
      <c r="P224" s="498">
        <v>3153186.0555639998</v>
      </c>
      <c r="Q224" s="602">
        <v>-3153186.0555639998</v>
      </c>
      <c r="R224" s="602">
        <v>0</v>
      </c>
      <c r="S224" s="602">
        <v>0</v>
      </c>
      <c r="T224" s="602">
        <v>0</v>
      </c>
      <c r="U224" s="602">
        <v>0</v>
      </c>
      <c r="V224" s="602">
        <v>0</v>
      </c>
      <c r="W224" s="602">
        <v>0</v>
      </c>
      <c r="X224" s="602">
        <v>0</v>
      </c>
      <c r="Y224" s="602">
        <v>0</v>
      </c>
      <c r="Z224" s="602">
        <v>0</v>
      </c>
      <c r="AA224" s="602">
        <v>0</v>
      </c>
      <c r="AB224" s="602">
        <v>0</v>
      </c>
      <c r="AC224" s="602">
        <v>0</v>
      </c>
      <c r="AD224" s="602">
        <v>0</v>
      </c>
      <c r="AE224" s="602">
        <v>0</v>
      </c>
      <c r="AF224" s="602">
        <v>0</v>
      </c>
      <c r="AG224" s="602">
        <v>0</v>
      </c>
      <c r="AH224" s="602">
        <v>0</v>
      </c>
      <c r="AI224" s="602">
        <v>0</v>
      </c>
      <c r="AJ224" s="498">
        <v>0</v>
      </c>
      <c r="AK224" s="498">
        <v>0</v>
      </c>
      <c r="AL224" s="602">
        <v>3.2973317038183501</v>
      </c>
      <c r="AM224" s="602">
        <v>-3.2973317038183501</v>
      </c>
      <c r="AN224" s="498">
        <v>3153186.0555639998</v>
      </c>
      <c r="AO224" s="603">
        <v>-3153186.0555639998</v>
      </c>
    </row>
    <row r="225" spans="1:41" ht="12" thickBot="1">
      <c r="A225" s="918"/>
      <c r="B225" s="917" t="s">
        <v>455</v>
      </c>
      <c r="C225" s="917" t="s">
        <v>455</v>
      </c>
      <c r="D225" s="917" t="s">
        <v>455</v>
      </c>
      <c r="E225" s="917" t="s">
        <v>456</v>
      </c>
      <c r="F225" s="917" t="s">
        <v>457</v>
      </c>
      <c r="G225" s="600" t="s">
        <v>2876</v>
      </c>
      <c r="H225" s="601">
        <v>470501</v>
      </c>
      <c r="I225" s="602">
        <v>8339.65</v>
      </c>
      <c r="J225" s="602">
        <v>0.3</v>
      </c>
      <c r="K225" s="602">
        <v>8335.4714879999992</v>
      </c>
      <c r="L225" s="602">
        <v>8.4</v>
      </c>
      <c r="M225" s="498">
        <v>0.30482096302996697</v>
      </c>
      <c r="N225" s="602">
        <v>2.0154039941123898</v>
      </c>
      <c r="O225" s="602">
        <v>1.71058303106791</v>
      </c>
      <c r="P225" s="498">
        <v>55.538809999999998</v>
      </c>
      <c r="Q225" s="602">
        <v>47.138809999999999</v>
      </c>
      <c r="R225" s="602">
        <v>0</v>
      </c>
      <c r="S225" s="602">
        <v>0</v>
      </c>
      <c r="T225" s="602">
        <v>0</v>
      </c>
      <c r="U225" s="602">
        <v>0</v>
      </c>
      <c r="V225" s="602">
        <v>0</v>
      </c>
      <c r="W225" s="602">
        <v>0</v>
      </c>
      <c r="X225" s="602">
        <v>0</v>
      </c>
      <c r="Y225" s="602">
        <v>0</v>
      </c>
      <c r="Z225" s="602">
        <v>0</v>
      </c>
      <c r="AA225" s="602">
        <v>0</v>
      </c>
      <c r="AB225" s="602">
        <v>0</v>
      </c>
      <c r="AC225" s="602">
        <v>0</v>
      </c>
      <c r="AD225" s="602">
        <v>0</v>
      </c>
      <c r="AE225" s="602">
        <v>0</v>
      </c>
      <c r="AF225" s="602">
        <v>0</v>
      </c>
      <c r="AG225" s="602">
        <v>0</v>
      </c>
      <c r="AH225" s="602">
        <v>0</v>
      </c>
      <c r="AI225" s="602">
        <v>0</v>
      </c>
      <c r="AJ225" s="498">
        <v>0</v>
      </c>
      <c r="AK225" s="498">
        <v>0</v>
      </c>
      <c r="AL225" s="602">
        <v>2.0154039941123898</v>
      </c>
      <c r="AM225" s="602">
        <v>1.71058303106791</v>
      </c>
      <c r="AN225" s="498">
        <v>55.538809999999998</v>
      </c>
      <c r="AO225" s="603">
        <v>47.138809999999999</v>
      </c>
    </row>
    <row r="226" spans="1:41" ht="12" thickBot="1">
      <c r="A226" s="918"/>
      <c r="B226" s="918"/>
      <c r="C226" s="918"/>
      <c r="D226" s="918"/>
      <c r="E226" s="919"/>
      <c r="F226" s="919"/>
      <c r="G226" s="600" t="s">
        <v>457</v>
      </c>
      <c r="H226" s="601">
        <v>470502</v>
      </c>
      <c r="I226" s="602">
        <v>0</v>
      </c>
      <c r="J226" s="602">
        <v>0</v>
      </c>
      <c r="K226" s="602">
        <v>0</v>
      </c>
      <c r="L226" s="602">
        <v>778600.17</v>
      </c>
      <c r="M226" s="498">
        <v>0</v>
      </c>
      <c r="N226" s="602">
        <v>0</v>
      </c>
      <c r="O226" s="602">
        <v>0</v>
      </c>
      <c r="P226" s="498">
        <v>0</v>
      </c>
      <c r="Q226" s="602">
        <v>-778600.17</v>
      </c>
      <c r="R226" s="602">
        <v>0</v>
      </c>
      <c r="S226" s="602">
        <v>0</v>
      </c>
      <c r="T226" s="602">
        <v>0</v>
      </c>
      <c r="U226" s="602">
        <v>0</v>
      </c>
      <c r="V226" s="602">
        <v>0</v>
      </c>
      <c r="W226" s="602">
        <v>0</v>
      </c>
      <c r="X226" s="602">
        <v>0</v>
      </c>
      <c r="Y226" s="602">
        <v>0</v>
      </c>
      <c r="Z226" s="602">
        <v>0</v>
      </c>
      <c r="AA226" s="602">
        <v>0</v>
      </c>
      <c r="AB226" s="602">
        <v>0</v>
      </c>
      <c r="AC226" s="602">
        <v>0</v>
      </c>
      <c r="AD226" s="602">
        <v>0</v>
      </c>
      <c r="AE226" s="602">
        <v>0</v>
      </c>
      <c r="AF226" s="602">
        <v>0</v>
      </c>
      <c r="AG226" s="602">
        <v>0</v>
      </c>
      <c r="AH226" s="602">
        <v>0</v>
      </c>
      <c r="AI226" s="602">
        <v>0</v>
      </c>
      <c r="AJ226" s="498">
        <v>0</v>
      </c>
      <c r="AK226" s="498">
        <v>0</v>
      </c>
      <c r="AL226" s="602">
        <v>0</v>
      </c>
      <c r="AM226" s="602">
        <v>0</v>
      </c>
      <c r="AN226" s="498">
        <v>0</v>
      </c>
      <c r="AO226" s="603">
        <v>-778600.17</v>
      </c>
    </row>
    <row r="227" spans="1:41" ht="12" thickBot="1">
      <c r="A227" s="918"/>
      <c r="B227" s="918"/>
      <c r="C227" s="918"/>
      <c r="D227" s="918"/>
      <c r="E227" s="917" t="s">
        <v>458</v>
      </c>
      <c r="F227" s="600" t="s">
        <v>459</v>
      </c>
      <c r="G227" s="600" t="s">
        <v>2724</v>
      </c>
      <c r="H227" s="601">
        <v>470521</v>
      </c>
      <c r="I227" s="602">
        <v>434638359.42000002</v>
      </c>
      <c r="J227" s="602">
        <v>0.70339070853229901</v>
      </c>
      <c r="K227" s="602">
        <v>354052080.89148903</v>
      </c>
      <c r="L227" s="602">
        <v>832215.5</v>
      </c>
      <c r="M227" s="498">
        <v>0.71099142697039097</v>
      </c>
      <c r="N227" s="602">
        <v>2.0163983727186201</v>
      </c>
      <c r="O227" s="602">
        <v>1.30540694574823</v>
      </c>
      <c r="P227" s="498">
        <v>2360194.3937659999</v>
      </c>
      <c r="Q227" s="602">
        <v>1527978.8937659999</v>
      </c>
      <c r="R227" s="602">
        <v>0</v>
      </c>
      <c r="S227" s="602">
        <v>0</v>
      </c>
      <c r="T227" s="602">
        <v>0</v>
      </c>
      <c r="U227" s="602">
        <v>0</v>
      </c>
      <c r="V227" s="602">
        <v>0</v>
      </c>
      <c r="W227" s="602">
        <v>0</v>
      </c>
      <c r="X227" s="602">
        <v>0</v>
      </c>
      <c r="Y227" s="602">
        <v>0</v>
      </c>
      <c r="Z227" s="602">
        <v>0</v>
      </c>
      <c r="AA227" s="602">
        <v>0</v>
      </c>
      <c r="AB227" s="602">
        <v>0</v>
      </c>
      <c r="AC227" s="602">
        <v>0</v>
      </c>
      <c r="AD227" s="602">
        <v>0</v>
      </c>
      <c r="AE227" s="602">
        <v>0</v>
      </c>
      <c r="AF227" s="602">
        <v>0</v>
      </c>
      <c r="AG227" s="602">
        <v>0</v>
      </c>
      <c r="AH227" s="602">
        <v>0</v>
      </c>
      <c r="AI227" s="602">
        <v>0</v>
      </c>
      <c r="AJ227" s="498">
        <v>0</v>
      </c>
      <c r="AK227" s="498">
        <v>0</v>
      </c>
      <c r="AL227" s="602">
        <v>2.0163983727186201</v>
      </c>
      <c r="AM227" s="602">
        <v>1.30540694574823</v>
      </c>
      <c r="AN227" s="498">
        <v>2360194.3937659999</v>
      </c>
      <c r="AO227" s="603">
        <v>1527978.8937659999</v>
      </c>
    </row>
    <row r="228" spans="1:41" ht="12" thickBot="1">
      <c r="A228" s="918"/>
      <c r="B228" s="918"/>
      <c r="C228" s="918"/>
      <c r="D228" s="918"/>
      <c r="E228" s="919"/>
      <c r="F228" s="600" t="s">
        <v>460</v>
      </c>
      <c r="G228" s="600" t="s">
        <v>460</v>
      </c>
      <c r="H228" s="601">
        <v>470531</v>
      </c>
      <c r="I228" s="602">
        <v>22190000000</v>
      </c>
      <c r="J228" s="602">
        <v>3.4063519603425001</v>
      </c>
      <c r="K228" s="602">
        <v>26111818181.818199</v>
      </c>
      <c r="L228" s="602">
        <v>288173016.68000001</v>
      </c>
      <c r="M228" s="498">
        <v>3.3381966338309801</v>
      </c>
      <c r="N228" s="602">
        <v>3.2545288692038499</v>
      </c>
      <c r="O228" s="602">
        <v>-8.3667764627137001E-2</v>
      </c>
      <c r="P228" s="498">
        <v>280950316.88840503</v>
      </c>
      <c r="Q228" s="602">
        <v>-7222699.7915949998</v>
      </c>
      <c r="R228" s="602">
        <v>0</v>
      </c>
      <c r="S228" s="602">
        <v>0</v>
      </c>
      <c r="T228" s="602">
        <v>0</v>
      </c>
      <c r="U228" s="602">
        <v>0</v>
      </c>
      <c r="V228" s="602">
        <v>0</v>
      </c>
      <c r="W228" s="602">
        <v>0</v>
      </c>
      <c r="X228" s="602">
        <v>0</v>
      </c>
      <c r="Y228" s="602">
        <v>0</v>
      </c>
      <c r="Z228" s="602">
        <v>0</v>
      </c>
      <c r="AA228" s="602">
        <v>0</v>
      </c>
      <c r="AB228" s="602">
        <v>0</v>
      </c>
      <c r="AC228" s="602">
        <v>0</v>
      </c>
      <c r="AD228" s="602">
        <v>0</v>
      </c>
      <c r="AE228" s="602">
        <v>0</v>
      </c>
      <c r="AF228" s="602">
        <v>0</v>
      </c>
      <c r="AG228" s="602">
        <v>0</v>
      </c>
      <c r="AH228" s="602">
        <v>0</v>
      </c>
      <c r="AI228" s="602">
        <v>0</v>
      </c>
      <c r="AJ228" s="498">
        <v>0</v>
      </c>
      <c r="AK228" s="498">
        <v>0</v>
      </c>
      <c r="AL228" s="602">
        <v>3.2545288692038499</v>
      </c>
      <c r="AM228" s="602">
        <v>-8.3667764627137001E-2</v>
      </c>
      <c r="AN228" s="498">
        <v>280950316.88840503</v>
      </c>
      <c r="AO228" s="603">
        <v>-7222699.7915949998</v>
      </c>
    </row>
    <row r="229" spans="1:41" ht="12" thickBot="1">
      <c r="A229" s="918"/>
      <c r="B229" s="918"/>
      <c r="C229" s="918"/>
      <c r="D229" s="918"/>
      <c r="E229" s="600" t="s">
        <v>461</v>
      </c>
      <c r="F229" s="600" t="s">
        <v>462</v>
      </c>
      <c r="G229" s="600" t="s">
        <v>2725</v>
      </c>
      <c r="H229" s="601">
        <v>470541</v>
      </c>
      <c r="I229" s="602">
        <v>0</v>
      </c>
      <c r="J229" s="602">
        <v>0</v>
      </c>
      <c r="K229" s="602">
        <v>0</v>
      </c>
      <c r="L229" s="602">
        <v>0</v>
      </c>
      <c r="M229" s="498">
        <v>0</v>
      </c>
      <c r="N229" s="602">
        <v>0</v>
      </c>
      <c r="O229" s="602">
        <v>0</v>
      </c>
      <c r="P229" s="498">
        <v>0</v>
      </c>
      <c r="Q229" s="602">
        <v>0</v>
      </c>
      <c r="R229" s="602">
        <v>0</v>
      </c>
      <c r="S229" s="602">
        <v>0</v>
      </c>
      <c r="T229" s="602">
        <v>0</v>
      </c>
      <c r="U229" s="602">
        <v>0</v>
      </c>
      <c r="V229" s="602">
        <v>0</v>
      </c>
      <c r="W229" s="602">
        <v>0</v>
      </c>
      <c r="X229" s="602">
        <v>0</v>
      </c>
      <c r="Y229" s="602">
        <v>0</v>
      </c>
      <c r="Z229" s="602">
        <v>0</v>
      </c>
      <c r="AA229" s="602">
        <v>0</v>
      </c>
      <c r="AB229" s="602">
        <v>0</v>
      </c>
      <c r="AC229" s="602">
        <v>0</v>
      </c>
      <c r="AD229" s="602">
        <v>0</v>
      </c>
      <c r="AE229" s="602">
        <v>0</v>
      </c>
      <c r="AF229" s="602">
        <v>0</v>
      </c>
      <c r="AG229" s="602">
        <v>0</v>
      </c>
      <c r="AH229" s="602">
        <v>0</v>
      </c>
      <c r="AI229" s="602">
        <v>0</v>
      </c>
      <c r="AJ229" s="498">
        <v>0</v>
      </c>
      <c r="AK229" s="498">
        <v>0</v>
      </c>
      <c r="AL229" s="602">
        <v>0</v>
      </c>
      <c r="AM229" s="602">
        <v>0</v>
      </c>
      <c r="AN229" s="498">
        <v>0</v>
      </c>
      <c r="AO229" s="603">
        <v>0</v>
      </c>
    </row>
    <row r="230" spans="1:41" ht="12" thickBot="1">
      <c r="A230" s="918"/>
      <c r="B230" s="918"/>
      <c r="C230" s="918"/>
      <c r="D230" s="918"/>
      <c r="E230" s="917" t="s">
        <v>463</v>
      </c>
      <c r="F230" s="600" t="s">
        <v>464</v>
      </c>
      <c r="G230" s="600" t="s">
        <v>2726</v>
      </c>
      <c r="H230" s="601">
        <v>470581</v>
      </c>
      <c r="I230" s="602">
        <v>800243539.77999997</v>
      </c>
      <c r="J230" s="602">
        <v>0.72</v>
      </c>
      <c r="K230" s="602">
        <v>713943273.86768699</v>
      </c>
      <c r="L230" s="602">
        <v>1727742.72</v>
      </c>
      <c r="M230" s="498">
        <v>0.73199999883074296</v>
      </c>
      <c r="N230" s="602">
        <v>2.01697758699272</v>
      </c>
      <c r="O230" s="602">
        <v>1.2849775881619701</v>
      </c>
      <c r="P230" s="498">
        <v>4760680.8031369997</v>
      </c>
      <c r="Q230" s="602">
        <v>3032938.083137</v>
      </c>
      <c r="R230" s="602">
        <v>0</v>
      </c>
      <c r="S230" s="602">
        <v>0</v>
      </c>
      <c r="T230" s="602">
        <v>0</v>
      </c>
      <c r="U230" s="602">
        <v>0</v>
      </c>
      <c r="V230" s="602">
        <v>0</v>
      </c>
      <c r="W230" s="602">
        <v>0</v>
      </c>
      <c r="X230" s="602">
        <v>0</v>
      </c>
      <c r="Y230" s="602">
        <v>0</v>
      </c>
      <c r="Z230" s="602">
        <v>0</v>
      </c>
      <c r="AA230" s="602">
        <v>0</v>
      </c>
      <c r="AB230" s="602">
        <v>0</v>
      </c>
      <c r="AC230" s="602">
        <v>0</v>
      </c>
      <c r="AD230" s="602">
        <v>0</v>
      </c>
      <c r="AE230" s="602">
        <v>0</v>
      </c>
      <c r="AF230" s="602">
        <v>0</v>
      </c>
      <c r="AG230" s="602">
        <v>0</v>
      </c>
      <c r="AH230" s="602">
        <v>0</v>
      </c>
      <c r="AI230" s="602">
        <v>0</v>
      </c>
      <c r="AJ230" s="498">
        <v>0</v>
      </c>
      <c r="AK230" s="498">
        <v>0</v>
      </c>
      <c r="AL230" s="602">
        <v>2.01697758699272</v>
      </c>
      <c r="AM230" s="602">
        <v>1.2849775881619701</v>
      </c>
      <c r="AN230" s="498">
        <v>4760680.8031369997</v>
      </c>
      <c r="AO230" s="603">
        <v>3032938.083137</v>
      </c>
    </row>
    <row r="231" spans="1:41" ht="12" thickBot="1">
      <c r="A231" s="918"/>
      <c r="B231" s="918"/>
      <c r="C231" s="918"/>
      <c r="D231" s="918"/>
      <c r="E231" s="919"/>
      <c r="F231" s="600" t="s">
        <v>465</v>
      </c>
      <c r="G231" s="600" t="s">
        <v>465</v>
      </c>
      <c r="H231" s="601">
        <v>470591</v>
      </c>
      <c r="I231" s="602">
        <v>812000000</v>
      </c>
      <c r="J231" s="602">
        <v>3.4194704433497498</v>
      </c>
      <c r="K231" s="602">
        <v>2493190082.6446199</v>
      </c>
      <c r="L231" s="602">
        <v>25093626.190000001</v>
      </c>
      <c r="M231" s="498">
        <v>3.0444142674723902</v>
      </c>
      <c r="N231" s="602">
        <v>2.9003204946269099</v>
      </c>
      <c r="O231" s="602">
        <v>-0.144093772845476</v>
      </c>
      <c r="P231" s="498">
        <v>23905931.298827</v>
      </c>
      <c r="Q231" s="602">
        <v>-1187694.891173</v>
      </c>
      <c r="R231" s="602">
        <v>0</v>
      </c>
      <c r="S231" s="602">
        <v>0</v>
      </c>
      <c r="T231" s="602">
        <v>0</v>
      </c>
      <c r="U231" s="602">
        <v>0</v>
      </c>
      <c r="V231" s="602">
        <v>0</v>
      </c>
      <c r="W231" s="602">
        <v>0</v>
      </c>
      <c r="X231" s="602">
        <v>0</v>
      </c>
      <c r="Y231" s="602">
        <v>0</v>
      </c>
      <c r="Z231" s="602">
        <v>0</v>
      </c>
      <c r="AA231" s="602">
        <v>0</v>
      </c>
      <c r="AB231" s="602">
        <v>0</v>
      </c>
      <c r="AC231" s="602">
        <v>0</v>
      </c>
      <c r="AD231" s="602">
        <v>0</v>
      </c>
      <c r="AE231" s="602">
        <v>0</v>
      </c>
      <c r="AF231" s="602">
        <v>0</v>
      </c>
      <c r="AG231" s="602">
        <v>0</v>
      </c>
      <c r="AH231" s="602">
        <v>0</v>
      </c>
      <c r="AI231" s="602">
        <v>0</v>
      </c>
      <c r="AJ231" s="498">
        <v>0</v>
      </c>
      <c r="AK231" s="498">
        <v>0</v>
      </c>
      <c r="AL231" s="602">
        <v>2.9003204946269099</v>
      </c>
      <c r="AM231" s="602">
        <v>-0.144093772845476</v>
      </c>
      <c r="AN231" s="498">
        <v>23905931.298827</v>
      </c>
      <c r="AO231" s="603">
        <v>-1187694.891173</v>
      </c>
    </row>
    <row r="232" spans="1:41" ht="12" thickBot="1">
      <c r="A232" s="918"/>
      <c r="B232" s="918"/>
      <c r="C232" s="918"/>
      <c r="D232" s="918"/>
      <c r="E232" s="917" t="s">
        <v>1348</v>
      </c>
      <c r="F232" s="600" t="s">
        <v>2727</v>
      </c>
      <c r="G232" s="600" t="s">
        <v>2728</v>
      </c>
      <c r="H232" s="601">
        <v>470681</v>
      </c>
      <c r="I232" s="602">
        <v>20072.87</v>
      </c>
      <c r="J232" s="602">
        <v>0.72</v>
      </c>
      <c r="K232" s="602">
        <v>20048.757602999998</v>
      </c>
      <c r="L232" s="602">
        <v>48.52</v>
      </c>
      <c r="M232" s="498">
        <v>0.73203027395897402</v>
      </c>
      <c r="N232" s="602">
        <v>2.0154124433348901</v>
      </c>
      <c r="O232" s="602">
        <v>1.2833821693870799</v>
      </c>
      <c r="P232" s="498">
        <v>133.58438200000001</v>
      </c>
      <c r="Q232" s="602">
        <v>85.064381999999995</v>
      </c>
      <c r="R232" s="602">
        <v>0</v>
      </c>
      <c r="S232" s="602">
        <v>0</v>
      </c>
      <c r="T232" s="602">
        <v>0</v>
      </c>
      <c r="U232" s="602">
        <v>0</v>
      </c>
      <c r="V232" s="602">
        <v>0</v>
      </c>
      <c r="W232" s="602">
        <v>0</v>
      </c>
      <c r="X232" s="602">
        <v>0</v>
      </c>
      <c r="Y232" s="602">
        <v>0</v>
      </c>
      <c r="Z232" s="602">
        <v>0</v>
      </c>
      <c r="AA232" s="602">
        <v>0</v>
      </c>
      <c r="AB232" s="602">
        <v>0</v>
      </c>
      <c r="AC232" s="602">
        <v>0</v>
      </c>
      <c r="AD232" s="602">
        <v>0</v>
      </c>
      <c r="AE232" s="602">
        <v>0</v>
      </c>
      <c r="AF232" s="602">
        <v>0</v>
      </c>
      <c r="AG232" s="602">
        <v>0</v>
      </c>
      <c r="AH232" s="602">
        <v>0</v>
      </c>
      <c r="AI232" s="602">
        <v>0</v>
      </c>
      <c r="AJ232" s="498">
        <v>0</v>
      </c>
      <c r="AK232" s="498">
        <v>0</v>
      </c>
      <c r="AL232" s="602">
        <v>2.0154124433348901</v>
      </c>
      <c r="AM232" s="602">
        <v>1.2833821693870799</v>
      </c>
      <c r="AN232" s="498">
        <v>133.58438200000001</v>
      </c>
      <c r="AO232" s="603">
        <v>85.064381999999995</v>
      </c>
    </row>
    <row r="233" spans="1:41" ht="12" thickBot="1">
      <c r="A233" s="918"/>
      <c r="B233" s="918"/>
      <c r="C233" s="918"/>
      <c r="D233" s="918"/>
      <c r="E233" s="919"/>
      <c r="F233" s="600" t="s">
        <v>2729</v>
      </c>
      <c r="G233" s="600" t="s">
        <v>2729</v>
      </c>
      <c r="H233" s="601">
        <v>470691</v>
      </c>
      <c r="I233" s="602">
        <v>1350000000</v>
      </c>
      <c r="J233" s="602">
        <v>3.9229629629629601</v>
      </c>
      <c r="K233" s="602">
        <v>1672479338.8429799</v>
      </c>
      <c r="L233" s="602">
        <v>22865319.440000001</v>
      </c>
      <c r="M233" s="498">
        <v>4.1353495651727004</v>
      </c>
      <c r="N233" s="602">
        <v>3.4162649206126301</v>
      </c>
      <c r="O233" s="602">
        <v>-0.71908464456007404</v>
      </c>
      <c r="P233" s="498">
        <v>18889331.474982999</v>
      </c>
      <c r="Q233" s="602">
        <v>-3975987.9650170002</v>
      </c>
      <c r="R233" s="602">
        <v>0</v>
      </c>
      <c r="S233" s="602">
        <v>0</v>
      </c>
      <c r="T233" s="602">
        <v>0</v>
      </c>
      <c r="U233" s="602">
        <v>0</v>
      </c>
      <c r="V233" s="602">
        <v>0</v>
      </c>
      <c r="W233" s="602">
        <v>0</v>
      </c>
      <c r="X233" s="602">
        <v>0</v>
      </c>
      <c r="Y233" s="602">
        <v>0</v>
      </c>
      <c r="Z233" s="602">
        <v>0</v>
      </c>
      <c r="AA233" s="602">
        <v>0</v>
      </c>
      <c r="AB233" s="602">
        <v>0</v>
      </c>
      <c r="AC233" s="602">
        <v>0</v>
      </c>
      <c r="AD233" s="602">
        <v>0</v>
      </c>
      <c r="AE233" s="602">
        <v>0</v>
      </c>
      <c r="AF233" s="602">
        <v>0</v>
      </c>
      <c r="AG233" s="602">
        <v>0</v>
      </c>
      <c r="AH233" s="602">
        <v>0</v>
      </c>
      <c r="AI233" s="602">
        <v>0</v>
      </c>
      <c r="AJ233" s="498">
        <v>0</v>
      </c>
      <c r="AK233" s="498">
        <v>0</v>
      </c>
      <c r="AL233" s="602">
        <v>3.4162649206126301</v>
      </c>
      <c r="AM233" s="602">
        <v>-0.71908464456007404</v>
      </c>
      <c r="AN233" s="498">
        <v>18889331.474982999</v>
      </c>
      <c r="AO233" s="603">
        <v>-3975987.9650170002</v>
      </c>
    </row>
    <row r="234" spans="1:41" ht="12" thickBot="1">
      <c r="A234" s="918"/>
      <c r="B234" s="918"/>
      <c r="C234" s="918"/>
      <c r="D234" s="918"/>
      <c r="E234" s="917" t="s">
        <v>3400</v>
      </c>
      <c r="F234" s="917" t="s">
        <v>3400</v>
      </c>
      <c r="G234" s="600" t="s">
        <v>3401</v>
      </c>
      <c r="H234" s="601">
        <v>470741</v>
      </c>
      <c r="I234" s="602">
        <v>5384135516.3299999</v>
      </c>
      <c r="J234" s="602">
        <v>0.35115265168987297</v>
      </c>
      <c r="K234" s="602">
        <v>4006763029.2185898</v>
      </c>
      <c r="L234" s="602">
        <v>5597844.7199999997</v>
      </c>
      <c r="M234" s="498">
        <v>0.42259358926486301</v>
      </c>
      <c r="N234" s="602">
        <v>2.0178707804879101</v>
      </c>
      <c r="O234" s="602">
        <v>1.5952771912230399</v>
      </c>
      <c r="P234" s="498">
        <v>26729528.277621001</v>
      </c>
      <c r="Q234" s="602">
        <v>21131683.557620998</v>
      </c>
      <c r="R234" s="602">
        <v>0</v>
      </c>
      <c r="S234" s="602">
        <v>0</v>
      </c>
      <c r="T234" s="602">
        <v>0</v>
      </c>
      <c r="U234" s="602">
        <v>0</v>
      </c>
      <c r="V234" s="602">
        <v>0</v>
      </c>
      <c r="W234" s="602">
        <v>0</v>
      </c>
      <c r="X234" s="602">
        <v>0</v>
      </c>
      <c r="Y234" s="602">
        <v>0</v>
      </c>
      <c r="Z234" s="602">
        <v>0</v>
      </c>
      <c r="AA234" s="602">
        <v>0</v>
      </c>
      <c r="AB234" s="602">
        <v>0</v>
      </c>
      <c r="AC234" s="602">
        <v>0</v>
      </c>
      <c r="AD234" s="602">
        <v>0</v>
      </c>
      <c r="AE234" s="602">
        <v>0</v>
      </c>
      <c r="AF234" s="602">
        <v>0</v>
      </c>
      <c r="AG234" s="602">
        <v>0</v>
      </c>
      <c r="AH234" s="602">
        <v>0</v>
      </c>
      <c r="AI234" s="602">
        <v>0</v>
      </c>
      <c r="AJ234" s="498">
        <v>0</v>
      </c>
      <c r="AK234" s="498">
        <v>0</v>
      </c>
      <c r="AL234" s="602">
        <v>2.0178707804879101</v>
      </c>
      <c r="AM234" s="602">
        <v>1.5952771912230399</v>
      </c>
      <c r="AN234" s="498">
        <v>26729528.277621001</v>
      </c>
      <c r="AO234" s="603">
        <v>21131683.557620998</v>
      </c>
    </row>
    <row r="235" spans="1:41" ht="12" thickBot="1">
      <c r="A235" s="918"/>
      <c r="B235" s="919"/>
      <c r="C235" s="919"/>
      <c r="D235" s="919"/>
      <c r="E235" s="919"/>
      <c r="F235" s="919"/>
      <c r="G235" s="600" t="s">
        <v>3402</v>
      </c>
      <c r="H235" s="601">
        <v>470751</v>
      </c>
      <c r="I235" s="602">
        <v>24827000000</v>
      </c>
      <c r="J235" s="602">
        <v>3.0825713940467998</v>
      </c>
      <c r="K235" s="602">
        <v>39208818181.818199</v>
      </c>
      <c r="L235" s="602">
        <v>412135861.08999997</v>
      </c>
      <c r="M235" s="498">
        <v>3.1794526985715601</v>
      </c>
      <c r="N235" s="602">
        <v>3.45325167148482</v>
      </c>
      <c r="O235" s="602">
        <v>0.273798972913258</v>
      </c>
      <c r="P235" s="498">
        <v>447626993.10711098</v>
      </c>
      <c r="Q235" s="602">
        <v>35491132.017111003</v>
      </c>
      <c r="R235" s="602">
        <v>0</v>
      </c>
      <c r="S235" s="602">
        <v>0</v>
      </c>
      <c r="T235" s="602">
        <v>0</v>
      </c>
      <c r="U235" s="602">
        <v>0</v>
      </c>
      <c r="V235" s="602">
        <v>0</v>
      </c>
      <c r="W235" s="602">
        <v>0</v>
      </c>
      <c r="X235" s="602">
        <v>0</v>
      </c>
      <c r="Y235" s="602">
        <v>0</v>
      </c>
      <c r="Z235" s="602">
        <v>0</v>
      </c>
      <c r="AA235" s="602">
        <v>0</v>
      </c>
      <c r="AB235" s="602">
        <v>0</v>
      </c>
      <c r="AC235" s="602">
        <v>0</v>
      </c>
      <c r="AD235" s="602">
        <v>0</v>
      </c>
      <c r="AE235" s="602">
        <v>0</v>
      </c>
      <c r="AF235" s="602">
        <v>0</v>
      </c>
      <c r="AG235" s="602">
        <v>0</v>
      </c>
      <c r="AH235" s="602">
        <v>0</v>
      </c>
      <c r="AI235" s="602">
        <v>0</v>
      </c>
      <c r="AJ235" s="498">
        <v>0</v>
      </c>
      <c r="AK235" s="498">
        <v>0</v>
      </c>
      <c r="AL235" s="602">
        <v>3.45325167148482</v>
      </c>
      <c r="AM235" s="602">
        <v>0.273798972913258</v>
      </c>
      <c r="AN235" s="498">
        <v>447626993.10711098</v>
      </c>
      <c r="AO235" s="603">
        <v>35491132.017111003</v>
      </c>
    </row>
    <row r="236" spans="1:41" ht="12" thickBot="1">
      <c r="A236" s="918"/>
      <c r="B236" s="917" t="s">
        <v>466</v>
      </c>
      <c r="C236" s="917" t="s">
        <v>467</v>
      </c>
      <c r="D236" s="600" t="s">
        <v>468</v>
      </c>
      <c r="E236" s="600" t="s">
        <v>468</v>
      </c>
      <c r="F236" s="600" t="s">
        <v>468</v>
      </c>
      <c r="G236" s="600" t="s">
        <v>2730</v>
      </c>
      <c r="H236" s="601">
        <v>471002</v>
      </c>
      <c r="I236" s="602">
        <v>13595400000</v>
      </c>
      <c r="J236" s="602">
        <v>2.3676903952807602</v>
      </c>
      <c r="K236" s="602">
        <v>20774544512.396702</v>
      </c>
      <c r="L236" s="602">
        <v>245058072.81999999</v>
      </c>
      <c r="M236" s="498">
        <v>3.5680687872841199</v>
      </c>
      <c r="N236" s="602">
        <v>1.5295164395488701</v>
      </c>
      <c r="O236" s="602">
        <v>-2.0385523477352501</v>
      </c>
      <c r="P236" s="498">
        <v>105048521.586282</v>
      </c>
      <c r="Q236" s="602">
        <v>-140009551.23371801</v>
      </c>
      <c r="R236" s="602">
        <v>0</v>
      </c>
      <c r="S236" s="602">
        <v>0</v>
      </c>
      <c r="T236" s="602">
        <v>0</v>
      </c>
      <c r="U236" s="602">
        <v>0</v>
      </c>
      <c r="V236" s="602">
        <v>0</v>
      </c>
      <c r="W236" s="602">
        <v>0</v>
      </c>
      <c r="X236" s="602">
        <v>0</v>
      </c>
      <c r="Y236" s="602">
        <v>0</v>
      </c>
      <c r="Z236" s="602">
        <v>0</v>
      </c>
      <c r="AA236" s="602">
        <v>0</v>
      </c>
      <c r="AB236" s="602">
        <v>0</v>
      </c>
      <c r="AC236" s="602">
        <v>0</v>
      </c>
      <c r="AD236" s="602">
        <v>0</v>
      </c>
      <c r="AE236" s="602">
        <v>0</v>
      </c>
      <c r="AF236" s="602">
        <v>0</v>
      </c>
      <c r="AG236" s="602">
        <v>0</v>
      </c>
      <c r="AH236" s="602">
        <v>0</v>
      </c>
      <c r="AI236" s="602">
        <v>0</v>
      </c>
      <c r="AJ236" s="498">
        <v>0</v>
      </c>
      <c r="AK236" s="498">
        <v>0</v>
      </c>
      <c r="AL236" s="602">
        <v>1.5295164395488701</v>
      </c>
      <c r="AM236" s="602">
        <v>-2.0385523477352501</v>
      </c>
      <c r="AN236" s="498">
        <v>105048521.586282</v>
      </c>
      <c r="AO236" s="603">
        <v>-140009551.23371801</v>
      </c>
    </row>
    <row r="237" spans="1:41" ht="12" thickBot="1">
      <c r="A237" s="918"/>
      <c r="B237" s="918"/>
      <c r="C237" s="919"/>
      <c r="D237" s="600" t="s">
        <v>469</v>
      </c>
      <c r="E237" s="600" t="s">
        <v>469</v>
      </c>
      <c r="F237" s="600" t="s">
        <v>469</v>
      </c>
      <c r="G237" s="600" t="s">
        <v>2731</v>
      </c>
      <c r="H237" s="601">
        <v>471012</v>
      </c>
      <c r="I237" s="602">
        <v>12829599000</v>
      </c>
      <c r="J237" s="602">
        <v>2.25028144527354</v>
      </c>
      <c r="K237" s="602">
        <v>6332327770.2479401</v>
      </c>
      <c r="L237" s="602">
        <v>78504210.569999993</v>
      </c>
      <c r="M237" s="498">
        <v>3.7499482925018501</v>
      </c>
      <c r="N237" s="602">
        <v>1.5880697590452699</v>
      </c>
      <c r="O237" s="602">
        <v>2.16187853345658</v>
      </c>
      <c r="P237" s="498">
        <v>33245835.152773</v>
      </c>
      <c r="Q237" s="602">
        <v>45258375.417227</v>
      </c>
      <c r="R237" s="602">
        <v>0</v>
      </c>
      <c r="S237" s="602">
        <v>0</v>
      </c>
      <c r="T237" s="602">
        <v>0</v>
      </c>
      <c r="U237" s="602">
        <v>0</v>
      </c>
      <c r="V237" s="602">
        <v>0</v>
      </c>
      <c r="W237" s="602">
        <v>0</v>
      </c>
      <c r="X237" s="602">
        <v>0</v>
      </c>
      <c r="Y237" s="602">
        <v>0</v>
      </c>
      <c r="Z237" s="602">
        <v>0</v>
      </c>
      <c r="AA237" s="602">
        <v>0</v>
      </c>
      <c r="AB237" s="602">
        <v>0</v>
      </c>
      <c r="AC237" s="602">
        <v>0</v>
      </c>
      <c r="AD237" s="602">
        <v>0</v>
      </c>
      <c r="AE237" s="602">
        <v>0</v>
      </c>
      <c r="AF237" s="602">
        <v>0</v>
      </c>
      <c r="AG237" s="602">
        <v>0</v>
      </c>
      <c r="AH237" s="602">
        <v>0</v>
      </c>
      <c r="AI237" s="602">
        <v>0</v>
      </c>
      <c r="AJ237" s="498">
        <v>0</v>
      </c>
      <c r="AK237" s="498">
        <v>0</v>
      </c>
      <c r="AL237" s="602">
        <v>1.5880697590452699</v>
      </c>
      <c r="AM237" s="602">
        <v>2.16187853345658</v>
      </c>
      <c r="AN237" s="498">
        <v>33245835.152773</v>
      </c>
      <c r="AO237" s="603">
        <v>45258375.417227</v>
      </c>
    </row>
    <row r="238" spans="1:41" ht="12" thickBot="1">
      <c r="A238" s="918"/>
      <c r="B238" s="918"/>
      <c r="C238" s="917" t="s">
        <v>2732</v>
      </c>
      <c r="D238" s="917" t="s">
        <v>2733</v>
      </c>
      <c r="E238" s="917" t="s">
        <v>2733</v>
      </c>
      <c r="F238" s="917" t="s">
        <v>2733</v>
      </c>
      <c r="G238" s="600" t="s">
        <v>3948</v>
      </c>
      <c r="H238" s="601">
        <v>471021</v>
      </c>
      <c r="I238" s="602">
        <v>0</v>
      </c>
      <c r="J238" s="602">
        <v>0</v>
      </c>
      <c r="K238" s="602">
        <v>604716897.716694</v>
      </c>
      <c r="L238" s="602">
        <v>6222589.8200000003</v>
      </c>
      <c r="M238" s="498">
        <v>3.1125388785256498</v>
      </c>
      <c r="N238" s="602">
        <v>1.03258795534377</v>
      </c>
      <c r="O238" s="602">
        <v>-2.07995092318188</v>
      </c>
      <c r="P238" s="498">
        <v>2064350.5350269999</v>
      </c>
      <c r="Q238" s="602">
        <v>-4158239.2849730002</v>
      </c>
      <c r="R238" s="602">
        <v>0</v>
      </c>
      <c r="S238" s="602">
        <v>0</v>
      </c>
      <c r="T238" s="602">
        <v>0</v>
      </c>
      <c r="U238" s="602">
        <v>0</v>
      </c>
      <c r="V238" s="602">
        <v>0</v>
      </c>
      <c r="W238" s="602">
        <v>0</v>
      </c>
      <c r="X238" s="602">
        <v>0</v>
      </c>
      <c r="Y238" s="602">
        <v>0</v>
      </c>
      <c r="Z238" s="602">
        <v>0</v>
      </c>
      <c r="AA238" s="602">
        <v>0</v>
      </c>
      <c r="AB238" s="602">
        <v>0</v>
      </c>
      <c r="AC238" s="602">
        <v>0</v>
      </c>
      <c r="AD238" s="602">
        <v>0</v>
      </c>
      <c r="AE238" s="602">
        <v>0</v>
      </c>
      <c r="AF238" s="602">
        <v>0</v>
      </c>
      <c r="AG238" s="602">
        <v>0</v>
      </c>
      <c r="AH238" s="602">
        <v>0</v>
      </c>
      <c r="AI238" s="602">
        <v>0</v>
      </c>
      <c r="AJ238" s="498">
        <v>0</v>
      </c>
      <c r="AK238" s="498">
        <v>0</v>
      </c>
      <c r="AL238" s="602">
        <v>1.03258795534377</v>
      </c>
      <c r="AM238" s="602">
        <v>-2.07995092318188</v>
      </c>
      <c r="AN238" s="498">
        <v>2064350.5350269999</v>
      </c>
      <c r="AO238" s="603">
        <v>-4158239.2849730002</v>
      </c>
    </row>
    <row r="239" spans="1:41" ht="12" thickBot="1">
      <c r="A239" s="918"/>
      <c r="B239" s="918"/>
      <c r="C239" s="918"/>
      <c r="D239" s="918"/>
      <c r="E239" s="918"/>
      <c r="F239" s="918"/>
      <c r="G239" s="600" t="s">
        <v>3403</v>
      </c>
      <c r="H239" s="601">
        <v>471023</v>
      </c>
      <c r="I239" s="602">
        <v>0</v>
      </c>
      <c r="J239" s="602">
        <v>0</v>
      </c>
      <c r="K239" s="602">
        <v>748077.75165300001</v>
      </c>
      <c r="L239" s="602">
        <v>10892705.470000001</v>
      </c>
      <c r="M239" s="498">
        <v>4404.3795467736099</v>
      </c>
      <c r="N239" s="602">
        <v>0</v>
      </c>
      <c r="O239" s="602">
        <v>-4404.3795467742402</v>
      </c>
      <c r="P239" s="498">
        <v>0</v>
      </c>
      <c r="Q239" s="602">
        <v>-10892705.470000001</v>
      </c>
      <c r="R239" s="602">
        <v>0</v>
      </c>
      <c r="S239" s="602">
        <v>0</v>
      </c>
      <c r="T239" s="602">
        <v>0</v>
      </c>
      <c r="U239" s="602">
        <v>0</v>
      </c>
      <c r="V239" s="602">
        <v>0</v>
      </c>
      <c r="W239" s="602">
        <v>0</v>
      </c>
      <c r="X239" s="602">
        <v>0</v>
      </c>
      <c r="Y239" s="602">
        <v>0</v>
      </c>
      <c r="Z239" s="602">
        <v>0</v>
      </c>
      <c r="AA239" s="602">
        <v>0</v>
      </c>
      <c r="AB239" s="602">
        <v>0</v>
      </c>
      <c r="AC239" s="602">
        <v>0</v>
      </c>
      <c r="AD239" s="602">
        <v>0</v>
      </c>
      <c r="AE239" s="602">
        <v>0</v>
      </c>
      <c r="AF239" s="602">
        <v>0</v>
      </c>
      <c r="AG239" s="602">
        <v>0</v>
      </c>
      <c r="AH239" s="602">
        <v>0</v>
      </c>
      <c r="AI239" s="602">
        <v>0</v>
      </c>
      <c r="AJ239" s="498">
        <v>0</v>
      </c>
      <c r="AK239" s="498">
        <v>0</v>
      </c>
      <c r="AL239" s="602">
        <v>0</v>
      </c>
      <c r="AM239" s="602">
        <v>-4404.3795467742402</v>
      </c>
      <c r="AN239" s="498">
        <v>0</v>
      </c>
      <c r="AO239" s="603">
        <v>-10892705.470000001</v>
      </c>
    </row>
    <row r="240" spans="1:41" ht="12" thickBot="1">
      <c r="A240" s="918"/>
      <c r="B240" s="918"/>
      <c r="C240" s="918"/>
      <c r="D240" s="919"/>
      <c r="E240" s="919"/>
      <c r="F240" s="919"/>
      <c r="G240" s="600" t="s">
        <v>2734</v>
      </c>
      <c r="H240" s="601">
        <v>471027</v>
      </c>
      <c r="I240" s="602">
        <v>0</v>
      </c>
      <c r="J240" s="602">
        <v>0</v>
      </c>
      <c r="K240" s="602">
        <v>1070007620.9681799</v>
      </c>
      <c r="L240" s="602">
        <v>12001298.210000001</v>
      </c>
      <c r="M240" s="498">
        <v>3.39263447912034</v>
      </c>
      <c r="N240" s="602">
        <v>2.0124282232191901</v>
      </c>
      <c r="O240" s="602">
        <v>-1.3802062559011501</v>
      </c>
      <c r="P240" s="498">
        <v>7118878.0818309998</v>
      </c>
      <c r="Q240" s="602">
        <v>-4882420.1281690001</v>
      </c>
      <c r="R240" s="602">
        <v>0</v>
      </c>
      <c r="S240" s="602">
        <v>0</v>
      </c>
      <c r="T240" s="602">
        <v>0</v>
      </c>
      <c r="U240" s="602">
        <v>0</v>
      </c>
      <c r="V240" s="602">
        <v>0</v>
      </c>
      <c r="W240" s="602">
        <v>0</v>
      </c>
      <c r="X240" s="602">
        <v>0</v>
      </c>
      <c r="Y240" s="602">
        <v>0</v>
      </c>
      <c r="Z240" s="602">
        <v>0</v>
      </c>
      <c r="AA240" s="602">
        <v>0</v>
      </c>
      <c r="AB240" s="602">
        <v>0</v>
      </c>
      <c r="AC240" s="602">
        <v>0</v>
      </c>
      <c r="AD240" s="602">
        <v>0</v>
      </c>
      <c r="AE240" s="602">
        <v>0</v>
      </c>
      <c r="AF240" s="602">
        <v>0</v>
      </c>
      <c r="AG240" s="602">
        <v>0</v>
      </c>
      <c r="AH240" s="602">
        <v>0</v>
      </c>
      <c r="AI240" s="602">
        <v>0</v>
      </c>
      <c r="AJ240" s="498">
        <v>0</v>
      </c>
      <c r="AK240" s="498">
        <v>0</v>
      </c>
      <c r="AL240" s="602">
        <v>2.0124282232191901</v>
      </c>
      <c r="AM240" s="602">
        <v>-1.3802062559011501</v>
      </c>
      <c r="AN240" s="498">
        <v>7118878.0818309998</v>
      </c>
      <c r="AO240" s="603">
        <v>-4882420.1281690001</v>
      </c>
    </row>
    <row r="241" spans="1:41" ht="12" thickBot="1">
      <c r="A241" s="918"/>
      <c r="B241" s="918"/>
      <c r="C241" s="918"/>
      <c r="D241" s="917" t="s">
        <v>470</v>
      </c>
      <c r="E241" s="917" t="s">
        <v>470</v>
      </c>
      <c r="F241" s="917" t="s">
        <v>470</v>
      </c>
      <c r="G241" s="600" t="s">
        <v>2735</v>
      </c>
      <c r="H241" s="601">
        <v>471051</v>
      </c>
      <c r="I241" s="602">
        <v>6538094835.5799999</v>
      </c>
      <c r="J241" s="602">
        <v>3.19266969126318</v>
      </c>
      <c r="K241" s="602">
        <v>11468194143.599701</v>
      </c>
      <c r="L241" s="602">
        <v>129561745.81</v>
      </c>
      <c r="M241" s="498">
        <v>3.417255648207</v>
      </c>
      <c r="N241" s="602">
        <v>2.61635957675405</v>
      </c>
      <c r="O241" s="602">
        <v>0.80089607145295105</v>
      </c>
      <c r="P241" s="498">
        <v>99196592.039821997</v>
      </c>
      <c r="Q241" s="602">
        <v>30365153.770178001</v>
      </c>
      <c r="R241" s="602">
        <v>0</v>
      </c>
      <c r="S241" s="602">
        <v>0</v>
      </c>
      <c r="T241" s="602">
        <v>0</v>
      </c>
      <c r="U241" s="602">
        <v>0</v>
      </c>
      <c r="V241" s="602">
        <v>0</v>
      </c>
      <c r="W241" s="602">
        <v>0</v>
      </c>
      <c r="X241" s="602">
        <v>0</v>
      </c>
      <c r="Y241" s="602">
        <v>0</v>
      </c>
      <c r="Z241" s="602">
        <v>0</v>
      </c>
      <c r="AA241" s="602">
        <v>0</v>
      </c>
      <c r="AB241" s="602">
        <v>0</v>
      </c>
      <c r="AC241" s="602">
        <v>0</v>
      </c>
      <c r="AD241" s="602">
        <v>0</v>
      </c>
      <c r="AE241" s="602">
        <v>0</v>
      </c>
      <c r="AF241" s="602">
        <v>0</v>
      </c>
      <c r="AG241" s="602">
        <v>0</v>
      </c>
      <c r="AH241" s="602">
        <v>0</v>
      </c>
      <c r="AI241" s="602">
        <v>0</v>
      </c>
      <c r="AJ241" s="498">
        <v>0</v>
      </c>
      <c r="AK241" s="498">
        <v>0</v>
      </c>
      <c r="AL241" s="602">
        <v>2.61635957675405</v>
      </c>
      <c r="AM241" s="602">
        <v>0.80089607145295105</v>
      </c>
      <c r="AN241" s="498">
        <v>99196592.039821997</v>
      </c>
      <c r="AO241" s="603">
        <v>30365153.770178001</v>
      </c>
    </row>
    <row r="242" spans="1:41" ht="12" thickBot="1">
      <c r="A242" s="918"/>
      <c r="B242" s="918"/>
      <c r="C242" s="918"/>
      <c r="D242" s="918"/>
      <c r="E242" s="918"/>
      <c r="F242" s="918"/>
      <c r="G242" s="600" t="s">
        <v>3404</v>
      </c>
      <c r="H242" s="601">
        <v>471052</v>
      </c>
      <c r="I242" s="602">
        <v>102657540.98</v>
      </c>
      <c r="J242" s="602">
        <v>2.4001640000000002</v>
      </c>
      <c r="K242" s="602">
        <v>107299439.439091</v>
      </c>
      <c r="L242" s="602">
        <v>5689860.2599999998</v>
      </c>
      <c r="M242" s="498">
        <v>16.039833745177098</v>
      </c>
      <c r="N242" s="602">
        <v>0.85250491391900995</v>
      </c>
      <c r="O242" s="602">
        <v>15.1873288312581</v>
      </c>
      <c r="P242" s="498">
        <v>302411.72746700002</v>
      </c>
      <c r="Q242" s="602">
        <v>5387448.5325330002</v>
      </c>
      <c r="R242" s="602">
        <v>0</v>
      </c>
      <c r="S242" s="602">
        <v>0</v>
      </c>
      <c r="T242" s="602">
        <v>0</v>
      </c>
      <c r="U242" s="602">
        <v>0</v>
      </c>
      <c r="V242" s="602">
        <v>0</v>
      </c>
      <c r="W242" s="602">
        <v>0</v>
      </c>
      <c r="X242" s="602">
        <v>0</v>
      </c>
      <c r="Y242" s="602">
        <v>0</v>
      </c>
      <c r="Z242" s="602">
        <v>0</v>
      </c>
      <c r="AA242" s="602">
        <v>0</v>
      </c>
      <c r="AB242" s="602">
        <v>0</v>
      </c>
      <c r="AC242" s="602">
        <v>0</v>
      </c>
      <c r="AD242" s="602">
        <v>0</v>
      </c>
      <c r="AE242" s="602">
        <v>0</v>
      </c>
      <c r="AF242" s="602">
        <v>0</v>
      </c>
      <c r="AG242" s="602">
        <v>0</v>
      </c>
      <c r="AH242" s="602">
        <v>0</v>
      </c>
      <c r="AI242" s="602">
        <v>0</v>
      </c>
      <c r="AJ242" s="498">
        <v>0</v>
      </c>
      <c r="AK242" s="498">
        <v>0</v>
      </c>
      <c r="AL242" s="602">
        <v>0.85250491391900995</v>
      </c>
      <c r="AM242" s="602">
        <v>15.1873288312581</v>
      </c>
      <c r="AN242" s="498">
        <v>302411.72746700002</v>
      </c>
      <c r="AO242" s="603">
        <v>5387448.5325330002</v>
      </c>
    </row>
    <row r="243" spans="1:41" ht="12" thickBot="1">
      <c r="A243" s="918"/>
      <c r="B243" s="918"/>
      <c r="C243" s="918"/>
      <c r="D243" s="918"/>
      <c r="E243" s="918"/>
      <c r="F243" s="918"/>
      <c r="G243" s="600" t="s">
        <v>3405</v>
      </c>
      <c r="H243" s="601">
        <v>471053</v>
      </c>
      <c r="I243" s="602">
        <v>3998387280.9499998</v>
      </c>
      <c r="J243" s="602">
        <v>2.3403336681690599</v>
      </c>
      <c r="K243" s="602">
        <v>2040415133.9555399</v>
      </c>
      <c r="L243" s="602">
        <v>59981906.149999999</v>
      </c>
      <c r="M243" s="498">
        <v>8.8919588042953208</v>
      </c>
      <c r="N243" s="602">
        <v>0.80642407035613795</v>
      </c>
      <c r="O243" s="602">
        <v>8.0855347339392001</v>
      </c>
      <c r="P243" s="498">
        <v>5439842.2180989999</v>
      </c>
      <c r="Q243" s="602">
        <v>54542063.931901</v>
      </c>
      <c r="R243" s="602">
        <v>0</v>
      </c>
      <c r="S243" s="602">
        <v>0</v>
      </c>
      <c r="T243" s="602">
        <v>0</v>
      </c>
      <c r="U243" s="602">
        <v>0</v>
      </c>
      <c r="V243" s="602">
        <v>0</v>
      </c>
      <c r="W243" s="602">
        <v>0</v>
      </c>
      <c r="X243" s="602">
        <v>0</v>
      </c>
      <c r="Y243" s="602">
        <v>0</v>
      </c>
      <c r="Z243" s="602">
        <v>0</v>
      </c>
      <c r="AA243" s="602">
        <v>0</v>
      </c>
      <c r="AB243" s="602">
        <v>0</v>
      </c>
      <c r="AC243" s="602">
        <v>0</v>
      </c>
      <c r="AD243" s="602">
        <v>0</v>
      </c>
      <c r="AE243" s="602">
        <v>0</v>
      </c>
      <c r="AF243" s="602">
        <v>0</v>
      </c>
      <c r="AG243" s="602">
        <v>0</v>
      </c>
      <c r="AH243" s="602">
        <v>0</v>
      </c>
      <c r="AI243" s="602">
        <v>0</v>
      </c>
      <c r="AJ243" s="498">
        <v>0</v>
      </c>
      <c r="AK243" s="498">
        <v>0</v>
      </c>
      <c r="AL243" s="602">
        <v>0.80642407035613795</v>
      </c>
      <c r="AM243" s="602">
        <v>8.0855347339392001</v>
      </c>
      <c r="AN243" s="498">
        <v>5439842.2180989999</v>
      </c>
      <c r="AO243" s="603">
        <v>54542063.931901</v>
      </c>
    </row>
    <row r="244" spans="1:41" ht="12" thickBot="1">
      <c r="A244" s="918"/>
      <c r="B244" s="918"/>
      <c r="C244" s="918"/>
      <c r="D244" s="918"/>
      <c r="E244" s="918"/>
      <c r="F244" s="918"/>
      <c r="G244" s="600" t="s">
        <v>3406</v>
      </c>
      <c r="H244" s="601">
        <v>471054</v>
      </c>
      <c r="I244" s="602">
        <v>3899629768.3400002</v>
      </c>
      <c r="J244" s="602">
        <v>2.4827445703396802</v>
      </c>
      <c r="K244" s="602">
        <v>1081872742.0980999</v>
      </c>
      <c r="L244" s="602">
        <v>29357045.609999999</v>
      </c>
      <c r="M244" s="498">
        <v>8.2078967340233504</v>
      </c>
      <c r="N244" s="602">
        <v>0.65635052601939603</v>
      </c>
      <c r="O244" s="602">
        <v>7.5515462080039502</v>
      </c>
      <c r="P244" s="498">
        <v>2347557.8400770002</v>
      </c>
      <c r="Q244" s="602">
        <v>27009487.769923002</v>
      </c>
      <c r="R244" s="602">
        <v>0</v>
      </c>
      <c r="S244" s="602">
        <v>0</v>
      </c>
      <c r="T244" s="602">
        <v>0</v>
      </c>
      <c r="U244" s="602">
        <v>0</v>
      </c>
      <c r="V244" s="602">
        <v>0</v>
      </c>
      <c r="W244" s="602">
        <v>0</v>
      </c>
      <c r="X244" s="602">
        <v>0</v>
      </c>
      <c r="Y244" s="602">
        <v>0</v>
      </c>
      <c r="Z244" s="602">
        <v>0</v>
      </c>
      <c r="AA244" s="602">
        <v>0</v>
      </c>
      <c r="AB244" s="602">
        <v>0</v>
      </c>
      <c r="AC244" s="602">
        <v>0</v>
      </c>
      <c r="AD244" s="602">
        <v>0</v>
      </c>
      <c r="AE244" s="602">
        <v>0</v>
      </c>
      <c r="AF244" s="602">
        <v>0</v>
      </c>
      <c r="AG244" s="602">
        <v>0</v>
      </c>
      <c r="AH244" s="602">
        <v>0</v>
      </c>
      <c r="AI244" s="602">
        <v>0</v>
      </c>
      <c r="AJ244" s="498">
        <v>0</v>
      </c>
      <c r="AK244" s="498">
        <v>0</v>
      </c>
      <c r="AL244" s="602">
        <v>0.65635052601939603</v>
      </c>
      <c r="AM244" s="602">
        <v>7.5515462080039502</v>
      </c>
      <c r="AN244" s="498">
        <v>2347557.8400770002</v>
      </c>
      <c r="AO244" s="603">
        <v>27009487.769923002</v>
      </c>
    </row>
    <row r="245" spans="1:41" ht="12" thickBot="1">
      <c r="A245" s="918"/>
      <c r="B245" s="919"/>
      <c r="C245" s="919"/>
      <c r="D245" s="919"/>
      <c r="E245" s="919"/>
      <c r="F245" s="919"/>
      <c r="G245" s="600" t="s">
        <v>2736</v>
      </c>
      <c r="H245" s="601">
        <v>471057</v>
      </c>
      <c r="I245" s="602">
        <v>502621141.85000002</v>
      </c>
      <c r="J245" s="602">
        <v>2.2949084099737198</v>
      </c>
      <c r="K245" s="602">
        <v>9178100800.9165306</v>
      </c>
      <c r="L245" s="602">
        <v>75224913.010000005</v>
      </c>
      <c r="M245" s="498">
        <v>2.4791601710795002</v>
      </c>
      <c r="N245" s="602">
        <v>1.9838950118210901</v>
      </c>
      <c r="O245" s="602">
        <v>0.49526515925841302</v>
      </c>
      <c r="P245" s="498">
        <v>60197131.039029002</v>
      </c>
      <c r="Q245" s="602">
        <v>15027781.970970999</v>
      </c>
      <c r="R245" s="602">
        <v>0</v>
      </c>
      <c r="S245" s="602">
        <v>0</v>
      </c>
      <c r="T245" s="602">
        <v>0</v>
      </c>
      <c r="U245" s="602">
        <v>0</v>
      </c>
      <c r="V245" s="602">
        <v>0</v>
      </c>
      <c r="W245" s="602">
        <v>0</v>
      </c>
      <c r="X245" s="602">
        <v>0</v>
      </c>
      <c r="Y245" s="602">
        <v>0</v>
      </c>
      <c r="Z245" s="602">
        <v>0</v>
      </c>
      <c r="AA245" s="602">
        <v>0</v>
      </c>
      <c r="AB245" s="602">
        <v>0</v>
      </c>
      <c r="AC245" s="602">
        <v>0</v>
      </c>
      <c r="AD245" s="602">
        <v>0</v>
      </c>
      <c r="AE245" s="602">
        <v>0</v>
      </c>
      <c r="AF245" s="602">
        <v>0</v>
      </c>
      <c r="AG245" s="602">
        <v>0</v>
      </c>
      <c r="AH245" s="602">
        <v>0</v>
      </c>
      <c r="AI245" s="602">
        <v>0</v>
      </c>
      <c r="AJ245" s="498">
        <v>0</v>
      </c>
      <c r="AK245" s="498">
        <v>0</v>
      </c>
      <c r="AL245" s="602">
        <v>1.9838950118210901</v>
      </c>
      <c r="AM245" s="602">
        <v>0.49526515925841302</v>
      </c>
      <c r="AN245" s="498">
        <v>60197131.039029002</v>
      </c>
      <c r="AO245" s="603">
        <v>15027781.970970999</v>
      </c>
    </row>
    <row r="246" spans="1:41" ht="12" thickBot="1">
      <c r="A246" s="918"/>
      <c r="B246" s="917" t="s">
        <v>2737</v>
      </c>
      <c r="C246" s="917" t="s">
        <v>2737</v>
      </c>
      <c r="D246" s="917" t="s">
        <v>2737</v>
      </c>
      <c r="E246" s="917" t="s">
        <v>2737</v>
      </c>
      <c r="F246" s="600" t="s">
        <v>2738</v>
      </c>
      <c r="G246" s="600" t="s">
        <v>2738</v>
      </c>
      <c r="H246" s="601">
        <v>471512</v>
      </c>
      <c r="I246" s="602">
        <v>0</v>
      </c>
      <c r="J246" s="602">
        <v>0</v>
      </c>
      <c r="K246" s="602">
        <v>190909090.909091</v>
      </c>
      <c r="L246" s="602">
        <v>2006722.21</v>
      </c>
      <c r="M246" s="498">
        <v>3.1794819431168801</v>
      </c>
      <c r="N246" s="602">
        <v>3.4314471893034799</v>
      </c>
      <c r="O246" s="602">
        <v>-0.25196524618659699</v>
      </c>
      <c r="P246" s="498">
        <v>2165749.455544</v>
      </c>
      <c r="Q246" s="602">
        <v>-159027.245544</v>
      </c>
      <c r="R246" s="602">
        <v>0</v>
      </c>
      <c r="S246" s="602">
        <v>0</v>
      </c>
      <c r="T246" s="602">
        <v>0</v>
      </c>
      <c r="U246" s="602">
        <v>0</v>
      </c>
      <c r="V246" s="602">
        <v>0</v>
      </c>
      <c r="W246" s="602">
        <v>0</v>
      </c>
      <c r="X246" s="602">
        <v>0</v>
      </c>
      <c r="Y246" s="602">
        <v>0</v>
      </c>
      <c r="Z246" s="602">
        <v>0</v>
      </c>
      <c r="AA246" s="602">
        <v>0</v>
      </c>
      <c r="AB246" s="602">
        <v>0</v>
      </c>
      <c r="AC246" s="602">
        <v>0</v>
      </c>
      <c r="AD246" s="602">
        <v>0</v>
      </c>
      <c r="AE246" s="602">
        <v>0</v>
      </c>
      <c r="AF246" s="602">
        <v>0</v>
      </c>
      <c r="AG246" s="602">
        <v>0</v>
      </c>
      <c r="AH246" s="602">
        <v>0</v>
      </c>
      <c r="AI246" s="602">
        <v>0</v>
      </c>
      <c r="AJ246" s="498">
        <v>0</v>
      </c>
      <c r="AK246" s="498">
        <v>0</v>
      </c>
      <c r="AL246" s="602">
        <v>3.4314471893034799</v>
      </c>
      <c r="AM246" s="602">
        <v>-0.25196524618659699</v>
      </c>
      <c r="AN246" s="498">
        <v>2165749.455544</v>
      </c>
      <c r="AO246" s="603">
        <v>-159027.245544</v>
      </c>
    </row>
    <row r="247" spans="1:41" ht="12" thickBot="1">
      <c r="A247" s="918"/>
      <c r="B247" s="918"/>
      <c r="C247" s="918"/>
      <c r="D247" s="918"/>
      <c r="E247" s="918"/>
      <c r="F247" s="917" t="s">
        <v>2585</v>
      </c>
      <c r="G247" s="600" t="s">
        <v>2585</v>
      </c>
      <c r="H247" s="601">
        <v>471592</v>
      </c>
      <c r="I247" s="602">
        <v>800000000</v>
      </c>
      <c r="J247" s="602">
        <v>2.6062500000000002</v>
      </c>
      <c r="K247" s="602">
        <v>1671431295.86777</v>
      </c>
      <c r="L247" s="602">
        <v>15178208.33</v>
      </c>
      <c r="M247" s="498">
        <v>2.7468041503289902</v>
      </c>
      <c r="N247" s="602">
        <v>2.0403337314953802</v>
      </c>
      <c r="O247" s="602">
        <v>0.70647041883359996</v>
      </c>
      <c r="P247" s="498">
        <v>11274415.19107</v>
      </c>
      <c r="Q247" s="602">
        <v>3903793.1389299999</v>
      </c>
      <c r="R247" s="602">
        <v>0</v>
      </c>
      <c r="S247" s="602">
        <v>0</v>
      </c>
      <c r="T247" s="602">
        <v>0</v>
      </c>
      <c r="U247" s="602">
        <v>0</v>
      </c>
      <c r="V247" s="602">
        <v>0</v>
      </c>
      <c r="W247" s="602">
        <v>0</v>
      </c>
      <c r="X247" s="602">
        <v>0</v>
      </c>
      <c r="Y247" s="602">
        <v>0</v>
      </c>
      <c r="Z247" s="602">
        <v>0</v>
      </c>
      <c r="AA247" s="602">
        <v>0</v>
      </c>
      <c r="AB247" s="602">
        <v>0</v>
      </c>
      <c r="AC247" s="602">
        <v>0</v>
      </c>
      <c r="AD247" s="602">
        <v>0</v>
      </c>
      <c r="AE247" s="602">
        <v>0</v>
      </c>
      <c r="AF247" s="602">
        <v>0</v>
      </c>
      <c r="AG247" s="602">
        <v>0</v>
      </c>
      <c r="AH247" s="602">
        <v>0</v>
      </c>
      <c r="AI247" s="602">
        <v>0</v>
      </c>
      <c r="AJ247" s="498">
        <v>0</v>
      </c>
      <c r="AK247" s="498">
        <v>0</v>
      </c>
      <c r="AL247" s="602">
        <v>2.0403337314953802</v>
      </c>
      <c r="AM247" s="602">
        <v>0.70647041883359996</v>
      </c>
      <c r="AN247" s="498">
        <v>11274415.19107</v>
      </c>
      <c r="AO247" s="603">
        <v>3903793.1389299999</v>
      </c>
    </row>
    <row r="248" spans="1:41" ht="12" thickBot="1">
      <c r="A248" s="918"/>
      <c r="B248" s="919"/>
      <c r="C248" s="919"/>
      <c r="D248" s="919"/>
      <c r="E248" s="919"/>
      <c r="F248" s="919"/>
      <c r="G248" s="600" t="s">
        <v>3949</v>
      </c>
      <c r="H248" s="601">
        <v>471593</v>
      </c>
      <c r="I248" s="602">
        <v>513135100</v>
      </c>
      <c r="J248" s="602">
        <v>0</v>
      </c>
      <c r="K248" s="602">
        <v>224761655.37190101</v>
      </c>
      <c r="L248" s="602">
        <v>0</v>
      </c>
      <c r="M248" s="498">
        <v>0</v>
      </c>
      <c r="N248" s="602">
        <v>3.1516666666587398</v>
      </c>
      <c r="O248" s="602">
        <v>-3.1516666666587398</v>
      </c>
      <c r="P248" s="498">
        <v>2341891.5813830001</v>
      </c>
      <c r="Q248" s="602">
        <v>-2341891.5813830001</v>
      </c>
      <c r="R248" s="602">
        <v>0</v>
      </c>
      <c r="S248" s="602">
        <v>0</v>
      </c>
      <c r="T248" s="602">
        <v>0</v>
      </c>
      <c r="U248" s="602">
        <v>0</v>
      </c>
      <c r="V248" s="602">
        <v>0</v>
      </c>
      <c r="W248" s="602">
        <v>0</v>
      </c>
      <c r="X248" s="602">
        <v>0</v>
      </c>
      <c r="Y248" s="602">
        <v>0</v>
      </c>
      <c r="Z248" s="602">
        <v>0</v>
      </c>
      <c r="AA248" s="602">
        <v>0</v>
      </c>
      <c r="AB248" s="602">
        <v>0</v>
      </c>
      <c r="AC248" s="602">
        <v>0</v>
      </c>
      <c r="AD248" s="602">
        <v>0</v>
      </c>
      <c r="AE248" s="602">
        <v>0</v>
      </c>
      <c r="AF248" s="602">
        <v>0</v>
      </c>
      <c r="AG248" s="602">
        <v>0</v>
      </c>
      <c r="AH248" s="602">
        <v>0</v>
      </c>
      <c r="AI248" s="602">
        <v>0</v>
      </c>
      <c r="AJ248" s="498">
        <v>0</v>
      </c>
      <c r="AK248" s="498">
        <v>0</v>
      </c>
      <c r="AL248" s="602">
        <v>3.1516666666587398</v>
      </c>
      <c r="AM248" s="602">
        <v>-3.1516666666587398</v>
      </c>
      <c r="AN248" s="498">
        <v>2341891.5813830001</v>
      </c>
      <c r="AO248" s="603">
        <v>-2341891.5813830001</v>
      </c>
    </row>
    <row r="249" spans="1:41" ht="12" thickBot="1">
      <c r="A249" s="918"/>
      <c r="B249" s="917" t="s">
        <v>2739</v>
      </c>
      <c r="C249" s="917" t="s">
        <v>2739</v>
      </c>
      <c r="D249" s="917" t="s">
        <v>2739</v>
      </c>
      <c r="E249" s="917" t="s">
        <v>2739</v>
      </c>
      <c r="F249" s="600" t="s">
        <v>2740</v>
      </c>
      <c r="G249" s="600" t="s">
        <v>2740</v>
      </c>
      <c r="H249" s="601">
        <v>472501</v>
      </c>
      <c r="I249" s="602">
        <v>1000000000</v>
      </c>
      <c r="J249" s="602">
        <v>2.11</v>
      </c>
      <c r="K249" s="602">
        <v>946280991.73553598</v>
      </c>
      <c r="L249" s="602">
        <v>6841361.1299999999</v>
      </c>
      <c r="M249" s="498">
        <v>2.1868455664454198</v>
      </c>
      <c r="N249" s="602">
        <v>2.1565523610658599</v>
      </c>
      <c r="O249" s="602">
        <v>-3.0293205379556001E-2</v>
      </c>
      <c r="P249" s="498">
        <v>6746591.4027880002</v>
      </c>
      <c r="Q249" s="602">
        <v>-94769.727211999998</v>
      </c>
      <c r="R249" s="602">
        <v>0</v>
      </c>
      <c r="S249" s="602">
        <v>0</v>
      </c>
      <c r="T249" s="602">
        <v>0</v>
      </c>
      <c r="U249" s="602">
        <v>0</v>
      </c>
      <c r="V249" s="602">
        <v>0</v>
      </c>
      <c r="W249" s="602">
        <v>0</v>
      </c>
      <c r="X249" s="602">
        <v>0</v>
      </c>
      <c r="Y249" s="602">
        <v>0</v>
      </c>
      <c r="Z249" s="602">
        <v>0</v>
      </c>
      <c r="AA249" s="602">
        <v>0</v>
      </c>
      <c r="AB249" s="602">
        <v>0</v>
      </c>
      <c r="AC249" s="602">
        <v>0</v>
      </c>
      <c r="AD249" s="602">
        <v>0</v>
      </c>
      <c r="AE249" s="602">
        <v>0</v>
      </c>
      <c r="AF249" s="602">
        <v>0</v>
      </c>
      <c r="AG249" s="602">
        <v>0</v>
      </c>
      <c r="AH249" s="602">
        <v>0</v>
      </c>
      <c r="AI249" s="602">
        <v>0</v>
      </c>
      <c r="AJ249" s="498">
        <v>0</v>
      </c>
      <c r="AK249" s="498">
        <v>0</v>
      </c>
      <c r="AL249" s="602">
        <v>2.1565523610658599</v>
      </c>
      <c r="AM249" s="602">
        <v>-3.0293205379556001E-2</v>
      </c>
      <c r="AN249" s="498">
        <v>6746591.4027880002</v>
      </c>
      <c r="AO249" s="603">
        <v>-94769.727211999998</v>
      </c>
    </row>
    <row r="250" spans="1:41" ht="12" thickBot="1">
      <c r="A250" s="918"/>
      <c r="B250" s="919"/>
      <c r="C250" s="919"/>
      <c r="D250" s="919"/>
      <c r="E250" s="919"/>
      <c r="F250" s="600" t="s">
        <v>2741</v>
      </c>
      <c r="G250" s="600" t="s">
        <v>2741</v>
      </c>
      <c r="H250" s="601">
        <v>472512</v>
      </c>
      <c r="I250" s="602">
        <v>1500000000</v>
      </c>
      <c r="J250" s="602">
        <v>2.0833333333333299</v>
      </c>
      <c r="K250" s="602">
        <v>3180991735.53719</v>
      </c>
      <c r="L250" s="602">
        <v>21495680.640000001</v>
      </c>
      <c r="M250" s="498">
        <v>2.0440163975682002</v>
      </c>
      <c r="N250" s="602">
        <v>2.0705159369521602</v>
      </c>
      <c r="O250" s="602">
        <v>2.6499539383958999E-2</v>
      </c>
      <c r="P250" s="498">
        <v>21774360.222210001</v>
      </c>
      <c r="Q250" s="602">
        <v>278679.58221000002</v>
      </c>
      <c r="R250" s="602">
        <v>0</v>
      </c>
      <c r="S250" s="602">
        <v>0</v>
      </c>
      <c r="T250" s="602">
        <v>0</v>
      </c>
      <c r="U250" s="602">
        <v>0</v>
      </c>
      <c r="V250" s="602">
        <v>0</v>
      </c>
      <c r="W250" s="602">
        <v>0</v>
      </c>
      <c r="X250" s="602">
        <v>0</v>
      </c>
      <c r="Y250" s="602">
        <v>0</v>
      </c>
      <c r="Z250" s="602">
        <v>0</v>
      </c>
      <c r="AA250" s="602">
        <v>0</v>
      </c>
      <c r="AB250" s="602">
        <v>0</v>
      </c>
      <c r="AC250" s="602">
        <v>0</v>
      </c>
      <c r="AD250" s="602">
        <v>0</v>
      </c>
      <c r="AE250" s="602">
        <v>0</v>
      </c>
      <c r="AF250" s="602">
        <v>0</v>
      </c>
      <c r="AG250" s="602">
        <v>0</v>
      </c>
      <c r="AH250" s="602">
        <v>0</v>
      </c>
      <c r="AI250" s="602">
        <v>0</v>
      </c>
      <c r="AJ250" s="498">
        <v>0</v>
      </c>
      <c r="AK250" s="498">
        <v>0</v>
      </c>
      <c r="AL250" s="602">
        <v>2.0705159369521602</v>
      </c>
      <c r="AM250" s="602">
        <v>2.6499539383958999E-2</v>
      </c>
      <c r="AN250" s="498">
        <v>21774360.222210001</v>
      </c>
      <c r="AO250" s="603">
        <v>278679.58221000002</v>
      </c>
    </row>
    <row r="251" spans="1:41" ht="12" thickBot="1">
      <c r="A251" s="918"/>
      <c r="B251" s="917" t="s">
        <v>471</v>
      </c>
      <c r="C251" s="917" t="s">
        <v>472</v>
      </c>
      <c r="D251" s="917" t="s">
        <v>472</v>
      </c>
      <c r="E251" s="917" t="s">
        <v>472</v>
      </c>
      <c r="F251" s="917" t="s">
        <v>472</v>
      </c>
      <c r="G251" s="600" t="s">
        <v>473</v>
      </c>
      <c r="H251" s="601">
        <v>472001</v>
      </c>
      <c r="I251" s="602">
        <v>0</v>
      </c>
      <c r="J251" s="602">
        <v>0</v>
      </c>
      <c r="K251" s="602">
        <v>3025535223.9340501</v>
      </c>
      <c r="L251" s="602">
        <v>35510938.210000001</v>
      </c>
      <c r="M251" s="498">
        <v>3.55022312299766</v>
      </c>
      <c r="N251" s="602">
        <v>2.6010755951771101</v>
      </c>
      <c r="O251" s="602">
        <v>0.94914752782054401</v>
      </c>
      <c r="P251" s="498">
        <v>26017135.132026002</v>
      </c>
      <c r="Q251" s="602">
        <v>9493803.0779739991</v>
      </c>
      <c r="R251" s="602">
        <v>0</v>
      </c>
      <c r="S251" s="602">
        <v>0</v>
      </c>
      <c r="T251" s="602">
        <v>0</v>
      </c>
      <c r="U251" s="602">
        <v>0</v>
      </c>
      <c r="V251" s="602">
        <v>0</v>
      </c>
      <c r="W251" s="602">
        <v>0</v>
      </c>
      <c r="X251" s="602">
        <v>0</v>
      </c>
      <c r="Y251" s="602">
        <v>0</v>
      </c>
      <c r="Z251" s="602">
        <v>0</v>
      </c>
      <c r="AA251" s="602">
        <v>0</v>
      </c>
      <c r="AB251" s="602">
        <v>0</v>
      </c>
      <c r="AC251" s="602">
        <v>0</v>
      </c>
      <c r="AD251" s="602">
        <v>0</v>
      </c>
      <c r="AE251" s="602">
        <v>0</v>
      </c>
      <c r="AF251" s="602">
        <v>0</v>
      </c>
      <c r="AG251" s="602">
        <v>0</v>
      </c>
      <c r="AH251" s="602">
        <v>0</v>
      </c>
      <c r="AI251" s="602">
        <v>0</v>
      </c>
      <c r="AJ251" s="498">
        <v>0</v>
      </c>
      <c r="AK251" s="498">
        <v>0</v>
      </c>
      <c r="AL251" s="602">
        <v>2.6010755951771101</v>
      </c>
      <c r="AM251" s="602">
        <v>0.94914752782054401</v>
      </c>
      <c r="AN251" s="498">
        <v>26017135.132026002</v>
      </c>
      <c r="AO251" s="603">
        <v>9493803.0779739991</v>
      </c>
    </row>
    <row r="252" spans="1:41" ht="12" thickBot="1">
      <c r="A252" s="918"/>
      <c r="B252" s="918"/>
      <c r="C252" s="919"/>
      <c r="D252" s="919"/>
      <c r="E252" s="919"/>
      <c r="F252" s="919"/>
      <c r="G252" s="600" t="s">
        <v>474</v>
      </c>
      <c r="H252" s="601">
        <v>472011</v>
      </c>
      <c r="I252" s="602">
        <v>200000000</v>
      </c>
      <c r="J252" s="602">
        <v>6.65</v>
      </c>
      <c r="K252" s="602">
        <v>469586776.85950398</v>
      </c>
      <c r="L252" s="602">
        <v>9863712.5600000005</v>
      </c>
      <c r="M252" s="498">
        <v>6.3536057672650497</v>
      </c>
      <c r="N252" s="602">
        <v>2.84097388802323</v>
      </c>
      <c r="O252" s="602">
        <v>3.5126318792418201</v>
      </c>
      <c r="P252" s="498">
        <v>4410495.5278000003</v>
      </c>
      <c r="Q252" s="602">
        <v>5453217.0322000002</v>
      </c>
      <c r="R252" s="602">
        <v>0</v>
      </c>
      <c r="S252" s="602">
        <v>0</v>
      </c>
      <c r="T252" s="602">
        <v>0</v>
      </c>
      <c r="U252" s="602">
        <v>0</v>
      </c>
      <c r="V252" s="602">
        <v>0</v>
      </c>
      <c r="W252" s="602">
        <v>0</v>
      </c>
      <c r="X252" s="602">
        <v>0</v>
      </c>
      <c r="Y252" s="602">
        <v>0</v>
      </c>
      <c r="Z252" s="602">
        <v>0</v>
      </c>
      <c r="AA252" s="602">
        <v>0</v>
      </c>
      <c r="AB252" s="602">
        <v>0</v>
      </c>
      <c r="AC252" s="602">
        <v>0</v>
      </c>
      <c r="AD252" s="602">
        <v>0</v>
      </c>
      <c r="AE252" s="602">
        <v>0</v>
      </c>
      <c r="AF252" s="602">
        <v>0</v>
      </c>
      <c r="AG252" s="602">
        <v>0</v>
      </c>
      <c r="AH252" s="602">
        <v>0</v>
      </c>
      <c r="AI252" s="602">
        <v>0</v>
      </c>
      <c r="AJ252" s="498">
        <v>0</v>
      </c>
      <c r="AK252" s="498">
        <v>0</v>
      </c>
      <c r="AL252" s="602">
        <v>2.84097388802323</v>
      </c>
      <c r="AM252" s="602">
        <v>3.5126318792418201</v>
      </c>
      <c r="AN252" s="498">
        <v>4410495.5278000003</v>
      </c>
      <c r="AO252" s="603">
        <v>5453217.0322000002</v>
      </c>
    </row>
    <row r="253" spans="1:41" ht="12" thickBot="1">
      <c r="A253" s="918"/>
      <c r="B253" s="918"/>
      <c r="C253" s="917" t="s">
        <v>475</v>
      </c>
      <c r="D253" s="917" t="s">
        <v>475</v>
      </c>
      <c r="E253" s="917" t="s">
        <v>475</v>
      </c>
      <c r="F253" s="917" t="s">
        <v>475</v>
      </c>
      <c r="G253" s="600" t="s">
        <v>476</v>
      </c>
      <c r="H253" s="601">
        <v>472021</v>
      </c>
      <c r="I253" s="602">
        <v>0</v>
      </c>
      <c r="J253" s="602">
        <v>0</v>
      </c>
      <c r="K253" s="602">
        <v>33533274.152396999</v>
      </c>
      <c r="L253" s="602">
        <v>462062.81</v>
      </c>
      <c r="M253" s="498">
        <v>4.16793339766188</v>
      </c>
      <c r="N253" s="602">
        <v>2.7989702446588298</v>
      </c>
      <c r="O253" s="602">
        <v>1.3689631530030799</v>
      </c>
      <c r="P253" s="498">
        <v>310297.67823999998</v>
      </c>
      <c r="Q253" s="602">
        <v>151765.13175999999</v>
      </c>
      <c r="R253" s="602">
        <v>0</v>
      </c>
      <c r="S253" s="602">
        <v>0</v>
      </c>
      <c r="T253" s="602">
        <v>0</v>
      </c>
      <c r="U253" s="602">
        <v>0</v>
      </c>
      <c r="V253" s="602">
        <v>0</v>
      </c>
      <c r="W253" s="602">
        <v>0</v>
      </c>
      <c r="X253" s="602">
        <v>0</v>
      </c>
      <c r="Y253" s="602">
        <v>0</v>
      </c>
      <c r="Z253" s="602">
        <v>0</v>
      </c>
      <c r="AA253" s="602">
        <v>0</v>
      </c>
      <c r="AB253" s="602">
        <v>0</v>
      </c>
      <c r="AC253" s="602">
        <v>0</v>
      </c>
      <c r="AD253" s="602">
        <v>0</v>
      </c>
      <c r="AE253" s="602">
        <v>0</v>
      </c>
      <c r="AF253" s="602">
        <v>0</v>
      </c>
      <c r="AG253" s="602">
        <v>0</v>
      </c>
      <c r="AH253" s="602">
        <v>0</v>
      </c>
      <c r="AI253" s="602">
        <v>0</v>
      </c>
      <c r="AJ253" s="498">
        <v>0</v>
      </c>
      <c r="AK253" s="498">
        <v>0</v>
      </c>
      <c r="AL253" s="602">
        <v>2.7989702446588298</v>
      </c>
      <c r="AM253" s="602">
        <v>1.3689631530030799</v>
      </c>
      <c r="AN253" s="498">
        <v>310297.67823999998</v>
      </c>
      <c r="AO253" s="603">
        <v>151765.13175999999</v>
      </c>
    </row>
    <row r="254" spans="1:41" ht="12" thickBot="1">
      <c r="A254" s="918"/>
      <c r="B254" s="919"/>
      <c r="C254" s="919"/>
      <c r="D254" s="919"/>
      <c r="E254" s="919"/>
      <c r="F254" s="919"/>
      <c r="G254" s="600" t="s">
        <v>477</v>
      </c>
      <c r="H254" s="601">
        <v>472031</v>
      </c>
      <c r="I254" s="602">
        <v>0</v>
      </c>
      <c r="J254" s="602">
        <v>0</v>
      </c>
      <c r="K254" s="602">
        <v>6074380.1652889997</v>
      </c>
      <c r="L254" s="602">
        <v>78808.3</v>
      </c>
      <c r="M254" s="498">
        <v>3.9243316734695499</v>
      </c>
      <c r="N254" s="602">
        <v>2.7853509197779598</v>
      </c>
      <c r="O254" s="602">
        <v>1.13898075369143</v>
      </c>
      <c r="P254" s="498">
        <v>55935.325848</v>
      </c>
      <c r="Q254" s="602">
        <v>22872.974151999999</v>
      </c>
      <c r="R254" s="602">
        <v>0</v>
      </c>
      <c r="S254" s="602">
        <v>0</v>
      </c>
      <c r="T254" s="602">
        <v>0</v>
      </c>
      <c r="U254" s="602">
        <v>0</v>
      </c>
      <c r="V254" s="602">
        <v>0</v>
      </c>
      <c r="W254" s="602">
        <v>0</v>
      </c>
      <c r="X254" s="602">
        <v>0</v>
      </c>
      <c r="Y254" s="602">
        <v>0</v>
      </c>
      <c r="Z254" s="602">
        <v>0</v>
      </c>
      <c r="AA254" s="602">
        <v>0</v>
      </c>
      <c r="AB254" s="602">
        <v>0</v>
      </c>
      <c r="AC254" s="602">
        <v>0</v>
      </c>
      <c r="AD254" s="602">
        <v>0</v>
      </c>
      <c r="AE254" s="602">
        <v>0</v>
      </c>
      <c r="AF254" s="602">
        <v>0</v>
      </c>
      <c r="AG254" s="602">
        <v>0</v>
      </c>
      <c r="AH254" s="602">
        <v>0</v>
      </c>
      <c r="AI254" s="602">
        <v>0</v>
      </c>
      <c r="AJ254" s="498">
        <v>0</v>
      </c>
      <c r="AK254" s="498">
        <v>0</v>
      </c>
      <c r="AL254" s="602">
        <v>2.7853509197779598</v>
      </c>
      <c r="AM254" s="602">
        <v>1.13898075369143</v>
      </c>
      <c r="AN254" s="498">
        <v>55935.325848</v>
      </c>
      <c r="AO254" s="603">
        <v>22872.974151999999</v>
      </c>
    </row>
    <row r="255" spans="1:41" ht="12" thickBot="1">
      <c r="A255" s="918"/>
      <c r="B255" s="917" t="s">
        <v>2742</v>
      </c>
      <c r="C255" s="917" t="s">
        <v>2743</v>
      </c>
      <c r="D255" s="917" t="s">
        <v>478</v>
      </c>
      <c r="E255" s="917" t="s">
        <v>2743</v>
      </c>
      <c r="F255" s="917" t="s">
        <v>2743</v>
      </c>
      <c r="G255" s="600" t="s">
        <v>479</v>
      </c>
      <c r="H255" s="601">
        <v>472311</v>
      </c>
      <c r="I255" s="602">
        <v>673634421.27999997</v>
      </c>
      <c r="J255" s="602">
        <v>2.35412652204402</v>
      </c>
      <c r="K255" s="602">
        <v>741818085.67644703</v>
      </c>
      <c r="L255" s="602">
        <v>7425520.04</v>
      </c>
      <c r="M255" s="498">
        <v>3.0277859702171099</v>
      </c>
      <c r="N255" s="602">
        <v>2.3529512902320899</v>
      </c>
      <c r="O255" s="602">
        <v>0.674834679985023</v>
      </c>
      <c r="P255" s="498">
        <v>5770515.8589890003</v>
      </c>
      <c r="Q255" s="602">
        <v>1655004.1810109999</v>
      </c>
      <c r="R255" s="602">
        <v>0</v>
      </c>
      <c r="S255" s="602">
        <v>0</v>
      </c>
      <c r="T255" s="602">
        <v>0</v>
      </c>
      <c r="U255" s="602">
        <v>0</v>
      </c>
      <c r="V255" s="602">
        <v>0</v>
      </c>
      <c r="W255" s="602">
        <v>0</v>
      </c>
      <c r="X255" s="602">
        <v>0</v>
      </c>
      <c r="Y255" s="602">
        <v>0</v>
      </c>
      <c r="Z255" s="602">
        <v>0</v>
      </c>
      <c r="AA255" s="602">
        <v>0</v>
      </c>
      <c r="AB255" s="602">
        <v>0</v>
      </c>
      <c r="AC255" s="602">
        <v>0</v>
      </c>
      <c r="AD255" s="602">
        <v>0</v>
      </c>
      <c r="AE255" s="602">
        <v>0</v>
      </c>
      <c r="AF255" s="602">
        <v>0</v>
      </c>
      <c r="AG255" s="602">
        <v>0</v>
      </c>
      <c r="AH255" s="602">
        <v>0</v>
      </c>
      <c r="AI255" s="602">
        <v>0</v>
      </c>
      <c r="AJ255" s="498">
        <v>0</v>
      </c>
      <c r="AK255" s="498">
        <v>0</v>
      </c>
      <c r="AL255" s="602">
        <v>2.3529512902320899</v>
      </c>
      <c r="AM255" s="602">
        <v>0.674834679985023</v>
      </c>
      <c r="AN255" s="498">
        <v>5770515.8589890003</v>
      </c>
      <c r="AO255" s="603">
        <v>1655004.1810109999</v>
      </c>
    </row>
    <row r="256" spans="1:41" ht="12" thickBot="1">
      <c r="A256" s="918"/>
      <c r="B256" s="918"/>
      <c r="C256" s="918"/>
      <c r="D256" s="918"/>
      <c r="E256" s="918"/>
      <c r="F256" s="918"/>
      <c r="G256" s="600" t="s">
        <v>480</v>
      </c>
      <c r="H256" s="601">
        <v>472312</v>
      </c>
      <c r="I256" s="602">
        <v>11461698646.790001</v>
      </c>
      <c r="J256" s="602">
        <v>2.6069410337583601</v>
      </c>
      <c r="K256" s="602">
        <v>12999516501.2689</v>
      </c>
      <c r="L256" s="602">
        <v>147105103.65000001</v>
      </c>
      <c r="M256" s="498">
        <v>3.4229161129289598</v>
      </c>
      <c r="N256" s="602">
        <v>2.3784749584856302</v>
      </c>
      <c r="O256" s="602">
        <v>1.0444411544433401</v>
      </c>
      <c r="P256" s="498">
        <v>102218632.812933</v>
      </c>
      <c r="Q256" s="602">
        <v>44886470.837067001</v>
      </c>
      <c r="R256" s="602">
        <v>0</v>
      </c>
      <c r="S256" s="602">
        <v>0</v>
      </c>
      <c r="T256" s="602">
        <v>0</v>
      </c>
      <c r="U256" s="602">
        <v>0</v>
      </c>
      <c r="V256" s="602">
        <v>0</v>
      </c>
      <c r="W256" s="602">
        <v>0</v>
      </c>
      <c r="X256" s="602">
        <v>0</v>
      </c>
      <c r="Y256" s="602">
        <v>0</v>
      </c>
      <c r="Z256" s="602">
        <v>0</v>
      </c>
      <c r="AA256" s="602">
        <v>0</v>
      </c>
      <c r="AB256" s="602">
        <v>0</v>
      </c>
      <c r="AC256" s="602">
        <v>0</v>
      </c>
      <c r="AD256" s="602">
        <v>0</v>
      </c>
      <c r="AE256" s="602">
        <v>0</v>
      </c>
      <c r="AF256" s="602">
        <v>0</v>
      </c>
      <c r="AG256" s="602">
        <v>0</v>
      </c>
      <c r="AH256" s="602">
        <v>0</v>
      </c>
      <c r="AI256" s="602">
        <v>0</v>
      </c>
      <c r="AJ256" s="498">
        <v>0</v>
      </c>
      <c r="AK256" s="498">
        <v>0</v>
      </c>
      <c r="AL256" s="602">
        <v>2.3784749584856302</v>
      </c>
      <c r="AM256" s="602">
        <v>1.0444411544433401</v>
      </c>
      <c r="AN256" s="498">
        <v>102218632.812933</v>
      </c>
      <c r="AO256" s="603">
        <v>44886470.837067001</v>
      </c>
    </row>
    <row r="257" spans="1:41" ht="12" thickBot="1">
      <c r="A257" s="918"/>
      <c r="B257" s="918"/>
      <c r="C257" s="918"/>
      <c r="D257" s="918"/>
      <c r="E257" s="918"/>
      <c r="F257" s="918"/>
      <c r="G257" s="600" t="s">
        <v>2747</v>
      </c>
      <c r="H257" s="601">
        <v>472315</v>
      </c>
      <c r="I257" s="602">
        <v>0</v>
      </c>
      <c r="J257" s="602">
        <v>0</v>
      </c>
      <c r="K257" s="602">
        <v>340989672.72727299</v>
      </c>
      <c r="L257" s="602">
        <v>3818579.23</v>
      </c>
      <c r="M257" s="498">
        <v>3.3873205354630498</v>
      </c>
      <c r="N257" s="602">
        <v>2.3463705681113201</v>
      </c>
      <c r="O257" s="602">
        <v>1.0409499673517399</v>
      </c>
      <c r="P257" s="498">
        <v>2645100.108912</v>
      </c>
      <c r="Q257" s="602">
        <v>1173479.121088</v>
      </c>
      <c r="R257" s="602">
        <v>0</v>
      </c>
      <c r="S257" s="602">
        <v>0</v>
      </c>
      <c r="T257" s="602">
        <v>0</v>
      </c>
      <c r="U257" s="602">
        <v>0</v>
      </c>
      <c r="V257" s="602">
        <v>0</v>
      </c>
      <c r="W257" s="602">
        <v>0</v>
      </c>
      <c r="X257" s="602">
        <v>0</v>
      </c>
      <c r="Y257" s="602">
        <v>0</v>
      </c>
      <c r="Z257" s="602">
        <v>0</v>
      </c>
      <c r="AA257" s="602">
        <v>0</v>
      </c>
      <c r="AB257" s="602">
        <v>0</v>
      </c>
      <c r="AC257" s="602">
        <v>0</v>
      </c>
      <c r="AD257" s="602">
        <v>0</v>
      </c>
      <c r="AE257" s="602">
        <v>0</v>
      </c>
      <c r="AF257" s="602">
        <v>0</v>
      </c>
      <c r="AG257" s="602">
        <v>0</v>
      </c>
      <c r="AH257" s="602">
        <v>0</v>
      </c>
      <c r="AI257" s="602">
        <v>0</v>
      </c>
      <c r="AJ257" s="498">
        <v>0</v>
      </c>
      <c r="AK257" s="498">
        <v>0</v>
      </c>
      <c r="AL257" s="602">
        <v>2.3463705681113201</v>
      </c>
      <c r="AM257" s="602">
        <v>1.0409499673517399</v>
      </c>
      <c r="AN257" s="498">
        <v>2645100.108912</v>
      </c>
      <c r="AO257" s="603">
        <v>1173479.121088</v>
      </c>
    </row>
    <row r="258" spans="1:41" ht="12" thickBot="1">
      <c r="A258" s="918"/>
      <c r="B258" s="918"/>
      <c r="C258" s="918"/>
      <c r="D258" s="918"/>
      <c r="E258" s="918"/>
      <c r="F258" s="918"/>
      <c r="G258" s="600" t="s">
        <v>481</v>
      </c>
      <c r="H258" s="601">
        <v>472317</v>
      </c>
      <c r="I258" s="602">
        <v>6230063422.7399998</v>
      </c>
      <c r="J258" s="602">
        <v>2.81631925201556</v>
      </c>
      <c r="K258" s="602">
        <v>4379852601.06388</v>
      </c>
      <c r="L258" s="602">
        <v>61184063.060000002</v>
      </c>
      <c r="M258" s="498">
        <v>4.2254652445656102</v>
      </c>
      <c r="N258" s="602">
        <v>2.33985952054761</v>
      </c>
      <c r="O258" s="602">
        <v>1.88560572401799</v>
      </c>
      <c r="P258" s="498">
        <v>33880792.805206001</v>
      </c>
      <c r="Q258" s="602">
        <v>27303270.254794002</v>
      </c>
      <c r="R258" s="602">
        <v>0</v>
      </c>
      <c r="S258" s="602">
        <v>0</v>
      </c>
      <c r="T258" s="602">
        <v>0</v>
      </c>
      <c r="U258" s="602">
        <v>0</v>
      </c>
      <c r="V258" s="602">
        <v>0</v>
      </c>
      <c r="W258" s="602">
        <v>0</v>
      </c>
      <c r="X258" s="602">
        <v>0</v>
      </c>
      <c r="Y258" s="602">
        <v>0</v>
      </c>
      <c r="Z258" s="602">
        <v>0</v>
      </c>
      <c r="AA258" s="602">
        <v>0</v>
      </c>
      <c r="AB258" s="602">
        <v>0</v>
      </c>
      <c r="AC258" s="602">
        <v>0</v>
      </c>
      <c r="AD258" s="602">
        <v>0</v>
      </c>
      <c r="AE258" s="602">
        <v>0</v>
      </c>
      <c r="AF258" s="602">
        <v>0</v>
      </c>
      <c r="AG258" s="602">
        <v>0</v>
      </c>
      <c r="AH258" s="602">
        <v>0</v>
      </c>
      <c r="AI258" s="602">
        <v>0</v>
      </c>
      <c r="AJ258" s="498">
        <v>0</v>
      </c>
      <c r="AK258" s="498">
        <v>0</v>
      </c>
      <c r="AL258" s="602">
        <v>2.33985952054761</v>
      </c>
      <c r="AM258" s="602">
        <v>1.88560572401799</v>
      </c>
      <c r="AN258" s="498">
        <v>33880792.805206001</v>
      </c>
      <c r="AO258" s="603">
        <v>27303270.254794002</v>
      </c>
    </row>
    <row r="259" spans="1:41" ht="12" thickBot="1">
      <c r="A259" s="918"/>
      <c r="B259" s="918"/>
      <c r="C259" s="919"/>
      <c r="D259" s="919"/>
      <c r="E259" s="919"/>
      <c r="F259" s="919"/>
      <c r="G259" s="600" t="s">
        <v>485</v>
      </c>
      <c r="H259" s="601">
        <v>472318</v>
      </c>
      <c r="I259" s="602">
        <v>20262805070</v>
      </c>
      <c r="J259" s="602">
        <v>2.92497653218925</v>
      </c>
      <c r="K259" s="602">
        <v>6726614015.36339</v>
      </c>
      <c r="L259" s="602">
        <v>71997302.930000007</v>
      </c>
      <c r="M259" s="498">
        <v>3.2375421778333302</v>
      </c>
      <c r="N259" s="602">
        <v>2.3580434086193098</v>
      </c>
      <c r="O259" s="602">
        <v>0.87949876921402004</v>
      </c>
      <c r="P259" s="498">
        <v>52438781.114528</v>
      </c>
      <c r="Q259" s="602">
        <v>19558521.815471999</v>
      </c>
      <c r="R259" s="602">
        <v>0</v>
      </c>
      <c r="S259" s="602">
        <v>0</v>
      </c>
      <c r="T259" s="602">
        <v>0</v>
      </c>
      <c r="U259" s="602">
        <v>0</v>
      </c>
      <c r="V259" s="602">
        <v>0</v>
      </c>
      <c r="W259" s="602">
        <v>0</v>
      </c>
      <c r="X259" s="602">
        <v>-0.17221156012886199</v>
      </c>
      <c r="Y259" s="602">
        <v>-3829685.3543830002</v>
      </c>
      <c r="Z259" s="602">
        <v>0</v>
      </c>
      <c r="AA259" s="602">
        <v>0</v>
      </c>
      <c r="AB259" s="602">
        <v>0</v>
      </c>
      <c r="AC259" s="602">
        <v>0</v>
      </c>
      <c r="AD259" s="602">
        <v>0</v>
      </c>
      <c r="AE259" s="602">
        <v>0</v>
      </c>
      <c r="AF259" s="602">
        <v>0</v>
      </c>
      <c r="AG259" s="602">
        <v>0</v>
      </c>
      <c r="AH259" s="602">
        <v>0</v>
      </c>
      <c r="AI259" s="602">
        <v>0</v>
      </c>
      <c r="AJ259" s="498">
        <v>0</v>
      </c>
      <c r="AK259" s="498">
        <v>0</v>
      </c>
      <c r="AL259" s="602">
        <v>2.18583184849706</v>
      </c>
      <c r="AM259" s="602">
        <v>1.05171032933627</v>
      </c>
      <c r="AN259" s="498">
        <v>48609095.760292001</v>
      </c>
      <c r="AO259" s="603">
        <v>23388207.169707999</v>
      </c>
    </row>
    <row r="260" spans="1:41" ht="12" thickBot="1">
      <c r="A260" s="918"/>
      <c r="B260" s="918"/>
      <c r="C260" s="917" t="s">
        <v>2744</v>
      </c>
      <c r="D260" s="917" t="s">
        <v>2744</v>
      </c>
      <c r="E260" s="917" t="s">
        <v>2744</v>
      </c>
      <c r="F260" s="917" t="s">
        <v>2744</v>
      </c>
      <c r="G260" s="600" t="s">
        <v>479</v>
      </c>
      <c r="H260" s="601">
        <v>472611</v>
      </c>
      <c r="I260" s="602">
        <v>10665000000</v>
      </c>
      <c r="J260" s="602">
        <v>0</v>
      </c>
      <c r="K260" s="602">
        <v>15325991735.537201</v>
      </c>
      <c r="L260" s="602">
        <v>159436286.40000001</v>
      </c>
      <c r="M260" s="498">
        <v>3.1466924509705101</v>
      </c>
      <c r="N260" s="602">
        <v>2.7716017667377999</v>
      </c>
      <c r="O260" s="602">
        <v>0.37509068423270198</v>
      </c>
      <c r="P260" s="498">
        <v>140431230.55513901</v>
      </c>
      <c r="Q260" s="602">
        <v>19005055.844861001</v>
      </c>
      <c r="R260" s="602">
        <v>0</v>
      </c>
      <c r="S260" s="602">
        <v>0</v>
      </c>
      <c r="T260" s="602">
        <v>0</v>
      </c>
      <c r="U260" s="602">
        <v>0</v>
      </c>
      <c r="V260" s="602">
        <v>0</v>
      </c>
      <c r="W260" s="602">
        <v>0</v>
      </c>
      <c r="X260" s="602">
        <v>0</v>
      </c>
      <c r="Y260" s="602">
        <v>0</v>
      </c>
      <c r="Z260" s="602">
        <v>0</v>
      </c>
      <c r="AA260" s="602">
        <v>0</v>
      </c>
      <c r="AB260" s="602">
        <v>0</v>
      </c>
      <c r="AC260" s="602">
        <v>0</v>
      </c>
      <c r="AD260" s="602">
        <v>0</v>
      </c>
      <c r="AE260" s="602">
        <v>0</v>
      </c>
      <c r="AF260" s="602">
        <v>0</v>
      </c>
      <c r="AG260" s="602">
        <v>0</v>
      </c>
      <c r="AH260" s="602">
        <v>0</v>
      </c>
      <c r="AI260" s="602">
        <v>0</v>
      </c>
      <c r="AJ260" s="498">
        <v>0</v>
      </c>
      <c r="AK260" s="498">
        <v>0</v>
      </c>
      <c r="AL260" s="602">
        <v>2.7716017667377999</v>
      </c>
      <c r="AM260" s="602">
        <v>0.37509068423270198</v>
      </c>
      <c r="AN260" s="498">
        <v>140431230.55513901</v>
      </c>
      <c r="AO260" s="603">
        <v>19005055.844861001</v>
      </c>
    </row>
    <row r="261" spans="1:41" ht="12" thickBot="1">
      <c r="A261" s="918"/>
      <c r="B261" s="918"/>
      <c r="C261" s="918"/>
      <c r="D261" s="918"/>
      <c r="E261" s="918"/>
      <c r="F261" s="918"/>
      <c r="G261" s="600" t="s">
        <v>480</v>
      </c>
      <c r="H261" s="601">
        <v>472612</v>
      </c>
      <c r="I261" s="602">
        <v>26070000000</v>
      </c>
      <c r="J261" s="602">
        <v>0.61496272650556205</v>
      </c>
      <c r="K261" s="602">
        <v>26551983471.074402</v>
      </c>
      <c r="L261" s="602">
        <v>332227901.38999999</v>
      </c>
      <c r="M261" s="498">
        <v>3.7847295313027001</v>
      </c>
      <c r="N261" s="602">
        <v>2.9215900636523799</v>
      </c>
      <c r="O261" s="602">
        <v>0.86313946765032201</v>
      </c>
      <c r="P261" s="498">
        <v>256460528.431741</v>
      </c>
      <c r="Q261" s="602">
        <v>75767372.958259001</v>
      </c>
      <c r="R261" s="602">
        <v>0</v>
      </c>
      <c r="S261" s="602">
        <v>0</v>
      </c>
      <c r="T261" s="602">
        <v>0</v>
      </c>
      <c r="U261" s="602">
        <v>0</v>
      </c>
      <c r="V261" s="602">
        <v>0</v>
      </c>
      <c r="W261" s="602">
        <v>0</v>
      </c>
      <c r="X261" s="602">
        <v>0</v>
      </c>
      <c r="Y261" s="602">
        <v>0</v>
      </c>
      <c r="Z261" s="602">
        <v>0</v>
      </c>
      <c r="AA261" s="602">
        <v>0</v>
      </c>
      <c r="AB261" s="602">
        <v>0</v>
      </c>
      <c r="AC261" s="602">
        <v>0</v>
      </c>
      <c r="AD261" s="602">
        <v>0</v>
      </c>
      <c r="AE261" s="602">
        <v>0</v>
      </c>
      <c r="AF261" s="602">
        <v>0</v>
      </c>
      <c r="AG261" s="602">
        <v>0</v>
      </c>
      <c r="AH261" s="602">
        <v>0</v>
      </c>
      <c r="AI261" s="602">
        <v>0</v>
      </c>
      <c r="AJ261" s="498">
        <v>0</v>
      </c>
      <c r="AK261" s="498">
        <v>0</v>
      </c>
      <c r="AL261" s="602">
        <v>2.9215900636523799</v>
      </c>
      <c r="AM261" s="602">
        <v>0.86313946765032201</v>
      </c>
      <c r="AN261" s="498">
        <v>256460528.431741</v>
      </c>
      <c r="AO261" s="603">
        <v>75767372.958259001</v>
      </c>
    </row>
    <row r="262" spans="1:41" ht="12" thickBot="1">
      <c r="A262" s="918"/>
      <c r="B262" s="918"/>
      <c r="C262" s="918"/>
      <c r="D262" s="918"/>
      <c r="E262" s="918"/>
      <c r="F262" s="918"/>
      <c r="G262" s="600" t="s">
        <v>2745</v>
      </c>
      <c r="H262" s="601">
        <v>472614</v>
      </c>
      <c r="I262" s="602">
        <v>3560000000</v>
      </c>
      <c r="J262" s="602">
        <v>2.1138202247190998</v>
      </c>
      <c r="K262" s="602">
        <v>2116694214.87603</v>
      </c>
      <c r="L262" s="602">
        <v>22365056.07</v>
      </c>
      <c r="M262" s="498">
        <v>3.19600598220365</v>
      </c>
      <c r="N262" s="602">
        <v>2.9769734223001101</v>
      </c>
      <c r="O262" s="602">
        <v>0.21903255990354001</v>
      </c>
      <c r="P262" s="498">
        <v>20832306.910369001</v>
      </c>
      <c r="Q262" s="602">
        <v>1532749.1596309999</v>
      </c>
      <c r="R262" s="602">
        <v>0</v>
      </c>
      <c r="S262" s="602">
        <v>0</v>
      </c>
      <c r="T262" s="602">
        <v>0</v>
      </c>
      <c r="U262" s="602">
        <v>0</v>
      </c>
      <c r="V262" s="602">
        <v>0</v>
      </c>
      <c r="W262" s="602">
        <v>0</v>
      </c>
      <c r="X262" s="602">
        <v>0</v>
      </c>
      <c r="Y262" s="602">
        <v>0</v>
      </c>
      <c r="Z262" s="602">
        <v>0</v>
      </c>
      <c r="AA262" s="602">
        <v>0</v>
      </c>
      <c r="AB262" s="602">
        <v>0</v>
      </c>
      <c r="AC262" s="602">
        <v>0</v>
      </c>
      <c r="AD262" s="602">
        <v>0</v>
      </c>
      <c r="AE262" s="602">
        <v>0</v>
      </c>
      <c r="AF262" s="602">
        <v>0</v>
      </c>
      <c r="AG262" s="602">
        <v>0</v>
      </c>
      <c r="AH262" s="602">
        <v>0</v>
      </c>
      <c r="AI262" s="602">
        <v>0</v>
      </c>
      <c r="AJ262" s="498">
        <v>0</v>
      </c>
      <c r="AK262" s="498">
        <v>0</v>
      </c>
      <c r="AL262" s="602">
        <v>2.9769734223001101</v>
      </c>
      <c r="AM262" s="602">
        <v>0.21903255990354001</v>
      </c>
      <c r="AN262" s="498">
        <v>20832306.910369001</v>
      </c>
      <c r="AO262" s="603">
        <v>1532749.1596309999</v>
      </c>
    </row>
    <row r="263" spans="1:41" ht="12" thickBot="1">
      <c r="A263" s="918"/>
      <c r="B263" s="918"/>
      <c r="C263" s="918"/>
      <c r="D263" s="918"/>
      <c r="E263" s="918"/>
      <c r="F263" s="918"/>
      <c r="G263" s="600" t="s">
        <v>482</v>
      </c>
      <c r="H263" s="601">
        <v>472616</v>
      </c>
      <c r="I263" s="602">
        <v>900000000</v>
      </c>
      <c r="J263" s="602">
        <v>0</v>
      </c>
      <c r="K263" s="602">
        <v>900000000</v>
      </c>
      <c r="L263" s="602">
        <v>19232387.050000001</v>
      </c>
      <c r="M263" s="498">
        <v>6.4637774658402201</v>
      </c>
      <c r="N263" s="602">
        <v>3.2320850000000001</v>
      </c>
      <c r="O263" s="602">
        <v>3.23169246584022</v>
      </c>
      <c r="P263" s="498">
        <v>9616777.5</v>
      </c>
      <c r="Q263" s="602">
        <v>9615609.5500000007</v>
      </c>
      <c r="R263" s="602">
        <v>0</v>
      </c>
      <c r="S263" s="602">
        <v>0</v>
      </c>
      <c r="T263" s="602">
        <v>0</v>
      </c>
      <c r="U263" s="602">
        <v>0</v>
      </c>
      <c r="V263" s="602">
        <v>0</v>
      </c>
      <c r="W263" s="602">
        <v>0</v>
      </c>
      <c r="X263" s="602">
        <v>0</v>
      </c>
      <c r="Y263" s="602">
        <v>0</v>
      </c>
      <c r="Z263" s="602">
        <v>0</v>
      </c>
      <c r="AA263" s="602">
        <v>0</v>
      </c>
      <c r="AB263" s="602">
        <v>0</v>
      </c>
      <c r="AC263" s="602">
        <v>0</v>
      </c>
      <c r="AD263" s="602">
        <v>0</v>
      </c>
      <c r="AE263" s="602">
        <v>0</v>
      </c>
      <c r="AF263" s="602">
        <v>0</v>
      </c>
      <c r="AG263" s="602">
        <v>0</v>
      </c>
      <c r="AH263" s="602">
        <v>0</v>
      </c>
      <c r="AI263" s="602">
        <v>0</v>
      </c>
      <c r="AJ263" s="498">
        <v>0</v>
      </c>
      <c r="AK263" s="498">
        <v>0</v>
      </c>
      <c r="AL263" s="602">
        <v>3.2320850000000001</v>
      </c>
      <c r="AM263" s="602">
        <v>3.23169246584022</v>
      </c>
      <c r="AN263" s="498">
        <v>9616777.5</v>
      </c>
      <c r="AO263" s="603">
        <v>9615609.5500000007</v>
      </c>
    </row>
    <row r="264" spans="1:41" ht="12" thickBot="1">
      <c r="A264" s="918"/>
      <c r="B264" s="918"/>
      <c r="C264" s="918"/>
      <c r="D264" s="918"/>
      <c r="E264" s="918"/>
      <c r="F264" s="918"/>
      <c r="G264" s="600" t="s">
        <v>481</v>
      </c>
      <c r="H264" s="601">
        <v>472617</v>
      </c>
      <c r="I264" s="602">
        <v>541127354.54999995</v>
      </c>
      <c r="J264" s="602">
        <v>0</v>
      </c>
      <c r="K264" s="602">
        <v>603415672.73181796</v>
      </c>
      <c r="L264" s="602">
        <v>11015521.859999999</v>
      </c>
      <c r="M264" s="498">
        <v>5.5218449234811304</v>
      </c>
      <c r="N264" s="602">
        <v>3.2799072370948998</v>
      </c>
      <c r="O264" s="602">
        <v>2.2419376863862301</v>
      </c>
      <c r="P264" s="498">
        <v>6543083.0401179995</v>
      </c>
      <c r="Q264" s="602">
        <v>4472438.8198819999</v>
      </c>
      <c r="R264" s="602">
        <v>0</v>
      </c>
      <c r="S264" s="602">
        <v>0</v>
      </c>
      <c r="T264" s="602">
        <v>0</v>
      </c>
      <c r="U264" s="602">
        <v>0</v>
      </c>
      <c r="V264" s="602">
        <v>0</v>
      </c>
      <c r="W264" s="602">
        <v>0</v>
      </c>
      <c r="X264" s="602">
        <v>0</v>
      </c>
      <c r="Y264" s="602">
        <v>0</v>
      </c>
      <c r="Z264" s="602">
        <v>0</v>
      </c>
      <c r="AA264" s="602">
        <v>0</v>
      </c>
      <c r="AB264" s="602">
        <v>0</v>
      </c>
      <c r="AC264" s="602">
        <v>0</v>
      </c>
      <c r="AD264" s="602">
        <v>0</v>
      </c>
      <c r="AE264" s="602">
        <v>0</v>
      </c>
      <c r="AF264" s="602">
        <v>0</v>
      </c>
      <c r="AG264" s="602">
        <v>0</v>
      </c>
      <c r="AH264" s="602">
        <v>0</v>
      </c>
      <c r="AI264" s="602">
        <v>0</v>
      </c>
      <c r="AJ264" s="498">
        <v>0</v>
      </c>
      <c r="AK264" s="498">
        <v>0</v>
      </c>
      <c r="AL264" s="602">
        <v>3.2799072370948998</v>
      </c>
      <c r="AM264" s="602">
        <v>2.2419376863862301</v>
      </c>
      <c r="AN264" s="498">
        <v>6543083.0401179995</v>
      </c>
      <c r="AO264" s="603">
        <v>4472438.8198819999</v>
      </c>
    </row>
    <row r="265" spans="1:41" ht="12" thickBot="1">
      <c r="A265" s="918"/>
      <c r="B265" s="918"/>
      <c r="C265" s="919"/>
      <c r="D265" s="919"/>
      <c r="E265" s="919"/>
      <c r="F265" s="919"/>
      <c r="G265" s="600" t="s">
        <v>485</v>
      </c>
      <c r="H265" s="601">
        <v>472618</v>
      </c>
      <c r="I265" s="602">
        <v>0</v>
      </c>
      <c r="J265" s="602">
        <v>0</v>
      </c>
      <c r="K265" s="602">
        <v>379240369.25619799</v>
      </c>
      <c r="L265" s="602">
        <v>9684440.1300000008</v>
      </c>
      <c r="M265" s="498">
        <v>7.7242384647290603</v>
      </c>
      <c r="N265" s="602">
        <v>3.1388668298943201</v>
      </c>
      <c r="O265" s="602">
        <v>4.5853716348347398</v>
      </c>
      <c r="P265" s="498">
        <v>3935425.8712960002</v>
      </c>
      <c r="Q265" s="602">
        <v>5749014.2587040002</v>
      </c>
      <c r="R265" s="602">
        <v>0</v>
      </c>
      <c r="S265" s="602">
        <v>0</v>
      </c>
      <c r="T265" s="602">
        <v>0</v>
      </c>
      <c r="U265" s="602">
        <v>0</v>
      </c>
      <c r="V265" s="602">
        <v>0</v>
      </c>
      <c r="W265" s="602">
        <v>0</v>
      </c>
      <c r="X265" s="602">
        <v>-0.18605673581552901</v>
      </c>
      <c r="Y265" s="602">
        <v>-233272.87563900001</v>
      </c>
      <c r="Z265" s="602">
        <v>0</v>
      </c>
      <c r="AA265" s="602">
        <v>0</v>
      </c>
      <c r="AB265" s="602">
        <v>0</v>
      </c>
      <c r="AC265" s="602">
        <v>0</v>
      </c>
      <c r="AD265" s="602">
        <v>0</v>
      </c>
      <c r="AE265" s="602">
        <v>0</v>
      </c>
      <c r="AF265" s="602">
        <v>0</v>
      </c>
      <c r="AG265" s="602">
        <v>0</v>
      </c>
      <c r="AH265" s="602">
        <v>0</v>
      </c>
      <c r="AI265" s="602">
        <v>0</v>
      </c>
      <c r="AJ265" s="498">
        <v>0</v>
      </c>
      <c r="AK265" s="498">
        <v>0</v>
      </c>
      <c r="AL265" s="602">
        <v>2.9528100940165798</v>
      </c>
      <c r="AM265" s="602">
        <v>4.7714283707124796</v>
      </c>
      <c r="AN265" s="498">
        <v>3702152.9955790001</v>
      </c>
      <c r="AO265" s="603">
        <v>5982287.1344210003</v>
      </c>
    </row>
    <row r="266" spans="1:41" ht="12" thickBot="1">
      <c r="A266" s="918"/>
      <c r="B266" s="918"/>
      <c r="C266" s="917" t="s">
        <v>2746</v>
      </c>
      <c r="D266" s="917" t="s">
        <v>2746</v>
      </c>
      <c r="E266" s="917" t="s">
        <v>2746</v>
      </c>
      <c r="F266" s="917" t="s">
        <v>2746</v>
      </c>
      <c r="G266" s="600" t="s">
        <v>479</v>
      </c>
      <c r="H266" s="601">
        <v>472411</v>
      </c>
      <c r="I266" s="602">
        <v>2610000000</v>
      </c>
      <c r="J266" s="602">
        <v>0</v>
      </c>
      <c r="K266" s="602">
        <v>2682727272.7272701</v>
      </c>
      <c r="L266" s="602">
        <v>36339143.149999999</v>
      </c>
      <c r="M266" s="498">
        <v>4.0972632983888397</v>
      </c>
      <c r="N266" s="602">
        <v>3.1614694211021201</v>
      </c>
      <c r="O266" s="602">
        <v>0.93579387728671504</v>
      </c>
      <c r="P266" s="498">
        <v>28039469.638905998</v>
      </c>
      <c r="Q266" s="602">
        <v>8299673.5110940002</v>
      </c>
      <c r="R266" s="602">
        <v>0</v>
      </c>
      <c r="S266" s="602">
        <v>0</v>
      </c>
      <c r="T266" s="602">
        <v>0</v>
      </c>
      <c r="U266" s="602">
        <v>0</v>
      </c>
      <c r="V266" s="602">
        <v>0</v>
      </c>
      <c r="W266" s="602">
        <v>0</v>
      </c>
      <c r="X266" s="602">
        <v>0</v>
      </c>
      <c r="Y266" s="602">
        <v>0</v>
      </c>
      <c r="Z266" s="602">
        <v>0</v>
      </c>
      <c r="AA266" s="602">
        <v>0</v>
      </c>
      <c r="AB266" s="602">
        <v>0</v>
      </c>
      <c r="AC266" s="602">
        <v>0</v>
      </c>
      <c r="AD266" s="602">
        <v>0</v>
      </c>
      <c r="AE266" s="602">
        <v>0</v>
      </c>
      <c r="AF266" s="602">
        <v>0</v>
      </c>
      <c r="AG266" s="602">
        <v>0</v>
      </c>
      <c r="AH266" s="602">
        <v>0</v>
      </c>
      <c r="AI266" s="602">
        <v>0</v>
      </c>
      <c r="AJ266" s="498">
        <v>0</v>
      </c>
      <c r="AK266" s="498">
        <v>0</v>
      </c>
      <c r="AL266" s="602">
        <v>3.1614694211021201</v>
      </c>
      <c r="AM266" s="602">
        <v>0.93579387728671504</v>
      </c>
      <c r="AN266" s="498">
        <v>28039469.638905998</v>
      </c>
      <c r="AO266" s="603">
        <v>8299673.5110940002</v>
      </c>
    </row>
    <row r="267" spans="1:41" ht="12" thickBot="1">
      <c r="A267" s="918"/>
      <c r="B267" s="918"/>
      <c r="C267" s="918"/>
      <c r="D267" s="918"/>
      <c r="E267" s="918"/>
      <c r="F267" s="918"/>
      <c r="G267" s="600" t="s">
        <v>480</v>
      </c>
      <c r="H267" s="601">
        <v>472412</v>
      </c>
      <c r="I267" s="602">
        <v>6280000000</v>
      </c>
      <c r="J267" s="602">
        <v>0.15828031050955399</v>
      </c>
      <c r="K267" s="602">
        <v>6446115702.4793396</v>
      </c>
      <c r="L267" s="602">
        <v>99597726</v>
      </c>
      <c r="M267" s="498">
        <v>4.6735515931177698</v>
      </c>
      <c r="N267" s="602">
        <v>3.3694697943410601</v>
      </c>
      <c r="O267" s="602">
        <v>1.3040817987767199</v>
      </c>
      <c r="P267" s="498">
        <v>71806531.425960004</v>
      </c>
      <c r="Q267" s="602">
        <v>27791194.574039999</v>
      </c>
      <c r="R267" s="602">
        <v>0</v>
      </c>
      <c r="S267" s="602">
        <v>0</v>
      </c>
      <c r="T267" s="602">
        <v>0</v>
      </c>
      <c r="U267" s="602">
        <v>0</v>
      </c>
      <c r="V267" s="602">
        <v>0</v>
      </c>
      <c r="W267" s="602">
        <v>0</v>
      </c>
      <c r="X267" s="602">
        <v>0</v>
      </c>
      <c r="Y267" s="602">
        <v>0</v>
      </c>
      <c r="Z267" s="602">
        <v>0</v>
      </c>
      <c r="AA267" s="602">
        <v>0</v>
      </c>
      <c r="AB267" s="602">
        <v>0</v>
      </c>
      <c r="AC267" s="602">
        <v>0</v>
      </c>
      <c r="AD267" s="602">
        <v>0</v>
      </c>
      <c r="AE267" s="602">
        <v>0</v>
      </c>
      <c r="AF267" s="602">
        <v>0</v>
      </c>
      <c r="AG267" s="602">
        <v>0</v>
      </c>
      <c r="AH267" s="602">
        <v>0</v>
      </c>
      <c r="AI267" s="602">
        <v>0</v>
      </c>
      <c r="AJ267" s="498">
        <v>0</v>
      </c>
      <c r="AK267" s="498">
        <v>0</v>
      </c>
      <c r="AL267" s="602">
        <v>3.3694697943410601</v>
      </c>
      <c r="AM267" s="602">
        <v>1.3040817987767199</v>
      </c>
      <c r="AN267" s="498">
        <v>71806531.425960004</v>
      </c>
      <c r="AO267" s="603">
        <v>27791194.574039999</v>
      </c>
    </row>
    <row r="268" spans="1:41" ht="12" thickBot="1">
      <c r="A268" s="918"/>
      <c r="B268" s="918"/>
      <c r="C268" s="918"/>
      <c r="D268" s="918"/>
      <c r="E268" s="918"/>
      <c r="F268" s="918"/>
      <c r="G268" s="600" t="s">
        <v>2745</v>
      </c>
      <c r="H268" s="601">
        <v>472414</v>
      </c>
      <c r="I268" s="602">
        <v>4856780000</v>
      </c>
      <c r="J268" s="602">
        <v>0</v>
      </c>
      <c r="K268" s="602">
        <v>4856780000</v>
      </c>
      <c r="L268" s="602">
        <v>53556836.600000001</v>
      </c>
      <c r="M268" s="498">
        <v>3.33550964327996</v>
      </c>
      <c r="N268" s="602">
        <v>2.8770331945182601</v>
      </c>
      <c r="O268" s="602">
        <v>0.45847644876170102</v>
      </c>
      <c r="P268" s="498">
        <v>46195278.434294</v>
      </c>
      <c r="Q268" s="602">
        <v>7361558.1657060003</v>
      </c>
      <c r="R268" s="602">
        <v>0</v>
      </c>
      <c r="S268" s="602">
        <v>0</v>
      </c>
      <c r="T268" s="602">
        <v>0</v>
      </c>
      <c r="U268" s="602">
        <v>0</v>
      </c>
      <c r="V268" s="602">
        <v>0</v>
      </c>
      <c r="W268" s="602">
        <v>0</v>
      </c>
      <c r="X268" s="602">
        <v>0</v>
      </c>
      <c r="Y268" s="602">
        <v>0</v>
      </c>
      <c r="Z268" s="602">
        <v>0</v>
      </c>
      <c r="AA268" s="602">
        <v>0</v>
      </c>
      <c r="AB268" s="602">
        <v>0</v>
      </c>
      <c r="AC268" s="602">
        <v>0</v>
      </c>
      <c r="AD268" s="602">
        <v>0</v>
      </c>
      <c r="AE268" s="602">
        <v>0</v>
      </c>
      <c r="AF268" s="602">
        <v>0</v>
      </c>
      <c r="AG268" s="602">
        <v>0</v>
      </c>
      <c r="AH268" s="602">
        <v>0</v>
      </c>
      <c r="AI268" s="602">
        <v>0</v>
      </c>
      <c r="AJ268" s="498">
        <v>0</v>
      </c>
      <c r="AK268" s="498">
        <v>0</v>
      </c>
      <c r="AL268" s="602">
        <v>2.8770331945182601</v>
      </c>
      <c r="AM268" s="602">
        <v>0.45847644876170102</v>
      </c>
      <c r="AN268" s="498">
        <v>46195278.434294</v>
      </c>
      <c r="AO268" s="603">
        <v>7361558.1657060003</v>
      </c>
    </row>
    <row r="269" spans="1:41" ht="12" thickBot="1">
      <c r="A269" s="918"/>
      <c r="B269" s="918"/>
      <c r="C269" s="918"/>
      <c r="D269" s="918"/>
      <c r="E269" s="918"/>
      <c r="F269" s="918"/>
      <c r="G269" s="600" t="s">
        <v>482</v>
      </c>
      <c r="H269" s="601">
        <v>472416</v>
      </c>
      <c r="I269" s="602">
        <v>350000000</v>
      </c>
      <c r="J269" s="602">
        <v>0</v>
      </c>
      <c r="K269" s="602">
        <v>350000000</v>
      </c>
      <c r="L269" s="602">
        <v>6600227.9400000004</v>
      </c>
      <c r="M269" s="498">
        <v>5.7040930957260896</v>
      </c>
      <c r="N269" s="602">
        <v>3.15166666667829</v>
      </c>
      <c r="O269" s="602">
        <v>2.5524264290478098</v>
      </c>
      <c r="P269" s="498">
        <v>3646805.5555690001</v>
      </c>
      <c r="Q269" s="602">
        <v>2953422.3844309999</v>
      </c>
      <c r="R269" s="602">
        <v>0</v>
      </c>
      <c r="S269" s="602">
        <v>0</v>
      </c>
      <c r="T269" s="602">
        <v>0</v>
      </c>
      <c r="U269" s="602">
        <v>0</v>
      </c>
      <c r="V269" s="602">
        <v>0</v>
      </c>
      <c r="W269" s="602">
        <v>0</v>
      </c>
      <c r="X269" s="602">
        <v>0</v>
      </c>
      <c r="Y269" s="602">
        <v>0</v>
      </c>
      <c r="Z269" s="602">
        <v>0</v>
      </c>
      <c r="AA269" s="602">
        <v>0</v>
      </c>
      <c r="AB269" s="602">
        <v>0</v>
      </c>
      <c r="AC269" s="602">
        <v>0</v>
      </c>
      <c r="AD269" s="602">
        <v>0</v>
      </c>
      <c r="AE269" s="602">
        <v>0</v>
      </c>
      <c r="AF269" s="602">
        <v>0</v>
      </c>
      <c r="AG269" s="602">
        <v>0</v>
      </c>
      <c r="AH269" s="602">
        <v>0</v>
      </c>
      <c r="AI269" s="602">
        <v>0</v>
      </c>
      <c r="AJ269" s="498">
        <v>0</v>
      </c>
      <c r="AK269" s="498">
        <v>0</v>
      </c>
      <c r="AL269" s="602">
        <v>3.15166666667829</v>
      </c>
      <c r="AM269" s="602">
        <v>2.5524264290478098</v>
      </c>
      <c r="AN269" s="498">
        <v>3646805.5555690001</v>
      </c>
      <c r="AO269" s="603">
        <v>2953422.3844309999</v>
      </c>
    </row>
    <row r="270" spans="1:41" ht="12" thickBot="1">
      <c r="A270" s="918"/>
      <c r="B270" s="918"/>
      <c r="C270" s="918"/>
      <c r="D270" s="918"/>
      <c r="E270" s="918"/>
      <c r="F270" s="918"/>
      <c r="G270" s="600" t="s">
        <v>481</v>
      </c>
      <c r="H270" s="601">
        <v>472417</v>
      </c>
      <c r="I270" s="602">
        <v>19995000</v>
      </c>
      <c r="J270" s="602">
        <v>0</v>
      </c>
      <c r="K270" s="602">
        <v>310740000</v>
      </c>
      <c r="L270" s="602">
        <v>4618499.9400000004</v>
      </c>
      <c r="M270" s="498">
        <v>4.4957224956475503</v>
      </c>
      <c r="N270" s="602">
        <v>3.1510121523321799</v>
      </c>
      <c r="O270" s="602">
        <v>1.34471034331538</v>
      </c>
      <c r="P270" s="498">
        <v>3237065.7776529999</v>
      </c>
      <c r="Q270" s="602">
        <v>1381434.1623470001</v>
      </c>
      <c r="R270" s="602">
        <v>0</v>
      </c>
      <c r="S270" s="602">
        <v>0</v>
      </c>
      <c r="T270" s="602">
        <v>0</v>
      </c>
      <c r="U270" s="602">
        <v>0</v>
      </c>
      <c r="V270" s="602">
        <v>0</v>
      </c>
      <c r="W270" s="602">
        <v>0</v>
      </c>
      <c r="X270" s="602">
        <v>0</v>
      </c>
      <c r="Y270" s="602">
        <v>0</v>
      </c>
      <c r="Z270" s="602">
        <v>0</v>
      </c>
      <c r="AA270" s="602">
        <v>0</v>
      </c>
      <c r="AB270" s="602">
        <v>0</v>
      </c>
      <c r="AC270" s="602">
        <v>0</v>
      </c>
      <c r="AD270" s="602">
        <v>0</v>
      </c>
      <c r="AE270" s="602">
        <v>0</v>
      </c>
      <c r="AF270" s="602">
        <v>0</v>
      </c>
      <c r="AG270" s="602">
        <v>0</v>
      </c>
      <c r="AH270" s="602">
        <v>0</v>
      </c>
      <c r="AI270" s="602">
        <v>0</v>
      </c>
      <c r="AJ270" s="498">
        <v>0</v>
      </c>
      <c r="AK270" s="498">
        <v>0</v>
      </c>
      <c r="AL270" s="602">
        <v>3.1510121523321799</v>
      </c>
      <c r="AM270" s="602">
        <v>1.34471034331538</v>
      </c>
      <c r="AN270" s="498">
        <v>3237065.7776529999</v>
      </c>
      <c r="AO270" s="603">
        <v>1381434.1623470001</v>
      </c>
    </row>
    <row r="271" spans="1:41" ht="12" thickBot="1">
      <c r="A271" s="918"/>
      <c r="B271" s="919"/>
      <c r="C271" s="919"/>
      <c r="D271" s="919"/>
      <c r="E271" s="919"/>
      <c r="F271" s="919"/>
      <c r="G271" s="600" t="s">
        <v>485</v>
      </c>
      <c r="H271" s="601">
        <v>472418</v>
      </c>
      <c r="I271" s="602">
        <v>0</v>
      </c>
      <c r="J271" s="602">
        <v>0</v>
      </c>
      <c r="K271" s="602">
        <v>500000000</v>
      </c>
      <c r="L271" s="602">
        <v>4861951.6100000003</v>
      </c>
      <c r="M271" s="498">
        <v>2.94127981695868</v>
      </c>
      <c r="N271" s="602">
        <v>3.0601170743688901</v>
      </c>
      <c r="O271" s="602">
        <v>-0.118837257410212</v>
      </c>
      <c r="P271" s="498">
        <v>5058390.2458830001</v>
      </c>
      <c r="Q271" s="602">
        <v>-196438.63588300001</v>
      </c>
      <c r="R271" s="602">
        <v>0</v>
      </c>
      <c r="S271" s="602">
        <v>0</v>
      </c>
      <c r="T271" s="602">
        <v>0</v>
      </c>
      <c r="U271" s="602">
        <v>0</v>
      </c>
      <c r="V271" s="602">
        <v>0</v>
      </c>
      <c r="W271" s="602">
        <v>0</v>
      </c>
      <c r="X271" s="602">
        <v>-0.19999999998598</v>
      </c>
      <c r="Y271" s="602">
        <v>-330601.09287300002</v>
      </c>
      <c r="Z271" s="602">
        <v>0</v>
      </c>
      <c r="AA271" s="602">
        <v>0</v>
      </c>
      <c r="AB271" s="602">
        <v>0</v>
      </c>
      <c r="AC271" s="602">
        <v>0</v>
      </c>
      <c r="AD271" s="602">
        <v>0</v>
      </c>
      <c r="AE271" s="602">
        <v>0</v>
      </c>
      <c r="AF271" s="602">
        <v>0</v>
      </c>
      <c r="AG271" s="602">
        <v>0</v>
      </c>
      <c r="AH271" s="602">
        <v>0</v>
      </c>
      <c r="AI271" s="602">
        <v>0</v>
      </c>
      <c r="AJ271" s="498">
        <v>0</v>
      </c>
      <c r="AK271" s="498">
        <v>0</v>
      </c>
      <c r="AL271" s="602">
        <v>2.8601170743829099</v>
      </c>
      <c r="AM271" s="602">
        <v>8.1162742575768998E-2</v>
      </c>
      <c r="AN271" s="498">
        <v>4727789.1530099995</v>
      </c>
      <c r="AO271" s="603">
        <v>134162.45699000001</v>
      </c>
    </row>
    <row r="272" spans="1:41" ht="12" thickBot="1">
      <c r="A272" s="918"/>
      <c r="B272" s="917" t="s">
        <v>2748</v>
      </c>
      <c r="C272" s="600" t="s">
        <v>2749</v>
      </c>
      <c r="D272" s="600" t="s">
        <v>2749</v>
      </c>
      <c r="E272" s="600" t="s">
        <v>2749</v>
      </c>
      <c r="F272" s="600" t="s">
        <v>2749</v>
      </c>
      <c r="G272" s="600" t="s">
        <v>2749</v>
      </c>
      <c r="H272" s="601">
        <v>472553</v>
      </c>
      <c r="I272" s="602">
        <v>91200811952.360001</v>
      </c>
      <c r="J272" s="602">
        <v>3.9171964150803998E-2</v>
      </c>
      <c r="K272" s="602">
        <v>87971142325.120804</v>
      </c>
      <c r="L272" s="602">
        <v>1411759794.9100001</v>
      </c>
      <c r="M272" s="498">
        <v>4.8541846574104399</v>
      </c>
      <c r="N272" s="602">
        <v>3.7363552859224098</v>
      </c>
      <c r="O272" s="602">
        <v>1.1178293714880201</v>
      </c>
      <c r="P272" s="498">
        <v>1086657501.6078401</v>
      </c>
      <c r="Q272" s="602">
        <v>325102293.30216199</v>
      </c>
      <c r="R272" s="602">
        <v>0</v>
      </c>
      <c r="S272" s="602">
        <v>0</v>
      </c>
      <c r="T272" s="602">
        <v>0</v>
      </c>
      <c r="U272" s="602">
        <v>0</v>
      </c>
      <c r="V272" s="602">
        <v>0</v>
      </c>
      <c r="W272" s="602">
        <v>0</v>
      </c>
      <c r="X272" s="602">
        <v>0</v>
      </c>
      <c r="Y272" s="602">
        <v>0</v>
      </c>
      <c r="Z272" s="602">
        <v>0</v>
      </c>
      <c r="AA272" s="602">
        <v>0</v>
      </c>
      <c r="AB272" s="602">
        <v>0</v>
      </c>
      <c r="AC272" s="602">
        <v>0</v>
      </c>
      <c r="AD272" s="602">
        <v>0</v>
      </c>
      <c r="AE272" s="602">
        <v>0</v>
      </c>
      <c r="AF272" s="602">
        <v>0</v>
      </c>
      <c r="AG272" s="602">
        <v>0</v>
      </c>
      <c r="AH272" s="602">
        <v>0</v>
      </c>
      <c r="AI272" s="602">
        <v>0</v>
      </c>
      <c r="AJ272" s="498">
        <v>0</v>
      </c>
      <c r="AK272" s="498">
        <v>0</v>
      </c>
      <c r="AL272" s="602">
        <v>3.7363552859224098</v>
      </c>
      <c r="AM272" s="602">
        <v>1.1178293714880201</v>
      </c>
      <c r="AN272" s="498">
        <v>1086657501.6078401</v>
      </c>
      <c r="AO272" s="603">
        <v>325102293.30216199</v>
      </c>
    </row>
    <row r="273" spans="1:41" ht="12" thickBot="1">
      <c r="A273" s="918"/>
      <c r="B273" s="918"/>
      <c r="C273" s="917" t="s">
        <v>483</v>
      </c>
      <c r="D273" s="917" t="s">
        <v>483</v>
      </c>
      <c r="E273" s="917" t="s">
        <v>483</v>
      </c>
      <c r="F273" s="917" t="s">
        <v>483</v>
      </c>
      <c r="G273" s="600" t="s">
        <v>2750</v>
      </c>
      <c r="H273" s="601">
        <v>472551</v>
      </c>
      <c r="I273" s="602">
        <v>13993940000</v>
      </c>
      <c r="J273" s="602">
        <v>5.0203699601398998E-2</v>
      </c>
      <c r="K273" s="602">
        <v>12692166115.702499</v>
      </c>
      <c r="L273" s="602">
        <v>0</v>
      </c>
      <c r="M273" s="498">
        <v>0</v>
      </c>
      <c r="N273" s="602">
        <v>0</v>
      </c>
      <c r="O273" s="602">
        <v>0</v>
      </c>
      <c r="P273" s="498">
        <v>0</v>
      </c>
      <c r="Q273" s="602">
        <v>0</v>
      </c>
      <c r="R273" s="602">
        <v>0</v>
      </c>
      <c r="S273" s="602">
        <v>0</v>
      </c>
      <c r="T273" s="602">
        <v>0</v>
      </c>
      <c r="U273" s="602">
        <v>0</v>
      </c>
      <c r="V273" s="602">
        <v>0</v>
      </c>
      <c r="W273" s="602">
        <v>0</v>
      </c>
      <c r="X273" s="602">
        <v>0</v>
      </c>
      <c r="Y273" s="602">
        <v>0</v>
      </c>
      <c r="Z273" s="602">
        <v>0</v>
      </c>
      <c r="AA273" s="602">
        <v>0</v>
      </c>
      <c r="AB273" s="602">
        <v>0</v>
      </c>
      <c r="AC273" s="602">
        <v>0</v>
      </c>
      <c r="AD273" s="602">
        <v>0</v>
      </c>
      <c r="AE273" s="602">
        <v>0</v>
      </c>
      <c r="AF273" s="602">
        <v>0</v>
      </c>
      <c r="AG273" s="602">
        <v>0</v>
      </c>
      <c r="AH273" s="602">
        <v>0</v>
      </c>
      <c r="AI273" s="602">
        <v>0</v>
      </c>
      <c r="AJ273" s="498">
        <v>0</v>
      </c>
      <c r="AK273" s="498">
        <v>0</v>
      </c>
      <c r="AL273" s="602">
        <v>0</v>
      </c>
      <c r="AM273" s="602">
        <v>0</v>
      </c>
      <c r="AN273" s="498">
        <v>0</v>
      </c>
      <c r="AO273" s="603">
        <v>0</v>
      </c>
    </row>
    <row r="274" spans="1:41" ht="12" thickBot="1">
      <c r="A274" s="918"/>
      <c r="B274" s="918"/>
      <c r="C274" s="918"/>
      <c r="D274" s="918"/>
      <c r="E274" s="918"/>
      <c r="F274" s="918"/>
      <c r="G274" s="600" t="s">
        <v>2751</v>
      </c>
      <c r="H274" s="601">
        <v>472552</v>
      </c>
      <c r="I274" s="602">
        <v>18921200000</v>
      </c>
      <c r="J274" s="602">
        <v>4.5581035822252002E-2</v>
      </c>
      <c r="K274" s="602">
        <v>16048927024.7934</v>
      </c>
      <c r="L274" s="602">
        <v>0</v>
      </c>
      <c r="M274" s="498">
        <v>0</v>
      </c>
      <c r="N274" s="602">
        <v>0</v>
      </c>
      <c r="O274" s="602">
        <v>0</v>
      </c>
      <c r="P274" s="498">
        <v>0</v>
      </c>
      <c r="Q274" s="602">
        <v>0</v>
      </c>
      <c r="R274" s="602">
        <v>0</v>
      </c>
      <c r="S274" s="602">
        <v>0</v>
      </c>
      <c r="T274" s="602">
        <v>0</v>
      </c>
      <c r="U274" s="602">
        <v>0</v>
      </c>
      <c r="V274" s="602">
        <v>0</v>
      </c>
      <c r="W274" s="602">
        <v>0</v>
      </c>
      <c r="X274" s="602">
        <v>0</v>
      </c>
      <c r="Y274" s="602">
        <v>0</v>
      </c>
      <c r="Z274" s="602">
        <v>0</v>
      </c>
      <c r="AA274" s="602">
        <v>0</v>
      </c>
      <c r="AB274" s="602">
        <v>0</v>
      </c>
      <c r="AC274" s="602">
        <v>0</v>
      </c>
      <c r="AD274" s="602">
        <v>0</v>
      </c>
      <c r="AE274" s="602">
        <v>0</v>
      </c>
      <c r="AF274" s="602">
        <v>0</v>
      </c>
      <c r="AG274" s="602">
        <v>0</v>
      </c>
      <c r="AH274" s="602">
        <v>0</v>
      </c>
      <c r="AI274" s="602">
        <v>0</v>
      </c>
      <c r="AJ274" s="498">
        <v>0</v>
      </c>
      <c r="AK274" s="498">
        <v>0</v>
      </c>
      <c r="AL274" s="602">
        <v>0</v>
      </c>
      <c r="AM274" s="602">
        <v>0</v>
      </c>
      <c r="AN274" s="498">
        <v>0</v>
      </c>
      <c r="AO274" s="603">
        <v>0</v>
      </c>
    </row>
    <row r="275" spans="1:41" ht="12" thickBot="1">
      <c r="A275" s="918"/>
      <c r="B275" s="918"/>
      <c r="C275" s="918"/>
      <c r="D275" s="918"/>
      <c r="E275" s="918"/>
      <c r="F275" s="918"/>
      <c r="G275" s="600" t="s">
        <v>2752</v>
      </c>
      <c r="H275" s="601">
        <v>472559</v>
      </c>
      <c r="I275" s="602">
        <v>59200000000</v>
      </c>
      <c r="J275" s="602">
        <v>6.61</v>
      </c>
      <c r="K275" s="602">
        <v>35002925619.834702</v>
      </c>
      <c r="L275" s="602">
        <v>0</v>
      </c>
      <c r="M275" s="498">
        <v>0</v>
      </c>
      <c r="N275" s="602">
        <v>0</v>
      </c>
      <c r="O275" s="602">
        <v>0</v>
      </c>
      <c r="P275" s="498">
        <v>0</v>
      </c>
      <c r="Q275" s="602">
        <v>0</v>
      </c>
      <c r="R275" s="602">
        <v>0</v>
      </c>
      <c r="S275" s="602">
        <v>0</v>
      </c>
      <c r="T275" s="602">
        <v>0</v>
      </c>
      <c r="U275" s="602">
        <v>0</v>
      </c>
      <c r="V275" s="602">
        <v>0</v>
      </c>
      <c r="W275" s="602">
        <v>0</v>
      </c>
      <c r="X275" s="602">
        <v>0</v>
      </c>
      <c r="Y275" s="602">
        <v>0</v>
      </c>
      <c r="Z275" s="602">
        <v>0</v>
      </c>
      <c r="AA275" s="602">
        <v>0</v>
      </c>
      <c r="AB275" s="602">
        <v>0</v>
      </c>
      <c r="AC275" s="602">
        <v>0</v>
      </c>
      <c r="AD275" s="602">
        <v>0</v>
      </c>
      <c r="AE275" s="602">
        <v>0</v>
      </c>
      <c r="AF275" s="602">
        <v>0</v>
      </c>
      <c r="AG275" s="602">
        <v>0</v>
      </c>
      <c r="AH275" s="602">
        <v>0</v>
      </c>
      <c r="AI275" s="602">
        <v>0</v>
      </c>
      <c r="AJ275" s="498">
        <v>0</v>
      </c>
      <c r="AK275" s="498">
        <v>0</v>
      </c>
      <c r="AL275" s="602">
        <v>0</v>
      </c>
      <c r="AM275" s="602">
        <v>0</v>
      </c>
      <c r="AN275" s="498">
        <v>0</v>
      </c>
      <c r="AO275" s="603">
        <v>0</v>
      </c>
    </row>
    <row r="276" spans="1:41" ht="12" thickBot="1">
      <c r="A276" s="918"/>
      <c r="B276" s="918"/>
      <c r="C276" s="919"/>
      <c r="D276" s="919"/>
      <c r="E276" s="919"/>
      <c r="F276" s="919"/>
      <c r="G276" s="600" t="s">
        <v>2753</v>
      </c>
      <c r="H276" s="601">
        <v>472574</v>
      </c>
      <c r="I276" s="602">
        <v>92842489227.380005</v>
      </c>
      <c r="J276" s="602">
        <v>5.8671886222878E-2</v>
      </c>
      <c r="K276" s="602">
        <v>65391508740.129898</v>
      </c>
      <c r="L276" s="602">
        <v>334837929.81999999</v>
      </c>
      <c r="M276" s="498">
        <v>1.5488487356057701</v>
      </c>
      <c r="N276" s="602">
        <v>0</v>
      </c>
      <c r="O276" s="602">
        <v>1.5488487356057701</v>
      </c>
      <c r="P276" s="498">
        <v>0</v>
      </c>
      <c r="Q276" s="602">
        <v>334837929.81999999</v>
      </c>
      <c r="R276" s="602">
        <v>0</v>
      </c>
      <c r="S276" s="602">
        <v>0</v>
      </c>
      <c r="T276" s="602">
        <v>0</v>
      </c>
      <c r="U276" s="602">
        <v>0</v>
      </c>
      <c r="V276" s="602">
        <v>0</v>
      </c>
      <c r="W276" s="602">
        <v>0</v>
      </c>
      <c r="X276" s="602">
        <v>0</v>
      </c>
      <c r="Y276" s="602">
        <v>0</v>
      </c>
      <c r="Z276" s="602">
        <v>0</v>
      </c>
      <c r="AA276" s="602">
        <v>0</v>
      </c>
      <c r="AB276" s="602">
        <v>0</v>
      </c>
      <c r="AC276" s="602">
        <v>0</v>
      </c>
      <c r="AD276" s="602">
        <v>0</v>
      </c>
      <c r="AE276" s="602">
        <v>0</v>
      </c>
      <c r="AF276" s="602">
        <v>0</v>
      </c>
      <c r="AG276" s="602">
        <v>0</v>
      </c>
      <c r="AH276" s="602">
        <v>0</v>
      </c>
      <c r="AI276" s="602">
        <v>0</v>
      </c>
      <c r="AJ276" s="498">
        <v>0</v>
      </c>
      <c r="AK276" s="498">
        <v>0</v>
      </c>
      <c r="AL276" s="602">
        <v>0</v>
      </c>
      <c r="AM276" s="602">
        <v>1.5488487356057701</v>
      </c>
      <c r="AN276" s="498">
        <v>0</v>
      </c>
      <c r="AO276" s="603">
        <v>334837929.81999999</v>
      </c>
    </row>
    <row r="277" spans="1:41" ht="12" thickBot="1">
      <c r="A277" s="918"/>
      <c r="B277" s="918"/>
      <c r="C277" s="917" t="s">
        <v>2754</v>
      </c>
      <c r="D277" s="917" t="s">
        <v>2754</v>
      </c>
      <c r="E277" s="917" t="s">
        <v>2754</v>
      </c>
      <c r="F277" s="917" t="s">
        <v>2754</v>
      </c>
      <c r="G277" s="600" t="s">
        <v>2755</v>
      </c>
      <c r="H277" s="601">
        <v>472555</v>
      </c>
      <c r="I277" s="602">
        <v>6950000000</v>
      </c>
      <c r="J277" s="602">
        <v>3.4079136690647001E-2</v>
      </c>
      <c r="K277" s="602">
        <v>7389421487.6033096</v>
      </c>
      <c r="L277" s="602">
        <v>801583.33</v>
      </c>
      <c r="M277" s="498">
        <v>3.2812094436988001E-2</v>
      </c>
      <c r="N277" s="602">
        <v>0</v>
      </c>
      <c r="O277" s="602">
        <v>-3.2812094436988001E-2</v>
      </c>
      <c r="P277" s="498">
        <v>0</v>
      </c>
      <c r="Q277" s="602">
        <v>-801583.33</v>
      </c>
      <c r="R277" s="602">
        <v>0</v>
      </c>
      <c r="S277" s="602">
        <v>0</v>
      </c>
      <c r="T277" s="602">
        <v>0</v>
      </c>
      <c r="U277" s="602">
        <v>0</v>
      </c>
      <c r="V277" s="602">
        <v>0</v>
      </c>
      <c r="W277" s="602">
        <v>0</v>
      </c>
      <c r="X277" s="602">
        <v>0</v>
      </c>
      <c r="Y277" s="602">
        <v>0</v>
      </c>
      <c r="Z277" s="602">
        <v>0</v>
      </c>
      <c r="AA277" s="602">
        <v>0</v>
      </c>
      <c r="AB277" s="602">
        <v>0</v>
      </c>
      <c r="AC277" s="602">
        <v>0</v>
      </c>
      <c r="AD277" s="602">
        <v>0</v>
      </c>
      <c r="AE277" s="602">
        <v>0</v>
      </c>
      <c r="AF277" s="602">
        <v>0</v>
      </c>
      <c r="AG277" s="602">
        <v>0</v>
      </c>
      <c r="AH277" s="602">
        <v>0</v>
      </c>
      <c r="AI277" s="602">
        <v>0</v>
      </c>
      <c r="AJ277" s="498">
        <v>0</v>
      </c>
      <c r="AK277" s="498">
        <v>0</v>
      </c>
      <c r="AL277" s="602">
        <v>0</v>
      </c>
      <c r="AM277" s="602">
        <v>-3.2812094436988001E-2</v>
      </c>
      <c r="AN277" s="498">
        <v>0</v>
      </c>
      <c r="AO277" s="603">
        <v>-801583.33</v>
      </c>
    </row>
    <row r="278" spans="1:41" ht="12" thickBot="1">
      <c r="A278" s="918"/>
      <c r="B278" s="918"/>
      <c r="C278" s="918"/>
      <c r="D278" s="918"/>
      <c r="E278" s="918"/>
      <c r="F278" s="918"/>
      <c r="G278" s="600" t="s">
        <v>2756</v>
      </c>
      <c r="H278" s="601">
        <v>472557</v>
      </c>
      <c r="I278" s="602">
        <v>20319200000</v>
      </c>
      <c r="J278" s="602">
        <v>3.7461278003071002E-2</v>
      </c>
      <c r="K278" s="602">
        <v>18288936363.636398</v>
      </c>
      <c r="L278" s="602">
        <v>0</v>
      </c>
      <c r="M278" s="498">
        <v>0</v>
      </c>
      <c r="N278" s="602">
        <v>0</v>
      </c>
      <c r="O278" s="602">
        <v>0</v>
      </c>
      <c r="P278" s="498">
        <v>0</v>
      </c>
      <c r="Q278" s="602">
        <v>0</v>
      </c>
      <c r="R278" s="602">
        <v>0</v>
      </c>
      <c r="S278" s="602">
        <v>0</v>
      </c>
      <c r="T278" s="602">
        <v>0</v>
      </c>
      <c r="U278" s="602">
        <v>0</v>
      </c>
      <c r="V278" s="602">
        <v>0</v>
      </c>
      <c r="W278" s="602">
        <v>0</v>
      </c>
      <c r="X278" s="602">
        <v>0</v>
      </c>
      <c r="Y278" s="602">
        <v>0</v>
      </c>
      <c r="Z278" s="602">
        <v>0</v>
      </c>
      <c r="AA278" s="602">
        <v>0</v>
      </c>
      <c r="AB278" s="602">
        <v>0</v>
      </c>
      <c r="AC278" s="602">
        <v>0</v>
      </c>
      <c r="AD278" s="602">
        <v>0</v>
      </c>
      <c r="AE278" s="602">
        <v>0</v>
      </c>
      <c r="AF278" s="602">
        <v>0</v>
      </c>
      <c r="AG278" s="602">
        <v>0</v>
      </c>
      <c r="AH278" s="602">
        <v>0</v>
      </c>
      <c r="AI278" s="602">
        <v>0</v>
      </c>
      <c r="AJ278" s="498">
        <v>0</v>
      </c>
      <c r="AK278" s="498">
        <v>0</v>
      </c>
      <c r="AL278" s="602">
        <v>0</v>
      </c>
      <c r="AM278" s="602">
        <v>0</v>
      </c>
      <c r="AN278" s="498">
        <v>0</v>
      </c>
      <c r="AO278" s="603">
        <v>0</v>
      </c>
    </row>
    <row r="279" spans="1:41" ht="12" thickBot="1">
      <c r="A279" s="918"/>
      <c r="B279" s="918"/>
      <c r="C279" s="918"/>
      <c r="D279" s="918"/>
      <c r="E279" s="918"/>
      <c r="F279" s="918"/>
      <c r="G279" s="600" t="s">
        <v>2757</v>
      </c>
      <c r="H279" s="601">
        <v>472560</v>
      </c>
      <c r="I279" s="602">
        <v>11560274000</v>
      </c>
      <c r="J279" s="602">
        <v>3.5226581127748E-2</v>
      </c>
      <c r="K279" s="602">
        <v>10959832611.570299</v>
      </c>
      <c r="L279" s="602">
        <v>0</v>
      </c>
      <c r="M279" s="498">
        <v>0</v>
      </c>
      <c r="N279" s="602">
        <v>0</v>
      </c>
      <c r="O279" s="602">
        <v>0</v>
      </c>
      <c r="P279" s="498">
        <v>0</v>
      </c>
      <c r="Q279" s="602">
        <v>0</v>
      </c>
      <c r="R279" s="602">
        <v>0</v>
      </c>
      <c r="S279" s="602">
        <v>0</v>
      </c>
      <c r="T279" s="602">
        <v>0</v>
      </c>
      <c r="U279" s="602">
        <v>0</v>
      </c>
      <c r="V279" s="602">
        <v>0</v>
      </c>
      <c r="W279" s="602">
        <v>0</v>
      </c>
      <c r="X279" s="602">
        <v>0</v>
      </c>
      <c r="Y279" s="602">
        <v>0</v>
      </c>
      <c r="Z279" s="602">
        <v>0</v>
      </c>
      <c r="AA279" s="602">
        <v>0</v>
      </c>
      <c r="AB279" s="602">
        <v>0</v>
      </c>
      <c r="AC279" s="602">
        <v>0</v>
      </c>
      <c r="AD279" s="602">
        <v>0</v>
      </c>
      <c r="AE279" s="602">
        <v>0</v>
      </c>
      <c r="AF279" s="602">
        <v>0</v>
      </c>
      <c r="AG279" s="602">
        <v>0</v>
      </c>
      <c r="AH279" s="602">
        <v>0</v>
      </c>
      <c r="AI279" s="602">
        <v>0</v>
      </c>
      <c r="AJ279" s="498">
        <v>0</v>
      </c>
      <c r="AK279" s="498">
        <v>0</v>
      </c>
      <c r="AL279" s="602">
        <v>0</v>
      </c>
      <c r="AM279" s="602">
        <v>0</v>
      </c>
      <c r="AN279" s="498">
        <v>0</v>
      </c>
      <c r="AO279" s="603">
        <v>0</v>
      </c>
    </row>
    <row r="280" spans="1:41" ht="12" thickBot="1">
      <c r="A280" s="918"/>
      <c r="B280" s="919"/>
      <c r="C280" s="919"/>
      <c r="D280" s="919"/>
      <c r="E280" s="919"/>
      <c r="F280" s="919"/>
      <c r="G280" s="600" t="s">
        <v>136</v>
      </c>
      <c r="H280" s="601">
        <v>472573</v>
      </c>
      <c r="I280" s="602">
        <v>39833506974.830002</v>
      </c>
      <c r="J280" s="602">
        <v>5.6345756848437997E-2</v>
      </c>
      <c r="K280" s="602">
        <v>38308861187.9515</v>
      </c>
      <c r="L280" s="602">
        <v>179499203.41999999</v>
      </c>
      <c r="M280" s="498">
        <v>1.41729090058147</v>
      </c>
      <c r="N280" s="602">
        <v>0</v>
      </c>
      <c r="O280" s="602">
        <v>1.41729090058147</v>
      </c>
      <c r="P280" s="498">
        <v>0</v>
      </c>
      <c r="Q280" s="602">
        <v>179499203.41999999</v>
      </c>
      <c r="R280" s="602">
        <v>0</v>
      </c>
      <c r="S280" s="602">
        <v>0</v>
      </c>
      <c r="T280" s="602">
        <v>0</v>
      </c>
      <c r="U280" s="602">
        <v>0</v>
      </c>
      <c r="V280" s="602">
        <v>0</v>
      </c>
      <c r="W280" s="602">
        <v>0</v>
      </c>
      <c r="X280" s="602">
        <v>0</v>
      </c>
      <c r="Y280" s="602">
        <v>0</v>
      </c>
      <c r="Z280" s="602">
        <v>0</v>
      </c>
      <c r="AA280" s="602">
        <v>0</v>
      </c>
      <c r="AB280" s="602">
        <v>0</v>
      </c>
      <c r="AC280" s="602">
        <v>0</v>
      </c>
      <c r="AD280" s="602">
        <v>0</v>
      </c>
      <c r="AE280" s="602">
        <v>0</v>
      </c>
      <c r="AF280" s="602">
        <v>0</v>
      </c>
      <c r="AG280" s="602">
        <v>0</v>
      </c>
      <c r="AH280" s="602">
        <v>0</v>
      </c>
      <c r="AI280" s="602">
        <v>0</v>
      </c>
      <c r="AJ280" s="498">
        <v>0</v>
      </c>
      <c r="AK280" s="498">
        <v>0</v>
      </c>
      <c r="AL280" s="602">
        <v>0</v>
      </c>
      <c r="AM280" s="602">
        <v>1.41729090058147</v>
      </c>
      <c r="AN280" s="498">
        <v>0</v>
      </c>
      <c r="AO280" s="603">
        <v>179499203.41999999</v>
      </c>
    </row>
    <row r="281" spans="1:41" ht="12" thickBot="1">
      <c r="A281" s="918"/>
      <c r="B281" s="917" t="s">
        <v>1662</v>
      </c>
      <c r="C281" s="917" t="s">
        <v>1662</v>
      </c>
      <c r="D281" s="917" t="s">
        <v>1662</v>
      </c>
      <c r="E281" s="917" t="s">
        <v>1662</v>
      </c>
      <c r="F281" s="917" t="s">
        <v>1662</v>
      </c>
      <c r="G281" s="600" t="s">
        <v>2758</v>
      </c>
      <c r="H281" s="601">
        <v>473102</v>
      </c>
      <c r="I281" s="602">
        <v>39040000000</v>
      </c>
      <c r="J281" s="602">
        <v>0</v>
      </c>
      <c r="K281" s="602">
        <v>14300082644.628099</v>
      </c>
      <c r="L281" s="602">
        <v>0</v>
      </c>
      <c r="M281" s="498">
        <v>0</v>
      </c>
      <c r="N281" s="602">
        <v>2.0109765581888999</v>
      </c>
      <c r="O281" s="602">
        <v>2.0109765581888999</v>
      </c>
      <c r="P281" s="498">
        <v>95071389.300541997</v>
      </c>
      <c r="Q281" s="602">
        <v>95071389.300541997</v>
      </c>
      <c r="R281" s="602">
        <v>0</v>
      </c>
      <c r="S281" s="602">
        <v>0</v>
      </c>
      <c r="T281" s="602">
        <v>0</v>
      </c>
      <c r="U281" s="602">
        <v>0</v>
      </c>
      <c r="V281" s="602">
        <v>0</v>
      </c>
      <c r="W281" s="602">
        <v>0</v>
      </c>
      <c r="X281" s="602">
        <v>0</v>
      </c>
      <c r="Y281" s="602">
        <v>0</v>
      </c>
      <c r="Z281" s="602">
        <v>0</v>
      </c>
      <c r="AA281" s="602">
        <v>0</v>
      </c>
      <c r="AB281" s="602">
        <v>0</v>
      </c>
      <c r="AC281" s="602">
        <v>0</v>
      </c>
      <c r="AD281" s="602">
        <v>0</v>
      </c>
      <c r="AE281" s="602">
        <v>0</v>
      </c>
      <c r="AF281" s="602">
        <v>0</v>
      </c>
      <c r="AG281" s="602">
        <v>0</v>
      </c>
      <c r="AH281" s="602">
        <v>0</v>
      </c>
      <c r="AI281" s="602">
        <v>0</v>
      </c>
      <c r="AJ281" s="498">
        <v>0</v>
      </c>
      <c r="AK281" s="498">
        <v>0</v>
      </c>
      <c r="AL281" s="602">
        <v>2.0109765581888999</v>
      </c>
      <c r="AM281" s="602">
        <v>2.0109765581888999</v>
      </c>
      <c r="AN281" s="498">
        <v>95071389.300541997</v>
      </c>
      <c r="AO281" s="603">
        <v>95071389.300541997</v>
      </c>
    </row>
    <row r="282" spans="1:41" ht="12" thickBot="1">
      <c r="A282" s="918"/>
      <c r="B282" s="919"/>
      <c r="C282" s="919"/>
      <c r="D282" s="919"/>
      <c r="E282" s="919"/>
      <c r="F282" s="919"/>
      <c r="G282" s="600" t="s">
        <v>2877</v>
      </c>
      <c r="H282" s="601">
        <v>473103</v>
      </c>
      <c r="I282" s="602">
        <v>20230000000</v>
      </c>
      <c r="J282" s="602">
        <v>0</v>
      </c>
      <c r="K282" s="602">
        <v>11251239669.421499</v>
      </c>
      <c r="L282" s="602">
        <v>0</v>
      </c>
      <c r="M282" s="498">
        <v>0</v>
      </c>
      <c r="N282" s="602">
        <v>0</v>
      </c>
      <c r="O282" s="602">
        <v>0</v>
      </c>
      <c r="P282" s="498">
        <v>0</v>
      </c>
      <c r="Q282" s="602">
        <v>0</v>
      </c>
      <c r="R282" s="602">
        <v>0</v>
      </c>
      <c r="S282" s="602">
        <v>0</v>
      </c>
      <c r="T282" s="602">
        <v>0</v>
      </c>
      <c r="U282" s="602">
        <v>0</v>
      </c>
      <c r="V282" s="602">
        <v>0</v>
      </c>
      <c r="W282" s="602">
        <v>0</v>
      </c>
      <c r="X282" s="602">
        <v>0</v>
      </c>
      <c r="Y282" s="602">
        <v>0</v>
      </c>
      <c r="Z282" s="602">
        <v>0</v>
      </c>
      <c r="AA282" s="602">
        <v>0</v>
      </c>
      <c r="AB282" s="602">
        <v>0</v>
      </c>
      <c r="AC282" s="602">
        <v>0</v>
      </c>
      <c r="AD282" s="602">
        <v>0</v>
      </c>
      <c r="AE282" s="602">
        <v>0</v>
      </c>
      <c r="AF282" s="602">
        <v>0</v>
      </c>
      <c r="AG282" s="602">
        <v>0</v>
      </c>
      <c r="AH282" s="602">
        <v>0</v>
      </c>
      <c r="AI282" s="602">
        <v>0</v>
      </c>
      <c r="AJ282" s="498">
        <v>0</v>
      </c>
      <c r="AK282" s="498">
        <v>0</v>
      </c>
      <c r="AL282" s="602">
        <v>0</v>
      </c>
      <c r="AM282" s="602">
        <v>0</v>
      </c>
      <c r="AN282" s="498">
        <v>0</v>
      </c>
      <c r="AO282" s="603">
        <v>0</v>
      </c>
    </row>
    <row r="283" spans="1:41" ht="12" thickBot="1">
      <c r="A283" s="918"/>
      <c r="B283" s="600" t="s">
        <v>486</v>
      </c>
      <c r="C283" s="600" t="s">
        <v>486</v>
      </c>
      <c r="D283" s="600" t="s">
        <v>486</v>
      </c>
      <c r="E283" s="600" t="s">
        <v>486</v>
      </c>
      <c r="F283" s="600" t="s">
        <v>486</v>
      </c>
      <c r="G283" s="600" t="s">
        <v>486</v>
      </c>
      <c r="H283" s="601">
        <v>473501</v>
      </c>
      <c r="I283" s="602">
        <v>2341512545.1357698</v>
      </c>
      <c r="J283" s="602">
        <v>0</v>
      </c>
      <c r="K283" s="602">
        <v>2747541973.93151</v>
      </c>
      <c r="L283" s="602">
        <v>0</v>
      </c>
      <c r="M283" s="498">
        <v>0</v>
      </c>
      <c r="N283" s="602">
        <v>3.4878254534694899</v>
      </c>
      <c r="O283" s="602">
        <v>-3.4878254534694899</v>
      </c>
      <c r="P283" s="498">
        <v>31681326.955455001</v>
      </c>
      <c r="Q283" s="602">
        <v>-31681326.955455001</v>
      </c>
      <c r="R283" s="602">
        <v>0</v>
      </c>
      <c r="S283" s="602">
        <v>0</v>
      </c>
      <c r="T283" s="602">
        <v>0</v>
      </c>
      <c r="U283" s="602">
        <v>0</v>
      </c>
      <c r="V283" s="602">
        <v>0</v>
      </c>
      <c r="W283" s="602">
        <v>0</v>
      </c>
      <c r="X283" s="602">
        <v>0</v>
      </c>
      <c r="Y283" s="602">
        <v>0</v>
      </c>
      <c r="Z283" s="602">
        <v>0</v>
      </c>
      <c r="AA283" s="602">
        <v>0</v>
      </c>
      <c r="AB283" s="602">
        <v>0</v>
      </c>
      <c r="AC283" s="602">
        <v>0</v>
      </c>
      <c r="AD283" s="602">
        <v>0</v>
      </c>
      <c r="AE283" s="602">
        <v>0</v>
      </c>
      <c r="AF283" s="602">
        <v>0</v>
      </c>
      <c r="AG283" s="602">
        <v>0</v>
      </c>
      <c r="AH283" s="602">
        <v>0</v>
      </c>
      <c r="AI283" s="602">
        <v>0</v>
      </c>
      <c r="AJ283" s="498">
        <v>0</v>
      </c>
      <c r="AK283" s="498">
        <v>0</v>
      </c>
      <c r="AL283" s="602">
        <v>3.4878254534694899</v>
      </c>
      <c r="AM283" s="602">
        <v>-3.4878254534694899</v>
      </c>
      <c r="AN283" s="498">
        <v>31681326.955455001</v>
      </c>
      <c r="AO283" s="603">
        <v>-31681326.955455001</v>
      </c>
    </row>
    <row r="284" spans="1:41" ht="12" thickBot="1">
      <c r="A284" s="918"/>
      <c r="B284" s="600" t="s">
        <v>487</v>
      </c>
      <c r="C284" s="600" t="s">
        <v>487</v>
      </c>
      <c r="D284" s="600" t="s">
        <v>487</v>
      </c>
      <c r="E284" s="600" t="s">
        <v>487</v>
      </c>
      <c r="F284" s="600" t="s">
        <v>487</v>
      </c>
      <c r="G284" s="600" t="s">
        <v>487</v>
      </c>
      <c r="H284" s="601">
        <v>474001</v>
      </c>
      <c r="I284" s="602">
        <v>58962568109.198799</v>
      </c>
      <c r="J284" s="602">
        <v>1.6166666265576</v>
      </c>
      <c r="K284" s="602">
        <v>55520389928.901497</v>
      </c>
      <c r="L284" s="602">
        <v>185671481.25999999</v>
      </c>
      <c r="M284" s="498">
        <v>1.0115524578527</v>
      </c>
      <c r="N284" s="602">
        <v>3.4927743556617301</v>
      </c>
      <c r="O284" s="602">
        <v>-2.4812218978090299</v>
      </c>
      <c r="P284" s="498">
        <v>641102281.23936701</v>
      </c>
      <c r="Q284" s="602">
        <v>-455430799.97936702</v>
      </c>
      <c r="R284" s="602">
        <v>0</v>
      </c>
      <c r="S284" s="602">
        <v>0</v>
      </c>
      <c r="T284" s="602">
        <v>0</v>
      </c>
      <c r="U284" s="602">
        <v>0</v>
      </c>
      <c r="V284" s="602">
        <v>0</v>
      </c>
      <c r="W284" s="602">
        <v>0</v>
      </c>
      <c r="X284" s="602">
        <v>0</v>
      </c>
      <c r="Y284" s="602">
        <v>0</v>
      </c>
      <c r="Z284" s="602">
        <v>0</v>
      </c>
      <c r="AA284" s="602">
        <v>0</v>
      </c>
      <c r="AB284" s="602">
        <v>0</v>
      </c>
      <c r="AC284" s="602">
        <v>0</v>
      </c>
      <c r="AD284" s="602">
        <v>0</v>
      </c>
      <c r="AE284" s="602">
        <v>0</v>
      </c>
      <c r="AF284" s="602">
        <v>0</v>
      </c>
      <c r="AG284" s="602">
        <v>0</v>
      </c>
      <c r="AH284" s="602">
        <v>0</v>
      </c>
      <c r="AI284" s="602">
        <v>0</v>
      </c>
      <c r="AJ284" s="498">
        <v>0</v>
      </c>
      <c r="AK284" s="498">
        <v>0</v>
      </c>
      <c r="AL284" s="602">
        <v>3.4927743556617301</v>
      </c>
      <c r="AM284" s="602">
        <v>-2.4812218978090299</v>
      </c>
      <c r="AN284" s="498">
        <v>641102281.23936701</v>
      </c>
      <c r="AO284" s="603">
        <v>-455430799.97936702</v>
      </c>
    </row>
    <row r="285" spans="1:41" ht="12" thickBot="1">
      <c r="A285" s="919"/>
      <c r="B285" s="600" t="s">
        <v>488</v>
      </c>
      <c r="C285" s="600" t="s">
        <v>488</v>
      </c>
      <c r="D285" s="600" t="s">
        <v>488</v>
      </c>
      <c r="E285" s="600" t="s">
        <v>488</v>
      </c>
      <c r="F285" s="600" t="s">
        <v>488</v>
      </c>
      <c r="G285" s="600" t="s">
        <v>488</v>
      </c>
      <c r="H285" s="601">
        <v>474501</v>
      </c>
      <c r="I285" s="602">
        <v>0</v>
      </c>
      <c r="J285" s="602">
        <v>0</v>
      </c>
      <c r="K285" s="602">
        <v>0</v>
      </c>
      <c r="L285" s="602">
        <v>-2698867.63</v>
      </c>
      <c r="M285" s="498">
        <v>0</v>
      </c>
      <c r="N285" s="602">
        <v>0</v>
      </c>
      <c r="O285" s="602">
        <v>0</v>
      </c>
      <c r="P285" s="498">
        <v>0</v>
      </c>
      <c r="Q285" s="602">
        <v>-2698867.63</v>
      </c>
      <c r="R285" s="602">
        <v>0</v>
      </c>
      <c r="S285" s="602">
        <v>0</v>
      </c>
      <c r="T285" s="602">
        <v>0</v>
      </c>
      <c r="U285" s="602">
        <v>0</v>
      </c>
      <c r="V285" s="602">
        <v>0</v>
      </c>
      <c r="W285" s="602">
        <v>0</v>
      </c>
      <c r="X285" s="602">
        <v>0</v>
      </c>
      <c r="Y285" s="602">
        <v>0</v>
      </c>
      <c r="Z285" s="602">
        <v>0</v>
      </c>
      <c r="AA285" s="602">
        <v>0</v>
      </c>
      <c r="AB285" s="602">
        <v>0</v>
      </c>
      <c r="AC285" s="602">
        <v>0</v>
      </c>
      <c r="AD285" s="602">
        <v>0</v>
      </c>
      <c r="AE285" s="602">
        <v>0</v>
      </c>
      <c r="AF285" s="602">
        <v>0</v>
      </c>
      <c r="AG285" s="602">
        <v>0</v>
      </c>
      <c r="AH285" s="602">
        <v>0</v>
      </c>
      <c r="AI285" s="602">
        <v>0</v>
      </c>
      <c r="AJ285" s="498">
        <v>0</v>
      </c>
      <c r="AK285" s="498">
        <v>0</v>
      </c>
      <c r="AL285" s="602">
        <v>0</v>
      </c>
      <c r="AM285" s="602">
        <v>0</v>
      </c>
      <c r="AN285" s="498">
        <v>0</v>
      </c>
      <c r="AO285" s="603">
        <v>-2698867.63</v>
      </c>
    </row>
    <row r="286" spans="1:41" ht="12" thickBot="1">
      <c r="A286" s="917" t="s">
        <v>493</v>
      </c>
      <c r="B286" s="917" t="s">
        <v>494</v>
      </c>
      <c r="C286" s="917" t="s">
        <v>495</v>
      </c>
      <c r="D286" s="917" t="s">
        <v>496</v>
      </c>
      <c r="E286" s="917" t="s">
        <v>491</v>
      </c>
      <c r="F286" s="600" t="s">
        <v>497</v>
      </c>
      <c r="G286" s="600" t="s">
        <v>497</v>
      </c>
      <c r="H286" s="601">
        <v>670001</v>
      </c>
      <c r="I286" s="602">
        <v>58961654.649999999</v>
      </c>
      <c r="J286" s="602">
        <v>0</v>
      </c>
      <c r="K286" s="602">
        <v>58966519.397683002</v>
      </c>
      <c r="L286" s="602">
        <v>33.97</v>
      </c>
      <c r="M286" s="498">
        <v>1.7425520864099999E-4</v>
      </c>
      <c r="N286" s="602">
        <v>3.2064869897517299</v>
      </c>
      <c r="O286" s="602">
        <v>-3.20631273454309</v>
      </c>
      <c r="P286" s="498">
        <v>625085.26368400001</v>
      </c>
      <c r="Q286" s="602">
        <v>-625051.29368400003</v>
      </c>
      <c r="R286" s="602">
        <v>0</v>
      </c>
      <c r="S286" s="602">
        <v>0</v>
      </c>
      <c r="T286" s="602">
        <v>0</v>
      </c>
      <c r="U286" s="602">
        <v>0</v>
      </c>
      <c r="V286" s="602">
        <v>0</v>
      </c>
      <c r="W286" s="602">
        <v>0</v>
      </c>
      <c r="X286" s="602">
        <v>0</v>
      </c>
      <c r="Y286" s="602">
        <v>0</v>
      </c>
      <c r="Z286" s="602">
        <v>0</v>
      </c>
      <c r="AA286" s="602">
        <v>0</v>
      </c>
      <c r="AB286" s="602">
        <v>0</v>
      </c>
      <c r="AC286" s="602">
        <v>0</v>
      </c>
      <c r="AD286" s="602">
        <v>0</v>
      </c>
      <c r="AE286" s="602">
        <v>0</v>
      </c>
      <c r="AF286" s="602">
        <v>0</v>
      </c>
      <c r="AG286" s="602">
        <v>0</v>
      </c>
      <c r="AH286" s="602">
        <v>0</v>
      </c>
      <c r="AI286" s="602">
        <v>0</v>
      </c>
      <c r="AJ286" s="498">
        <v>0</v>
      </c>
      <c r="AK286" s="498">
        <v>0</v>
      </c>
      <c r="AL286" s="602">
        <v>3.2064869897517299</v>
      </c>
      <c r="AM286" s="602">
        <v>-3.20631273454309</v>
      </c>
      <c r="AN286" s="498">
        <v>625085.26368400001</v>
      </c>
      <c r="AO286" s="603">
        <v>-625051.29368400003</v>
      </c>
    </row>
    <row r="287" spans="1:41" ht="12" thickBot="1">
      <c r="A287" s="918"/>
      <c r="B287" s="918"/>
      <c r="C287" s="918"/>
      <c r="D287" s="918"/>
      <c r="E287" s="919"/>
      <c r="F287" s="600" t="s">
        <v>498</v>
      </c>
      <c r="G287" s="600" t="s">
        <v>498</v>
      </c>
      <c r="H287" s="601">
        <v>670002</v>
      </c>
      <c r="I287" s="602">
        <v>286458028.35000002</v>
      </c>
      <c r="J287" s="602">
        <v>1.0451048841061401</v>
      </c>
      <c r="K287" s="602">
        <v>228932636.503636</v>
      </c>
      <c r="L287" s="602">
        <v>5330834.84</v>
      </c>
      <c r="M287" s="498">
        <v>7.0434142659196102</v>
      </c>
      <c r="N287" s="602">
        <v>3.2048093406596201</v>
      </c>
      <c r="O287" s="602">
        <v>3.8386049252599701</v>
      </c>
      <c r="P287" s="498">
        <v>2425572.1222319999</v>
      </c>
      <c r="Q287" s="602">
        <v>2905262.717768</v>
      </c>
      <c r="R287" s="602">
        <v>0</v>
      </c>
      <c r="S287" s="602">
        <v>0</v>
      </c>
      <c r="T287" s="602">
        <v>0</v>
      </c>
      <c r="U287" s="602">
        <v>0</v>
      </c>
      <c r="V287" s="602">
        <v>0</v>
      </c>
      <c r="W287" s="602">
        <v>0</v>
      </c>
      <c r="X287" s="602">
        <v>0</v>
      </c>
      <c r="Y287" s="602">
        <v>0</v>
      </c>
      <c r="Z287" s="602">
        <v>0</v>
      </c>
      <c r="AA287" s="602">
        <v>0</v>
      </c>
      <c r="AB287" s="602">
        <v>0</v>
      </c>
      <c r="AC287" s="602">
        <v>0</v>
      </c>
      <c r="AD287" s="602">
        <v>0</v>
      </c>
      <c r="AE287" s="602">
        <v>0</v>
      </c>
      <c r="AF287" s="602">
        <v>0</v>
      </c>
      <c r="AG287" s="602">
        <v>0</v>
      </c>
      <c r="AH287" s="602">
        <v>0</v>
      </c>
      <c r="AI287" s="602">
        <v>0</v>
      </c>
      <c r="AJ287" s="498">
        <v>0</v>
      </c>
      <c r="AK287" s="498">
        <v>0</v>
      </c>
      <c r="AL287" s="602">
        <v>3.2048093406596201</v>
      </c>
      <c r="AM287" s="602">
        <v>3.8386049252599701</v>
      </c>
      <c r="AN287" s="498">
        <v>2425572.1222319999</v>
      </c>
      <c r="AO287" s="603">
        <v>2905262.717768</v>
      </c>
    </row>
    <row r="288" spans="1:41" ht="12" thickBot="1">
      <c r="A288" s="918"/>
      <c r="B288" s="918"/>
      <c r="C288" s="918"/>
      <c r="D288" s="918"/>
      <c r="E288" s="917" t="s">
        <v>499</v>
      </c>
      <c r="F288" s="600" t="s">
        <v>497</v>
      </c>
      <c r="G288" s="600" t="s">
        <v>497</v>
      </c>
      <c r="H288" s="601">
        <v>670003</v>
      </c>
      <c r="I288" s="602">
        <v>294395612.19999999</v>
      </c>
      <c r="J288" s="602">
        <v>0</v>
      </c>
      <c r="K288" s="602">
        <v>328427397.24851602</v>
      </c>
      <c r="L288" s="602">
        <v>114.09</v>
      </c>
      <c r="M288" s="498">
        <v>1.0507609309600001E-4</v>
      </c>
      <c r="N288" s="602">
        <v>3.2079982704963799</v>
      </c>
      <c r="O288" s="602">
        <v>-3.2078931944032898</v>
      </c>
      <c r="P288" s="498">
        <v>3483195.0056059998</v>
      </c>
      <c r="Q288" s="602">
        <v>-3483080.915606</v>
      </c>
      <c r="R288" s="602">
        <v>0</v>
      </c>
      <c r="S288" s="602">
        <v>0</v>
      </c>
      <c r="T288" s="602">
        <v>0</v>
      </c>
      <c r="U288" s="602">
        <v>0</v>
      </c>
      <c r="V288" s="602">
        <v>0</v>
      </c>
      <c r="W288" s="602">
        <v>0</v>
      </c>
      <c r="X288" s="602">
        <v>0</v>
      </c>
      <c r="Y288" s="602">
        <v>0</v>
      </c>
      <c r="Z288" s="602">
        <v>0</v>
      </c>
      <c r="AA288" s="602">
        <v>0</v>
      </c>
      <c r="AB288" s="602">
        <v>0</v>
      </c>
      <c r="AC288" s="602">
        <v>0</v>
      </c>
      <c r="AD288" s="602">
        <v>0</v>
      </c>
      <c r="AE288" s="602">
        <v>0</v>
      </c>
      <c r="AF288" s="602">
        <v>0</v>
      </c>
      <c r="AG288" s="602">
        <v>0</v>
      </c>
      <c r="AH288" s="602">
        <v>0</v>
      </c>
      <c r="AI288" s="602">
        <v>0</v>
      </c>
      <c r="AJ288" s="498">
        <v>0</v>
      </c>
      <c r="AK288" s="498">
        <v>0</v>
      </c>
      <c r="AL288" s="602">
        <v>3.2079982704963799</v>
      </c>
      <c r="AM288" s="602">
        <v>-3.2078931944032898</v>
      </c>
      <c r="AN288" s="498">
        <v>3483195.0056059998</v>
      </c>
      <c r="AO288" s="603">
        <v>-3483080.915606</v>
      </c>
    </row>
    <row r="289" spans="1:41" ht="12" thickBot="1">
      <c r="A289" s="918"/>
      <c r="B289" s="918"/>
      <c r="C289" s="918"/>
      <c r="D289" s="919"/>
      <c r="E289" s="919"/>
      <c r="F289" s="600" t="s">
        <v>498</v>
      </c>
      <c r="G289" s="600" t="s">
        <v>498</v>
      </c>
      <c r="H289" s="601">
        <v>670004</v>
      </c>
      <c r="I289" s="602">
        <v>864792603.32000005</v>
      </c>
      <c r="J289" s="602">
        <v>2.1358013190551599</v>
      </c>
      <c r="K289" s="602">
        <v>783316874.42949998</v>
      </c>
      <c r="L289" s="602">
        <v>15128460.550000001</v>
      </c>
      <c r="M289" s="498">
        <v>5.8418845479472497</v>
      </c>
      <c r="N289" s="602">
        <v>3.2064199718964899</v>
      </c>
      <c r="O289" s="602">
        <v>2.63546457605073</v>
      </c>
      <c r="P289" s="498">
        <v>8303518.779503</v>
      </c>
      <c r="Q289" s="602">
        <v>6824941.7704969998</v>
      </c>
      <c r="R289" s="602">
        <v>0</v>
      </c>
      <c r="S289" s="602">
        <v>0</v>
      </c>
      <c r="T289" s="602">
        <v>0</v>
      </c>
      <c r="U289" s="602">
        <v>0</v>
      </c>
      <c r="V289" s="602">
        <v>0</v>
      </c>
      <c r="W289" s="602">
        <v>0</v>
      </c>
      <c r="X289" s="602">
        <v>0</v>
      </c>
      <c r="Y289" s="602">
        <v>0</v>
      </c>
      <c r="Z289" s="602">
        <v>0</v>
      </c>
      <c r="AA289" s="602">
        <v>0</v>
      </c>
      <c r="AB289" s="602">
        <v>0</v>
      </c>
      <c r="AC289" s="602">
        <v>0</v>
      </c>
      <c r="AD289" s="602">
        <v>0</v>
      </c>
      <c r="AE289" s="602">
        <v>0</v>
      </c>
      <c r="AF289" s="602">
        <v>0</v>
      </c>
      <c r="AG289" s="602">
        <v>0</v>
      </c>
      <c r="AH289" s="602">
        <v>0</v>
      </c>
      <c r="AI289" s="602">
        <v>0</v>
      </c>
      <c r="AJ289" s="498">
        <v>0</v>
      </c>
      <c r="AK289" s="498">
        <v>0</v>
      </c>
      <c r="AL289" s="602">
        <v>3.2064199718964899</v>
      </c>
      <c r="AM289" s="602">
        <v>2.63546457605073</v>
      </c>
      <c r="AN289" s="498">
        <v>8303518.779503</v>
      </c>
      <c r="AO289" s="603">
        <v>6824941.7704969998</v>
      </c>
    </row>
    <row r="290" spans="1:41" ht="12" thickBot="1">
      <c r="A290" s="918"/>
      <c r="B290" s="918"/>
      <c r="C290" s="918"/>
      <c r="D290" s="917" t="s">
        <v>500</v>
      </c>
      <c r="E290" s="917" t="s">
        <v>501</v>
      </c>
      <c r="F290" s="600" t="s">
        <v>497</v>
      </c>
      <c r="G290" s="600" t="s">
        <v>497</v>
      </c>
      <c r="H290" s="601">
        <v>670013</v>
      </c>
      <c r="I290" s="602">
        <v>9758674.2599999998</v>
      </c>
      <c r="J290" s="602">
        <v>0</v>
      </c>
      <c r="K290" s="602">
        <v>11331019.707768001</v>
      </c>
      <c r="L290" s="602">
        <v>0.06</v>
      </c>
      <c r="M290" s="498">
        <v>1.60168818E-6</v>
      </c>
      <c r="N290" s="602">
        <v>3.2083210705031702</v>
      </c>
      <c r="O290" s="602">
        <v>-3.2083194688149899</v>
      </c>
      <c r="P290" s="498">
        <v>120185.231222</v>
      </c>
      <c r="Q290" s="602">
        <v>-120185.171222</v>
      </c>
      <c r="R290" s="602">
        <v>0</v>
      </c>
      <c r="S290" s="602">
        <v>0</v>
      </c>
      <c r="T290" s="602">
        <v>0</v>
      </c>
      <c r="U290" s="602">
        <v>0</v>
      </c>
      <c r="V290" s="602">
        <v>0</v>
      </c>
      <c r="W290" s="602">
        <v>0</v>
      </c>
      <c r="X290" s="602">
        <v>0</v>
      </c>
      <c r="Y290" s="602">
        <v>0</v>
      </c>
      <c r="Z290" s="602">
        <v>0</v>
      </c>
      <c r="AA290" s="602">
        <v>0</v>
      </c>
      <c r="AB290" s="602">
        <v>0</v>
      </c>
      <c r="AC290" s="602">
        <v>0</v>
      </c>
      <c r="AD290" s="602">
        <v>0</v>
      </c>
      <c r="AE290" s="602">
        <v>0</v>
      </c>
      <c r="AF290" s="602">
        <v>0</v>
      </c>
      <c r="AG290" s="602">
        <v>0</v>
      </c>
      <c r="AH290" s="602">
        <v>0</v>
      </c>
      <c r="AI290" s="602">
        <v>0</v>
      </c>
      <c r="AJ290" s="498">
        <v>0</v>
      </c>
      <c r="AK290" s="498">
        <v>0</v>
      </c>
      <c r="AL290" s="602">
        <v>3.2083210705031702</v>
      </c>
      <c r="AM290" s="602">
        <v>-3.2083194688149899</v>
      </c>
      <c r="AN290" s="498">
        <v>120185.231222</v>
      </c>
      <c r="AO290" s="603">
        <v>-120185.171222</v>
      </c>
    </row>
    <row r="291" spans="1:41" ht="12" thickBot="1">
      <c r="A291" s="918"/>
      <c r="B291" s="918"/>
      <c r="C291" s="918"/>
      <c r="D291" s="918"/>
      <c r="E291" s="919"/>
      <c r="F291" s="600" t="s">
        <v>498</v>
      </c>
      <c r="G291" s="600" t="s">
        <v>498</v>
      </c>
      <c r="H291" s="601">
        <v>670014</v>
      </c>
      <c r="I291" s="602">
        <v>34215496.539999999</v>
      </c>
      <c r="J291" s="602">
        <v>1.6009966745904201</v>
      </c>
      <c r="K291" s="602">
        <v>30527355.578924999</v>
      </c>
      <c r="L291" s="602">
        <v>705078.34</v>
      </c>
      <c r="M291" s="498">
        <v>6.9862464688208297</v>
      </c>
      <c r="N291" s="602">
        <v>3.2063279261032598</v>
      </c>
      <c r="O291" s="602">
        <v>3.7799185427174198</v>
      </c>
      <c r="P291" s="498">
        <v>323594.70593</v>
      </c>
      <c r="Q291" s="602">
        <v>381483.63406999997</v>
      </c>
      <c r="R291" s="602">
        <v>0</v>
      </c>
      <c r="S291" s="602">
        <v>0</v>
      </c>
      <c r="T291" s="602">
        <v>0</v>
      </c>
      <c r="U291" s="602">
        <v>0</v>
      </c>
      <c r="V291" s="602">
        <v>0</v>
      </c>
      <c r="W291" s="602">
        <v>0</v>
      </c>
      <c r="X291" s="602">
        <v>0</v>
      </c>
      <c r="Y291" s="602">
        <v>0</v>
      </c>
      <c r="Z291" s="602">
        <v>0</v>
      </c>
      <c r="AA291" s="602">
        <v>0</v>
      </c>
      <c r="AB291" s="602">
        <v>0</v>
      </c>
      <c r="AC291" s="602">
        <v>0</v>
      </c>
      <c r="AD291" s="602">
        <v>0</v>
      </c>
      <c r="AE291" s="602">
        <v>0</v>
      </c>
      <c r="AF291" s="602">
        <v>0</v>
      </c>
      <c r="AG291" s="602">
        <v>0</v>
      </c>
      <c r="AH291" s="602">
        <v>0</v>
      </c>
      <c r="AI291" s="602">
        <v>0</v>
      </c>
      <c r="AJ291" s="498">
        <v>0</v>
      </c>
      <c r="AK291" s="498">
        <v>0</v>
      </c>
      <c r="AL291" s="602">
        <v>3.2063279261032598</v>
      </c>
      <c r="AM291" s="602">
        <v>3.7799185427174198</v>
      </c>
      <c r="AN291" s="498">
        <v>323594.70593</v>
      </c>
      <c r="AO291" s="603">
        <v>381483.63406999997</v>
      </c>
    </row>
    <row r="292" spans="1:41" ht="12" thickBot="1">
      <c r="A292" s="918"/>
      <c r="B292" s="918"/>
      <c r="C292" s="918"/>
      <c r="D292" s="918"/>
      <c r="E292" s="917" t="s">
        <v>502</v>
      </c>
      <c r="F292" s="600" t="s">
        <v>497</v>
      </c>
      <c r="G292" s="600" t="s">
        <v>497</v>
      </c>
      <c r="H292" s="601">
        <v>670015</v>
      </c>
      <c r="I292" s="602">
        <v>49965079.689999998</v>
      </c>
      <c r="J292" s="602">
        <v>0</v>
      </c>
      <c r="K292" s="602">
        <v>54634184.621324003</v>
      </c>
      <c r="L292" s="602">
        <v>15.39</v>
      </c>
      <c r="M292" s="498">
        <v>8.5205939413999994E-5</v>
      </c>
      <c r="N292" s="602">
        <v>3.2077095745576099</v>
      </c>
      <c r="O292" s="602">
        <v>-3.2076243686181898</v>
      </c>
      <c r="P292" s="498">
        <v>579380.38934600004</v>
      </c>
      <c r="Q292" s="602">
        <v>-579364.99934600003</v>
      </c>
      <c r="R292" s="602">
        <v>0</v>
      </c>
      <c r="S292" s="602">
        <v>0</v>
      </c>
      <c r="T292" s="602">
        <v>0</v>
      </c>
      <c r="U292" s="602">
        <v>0</v>
      </c>
      <c r="V292" s="602">
        <v>0</v>
      </c>
      <c r="W292" s="602">
        <v>0</v>
      </c>
      <c r="X292" s="602">
        <v>0</v>
      </c>
      <c r="Y292" s="602">
        <v>0</v>
      </c>
      <c r="Z292" s="602">
        <v>0</v>
      </c>
      <c r="AA292" s="602">
        <v>0</v>
      </c>
      <c r="AB292" s="602">
        <v>0</v>
      </c>
      <c r="AC292" s="602">
        <v>0</v>
      </c>
      <c r="AD292" s="602">
        <v>0</v>
      </c>
      <c r="AE292" s="602">
        <v>0</v>
      </c>
      <c r="AF292" s="602">
        <v>0</v>
      </c>
      <c r="AG292" s="602">
        <v>0</v>
      </c>
      <c r="AH292" s="602">
        <v>0</v>
      </c>
      <c r="AI292" s="602">
        <v>0</v>
      </c>
      <c r="AJ292" s="498">
        <v>0</v>
      </c>
      <c r="AK292" s="498">
        <v>0</v>
      </c>
      <c r="AL292" s="602">
        <v>3.2077095745576099</v>
      </c>
      <c r="AM292" s="602">
        <v>-3.2076243686181898</v>
      </c>
      <c r="AN292" s="498">
        <v>579380.38934600004</v>
      </c>
      <c r="AO292" s="603">
        <v>-579364.99934600003</v>
      </c>
    </row>
    <row r="293" spans="1:41" ht="12" thickBot="1">
      <c r="A293" s="918"/>
      <c r="B293" s="918"/>
      <c r="C293" s="918"/>
      <c r="D293" s="919"/>
      <c r="E293" s="919"/>
      <c r="F293" s="600" t="s">
        <v>498</v>
      </c>
      <c r="G293" s="600" t="s">
        <v>498</v>
      </c>
      <c r="H293" s="601">
        <v>670016</v>
      </c>
      <c r="I293" s="602">
        <v>165457306.25999999</v>
      </c>
      <c r="J293" s="602">
        <v>1.6604930372084701</v>
      </c>
      <c r="K293" s="602">
        <v>143385281.82372001</v>
      </c>
      <c r="L293" s="602">
        <v>2928715.78</v>
      </c>
      <c r="M293" s="498">
        <v>6.1782911155588298</v>
      </c>
      <c r="N293" s="602">
        <v>3.2058801843937101</v>
      </c>
      <c r="O293" s="602">
        <v>2.9724109311651601</v>
      </c>
      <c r="P293" s="498">
        <v>1519693.9913009999</v>
      </c>
      <c r="Q293" s="602">
        <v>1409021.7886989999</v>
      </c>
      <c r="R293" s="602">
        <v>0</v>
      </c>
      <c r="S293" s="602">
        <v>0</v>
      </c>
      <c r="T293" s="602">
        <v>0</v>
      </c>
      <c r="U293" s="602">
        <v>0</v>
      </c>
      <c r="V293" s="602">
        <v>0</v>
      </c>
      <c r="W293" s="602">
        <v>0</v>
      </c>
      <c r="X293" s="602">
        <v>0</v>
      </c>
      <c r="Y293" s="602">
        <v>0</v>
      </c>
      <c r="Z293" s="602">
        <v>0</v>
      </c>
      <c r="AA293" s="602">
        <v>0</v>
      </c>
      <c r="AB293" s="602">
        <v>0</v>
      </c>
      <c r="AC293" s="602">
        <v>0</v>
      </c>
      <c r="AD293" s="602">
        <v>0</v>
      </c>
      <c r="AE293" s="602">
        <v>0</v>
      </c>
      <c r="AF293" s="602">
        <v>0</v>
      </c>
      <c r="AG293" s="602">
        <v>0</v>
      </c>
      <c r="AH293" s="602">
        <v>0</v>
      </c>
      <c r="AI293" s="602">
        <v>0</v>
      </c>
      <c r="AJ293" s="498">
        <v>0</v>
      </c>
      <c r="AK293" s="498">
        <v>0</v>
      </c>
      <c r="AL293" s="602">
        <v>3.2058801843937101</v>
      </c>
      <c r="AM293" s="602">
        <v>2.9724109311651601</v>
      </c>
      <c r="AN293" s="498">
        <v>1519693.9913009999</v>
      </c>
      <c r="AO293" s="603">
        <v>1409021.7886989999</v>
      </c>
    </row>
    <row r="294" spans="1:41" ht="12" thickBot="1">
      <c r="A294" s="918"/>
      <c r="B294" s="918"/>
      <c r="C294" s="918"/>
      <c r="D294" s="917" t="s">
        <v>503</v>
      </c>
      <c r="E294" s="917" t="s">
        <v>504</v>
      </c>
      <c r="F294" s="600" t="s">
        <v>497</v>
      </c>
      <c r="G294" s="600" t="s">
        <v>497</v>
      </c>
      <c r="H294" s="601">
        <v>670025</v>
      </c>
      <c r="I294" s="602">
        <v>152096315.55000001</v>
      </c>
      <c r="J294" s="602">
        <v>0</v>
      </c>
      <c r="K294" s="602">
        <v>180734507.59215099</v>
      </c>
      <c r="L294" s="602">
        <v>11.56</v>
      </c>
      <c r="M294" s="498">
        <v>1.9346948203999998E-5</v>
      </c>
      <c r="N294" s="602">
        <v>3.2088235072096398</v>
      </c>
      <c r="O294" s="602">
        <v>-3.2088041602614399</v>
      </c>
      <c r="P294" s="498">
        <v>1917304.959552</v>
      </c>
      <c r="Q294" s="602">
        <v>-1917293.399552</v>
      </c>
      <c r="R294" s="602">
        <v>0</v>
      </c>
      <c r="S294" s="602">
        <v>0</v>
      </c>
      <c r="T294" s="602">
        <v>0</v>
      </c>
      <c r="U294" s="602">
        <v>0</v>
      </c>
      <c r="V294" s="602">
        <v>0</v>
      </c>
      <c r="W294" s="602">
        <v>0</v>
      </c>
      <c r="X294" s="602">
        <v>0</v>
      </c>
      <c r="Y294" s="602">
        <v>0</v>
      </c>
      <c r="Z294" s="602">
        <v>0</v>
      </c>
      <c r="AA294" s="602">
        <v>0</v>
      </c>
      <c r="AB294" s="602">
        <v>0</v>
      </c>
      <c r="AC294" s="602">
        <v>0</v>
      </c>
      <c r="AD294" s="602">
        <v>0</v>
      </c>
      <c r="AE294" s="602">
        <v>0</v>
      </c>
      <c r="AF294" s="602">
        <v>0</v>
      </c>
      <c r="AG294" s="602">
        <v>0</v>
      </c>
      <c r="AH294" s="602">
        <v>0</v>
      </c>
      <c r="AI294" s="602">
        <v>0</v>
      </c>
      <c r="AJ294" s="498">
        <v>0</v>
      </c>
      <c r="AK294" s="498">
        <v>0</v>
      </c>
      <c r="AL294" s="602">
        <v>3.2088235072096398</v>
      </c>
      <c r="AM294" s="602">
        <v>-3.2088041602614399</v>
      </c>
      <c r="AN294" s="498">
        <v>1917304.959552</v>
      </c>
      <c r="AO294" s="603">
        <v>-1917293.399552</v>
      </c>
    </row>
    <row r="295" spans="1:41" ht="12" thickBot="1">
      <c r="A295" s="918"/>
      <c r="B295" s="918"/>
      <c r="C295" s="918"/>
      <c r="D295" s="918"/>
      <c r="E295" s="919"/>
      <c r="F295" s="600" t="s">
        <v>498</v>
      </c>
      <c r="G295" s="600" t="s">
        <v>498</v>
      </c>
      <c r="H295" s="601">
        <v>670026</v>
      </c>
      <c r="I295" s="602">
        <v>247987293.15000001</v>
      </c>
      <c r="J295" s="602">
        <v>4.5480691695674498</v>
      </c>
      <c r="K295" s="602">
        <v>229268892.562729</v>
      </c>
      <c r="L295" s="602">
        <v>4709584.07</v>
      </c>
      <c r="M295" s="498">
        <v>6.2134546897994198</v>
      </c>
      <c r="N295" s="602">
        <v>3.2063427120582699</v>
      </c>
      <c r="O295" s="602">
        <v>3.0071119777412001</v>
      </c>
      <c r="P295" s="498">
        <v>2430297.0430379999</v>
      </c>
      <c r="Q295" s="602">
        <v>2279287.0269619999</v>
      </c>
      <c r="R295" s="602">
        <v>0</v>
      </c>
      <c r="S295" s="602">
        <v>0</v>
      </c>
      <c r="T295" s="602">
        <v>0</v>
      </c>
      <c r="U295" s="602">
        <v>0</v>
      </c>
      <c r="V295" s="602">
        <v>0</v>
      </c>
      <c r="W295" s="602">
        <v>0</v>
      </c>
      <c r="X295" s="602">
        <v>0</v>
      </c>
      <c r="Y295" s="602">
        <v>0</v>
      </c>
      <c r="Z295" s="602">
        <v>0</v>
      </c>
      <c r="AA295" s="602">
        <v>0</v>
      </c>
      <c r="AB295" s="602">
        <v>0</v>
      </c>
      <c r="AC295" s="602">
        <v>0</v>
      </c>
      <c r="AD295" s="602">
        <v>0</v>
      </c>
      <c r="AE295" s="602">
        <v>0</v>
      </c>
      <c r="AF295" s="602">
        <v>0</v>
      </c>
      <c r="AG295" s="602">
        <v>0</v>
      </c>
      <c r="AH295" s="602">
        <v>0</v>
      </c>
      <c r="AI295" s="602">
        <v>0</v>
      </c>
      <c r="AJ295" s="498">
        <v>0</v>
      </c>
      <c r="AK295" s="498">
        <v>0</v>
      </c>
      <c r="AL295" s="602">
        <v>3.2063427120582699</v>
      </c>
      <c r="AM295" s="602">
        <v>3.0071119777412001</v>
      </c>
      <c r="AN295" s="498">
        <v>2430297.0430379999</v>
      </c>
      <c r="AO295" s="603">
        <v>2279287.0269619999</v>
      </c>
    </row>
    <row r="296" spans="1:41" ht="12" thickBot="1">
      <c r="A296" s="918"/>
      <c r="B296" s="918"/>
      <c r="C296" s="918"/>
      <c r="D296" s="918"/>
      <c r="E296" s="917" t="s">
        <v>505</v>
      </c>
      <c r="F296" s="600" t="s">
        <v>497</v>
      </c>
      <c r="G296" s="600" t="s">
        <v>497</v>
      </c>
      <c r="H296" s="601">
        <v>670037</v>
      </c>
      <c r="I296" s="602">
        <v>7423453.5300000003</v>
      </c>
      <c r="J296" s="602">
        <v>0</v>
      </c>
      <c r="K296" s="602">
        <v>7732176.6636340003</v>
      </c>
      <c r="L296" s="602">
        <v>0</v>
      </c>
      <c r="M296" s="498">
        <v>0</v>
      </c>
      <c r="N296" s="602">
        <v>3.20791685375253</v>
      </c>
      <c r="O296" s="602">
        <v>-3.20791685375253</v>
      </c>
      <c r="P296" s="498">
        <v>82002.889620000002</v>
      </c>
      <c r="Q296" s="602">
        <v>-82002.889620000002</v>
      </c>
      <c r="R296" s="602">
        <v>0</v>
      </c>
      <c r="S296" s="602">
        <v>0</v>
      </c>
      <c r="T296" s="602">
        <v>0</v>
      </c>
      <c r="U296" s="602">
        <v>0</v>
      </c>
      <c r="V296" s="602">
        <v>0</v>
      </c>
      <c r="W296" s="602">
        <v>0</v>
      </c>
      <c r="X296" s="602">
        <v>0</v>
      </c>
      <c r="Y296" s="602">
        <v>0</v>
      </c>
      <c r="Z296" s="602">
        <v>0</v>
      </c>
      <c r="AA296" s="602">
        <v>0</v>
      </c>
      <c r="AB296" s="602">
        <v>0</v>
      </c>
      <c r="AC296" s="602">
        <v>0</v>
      </c>
      <c r="AD296" s="602">
        <v>0</v>
      </c>
      <c r="AE296" s="602">
        <v>0</v>
      </c>
      <c r="AF296" s="602">
        <v>0</v>
      </c>
      <c r="AG296" s="602">
        <v>0</v>
      </c>
      <c r="AH296" s="602">
        <v>0</v>
      </c>
      <c r="AI296" s="602">
        <v>0</v>
      </c>
      <c r="AJ296" s="498">
        <v>0</v>
      </c>
      <c r="AK296" s="498">
        <v>0</v>
      </c>
      <c r="AL296" s="602">
        <v>3.20791685375253</v>
      </c>
      <c r="AM296" s="602">
        <v>-3.20791685375253</v>
      </c>
      <c r="AN296" s="498">
        <v>82002.889620000002</v>
      </c>
      <c r="AO296" s="603">
        <v>-82002.889620000002</v>
      </c>
    </row>
    <row r="297" spans="1:41" ht="12" thickBot="1">
      <c r="A297" s="918"/>
      <c r="B297" s="918"/>
      <c r="C297" s="918"/>
      <c r="D297" s="919"/>
      <c r="E297" s="919"/>
      <c r="F297" s="600" t="s">
        <v>498</v>
      </c>
      <c r="G297" s="600" t="s">
        <v>498</v>
      </c>
      <c r="H297" s="601">
        <v>670038</v>
      </c>
      <c r="I297" s="602">
        <v>14532168.15</v>
      </c>
      <c r="J297" s="602">
        <v>0.95911672202884601</v>
      </c>
      <c r="K297" s="602">
        <v>14660601.631402999</v>
      </c>
      <c r="L297" s="602">
        <v>274639.44</v>
      </c>
      <c r="M297" s="498">
        <v>5.6663947578701803</v>
      </c>
      <c r="N297" s="602">
        <v>3.20704573343281</v>
      </c>
      <c r="O297" s="602">
        <v>2.4593490244366101</v>
      </c>
      <c r="P297" s="498">
        <v>155439.44287699999</v>
      </c>
      <c r="Q297" s="602">
        <v>119199.99712299999</v>
      </c>
      <c r="R297" s="602">
        <v>0</v>
      </c>
      <c r="S297" s="602">
        <v>0</v>
      </c>
      <c r="T297" s="602">
        <v>0</v>
      </c>
      <c r="U297" s="602">
        <v>0</v>
      </c>
      <c r="V297" s="602">
        <v>0</v>
      </c>
      <c r="W297" s="602">
        <v>0</v>
      </c>
      <c r="X297" s="602">
        <v>0</v>
      </c>
      <c r="Y297" s="602">
        <v>0</v>
      </c>
      <c r="Z297" s="602">
        <v>0</v>
      </c>
      <c r="AA297" s="602">
        <v>0</v>
      </c>
      <c r="AB297" s="602">
        <v>0</v>
      </c>
      <c r="AC297" s="602">
        <v>0</v>
      </c>
      <c r="AD297" s="602">
        <v>0</v>
      </c>
      <c r="AE297" s="602">
        <v>0</v>
      </c>
      <c r="AF297" s="602">
        <v>0</v>
      </c>
      <c r="AG297" s="602">
        <v>0</v>
      </c>
      <c r="AH297" s="602">
        <v>0</v>
      </c>
      <c r="AI297" s="602">
        <v>0</v>
      </c>
      <c r="AJ297" s="498">
        <v>0</v>
      </c>
      <c r="AK297" s="498">
        <v>0</v>
      </c>
      <c r="AL297" s="602">
        <v>3.20704573343281</v>
      </c>
      <c r="AM297" s="602">
        <v>2.4593490244366101</v>
      </c>
      <c r="AN297" s="498">
        <v>155439.44287699999</v>
      </c>
      <c r="AO297" s="603">
        <v>119199.99712299999</v>
      </c>
    </row>
    <row r="298" spans="1:41" ht="12" thickBot="1">
      <c r="A298" s="918"/>
      <c r="B298" s="918"/>
      <c r="C298" s="918"/>
      <c r="D298" s="917" t="s">
        <v>506</v>
      </c>
      <c r="E298" s="917" t="s">
        <v>506</v>
      </c>
      <c r="F298" s="600" t="s">
        <v>497</v>
      </c>
      <c r="G298" s="600" t="s">
        <v>497</v>
      </c>
      <c r="H298" s="601">
        <v>670049</v>
      </c>
      <c r="I298" s="602">
        <v>310760784.52999997</v>
      </c>
      <c r="J298" s="602">
        <v>0</v>
      </c>
      <c r="K298" s="602">
        <v>297459947.82743698</v>
      </c>
      <c r="L298" s="602">
        <v>94.03</v>
      </c>
      <c r="M298" s="498">
        <v>9.5616678611999995E-5</v>
      </c>
      <c r="N298" s="602">
        <v>3.2058459227354201</v>
      </c>
      <c r="O298" s="602">
        <v>-3.2057503060568102</v>
      </c>
      <c r="P298" s="498">
        <v>3152647.5975759998</v>
      </c>
      <c r="Q298" s="602">
        <v>-3152553.567576</v>
      </c>
      <c r="R298" s="602">
        <v>0</v>
      </c>
      <c r="S298" s="602">
        <v>0</v>
      </c>
      <c r="T298" s="602">
        <v>0</v>
      </c>
      <c r="U298" s="602">
        <v>0</v>
      </c>
      <c r="V298" s="602">
        <v>0</v>
      </c>
      <c r="W298" s="602">
        <v>0</v>
      </c>
      <c r="X298" s="602">
        <v>0</v>
      </c>
      <c r="Y298" s="602">
        <v>0</v>
      </c>
      <c r="Z298" s="602">
        <v>0</v>
      </c>
      <c r="AA298" s="602">
        <v>0</v>
      </c>
      <c r="AB298" s="602">
        <v>0</v>
      </c>
      <c r="AC298" s="602">
        <v>0</v>
      </c>
      <c r="AD298" s="602">
        <v>0</v>
      </c>
      <c r="AE298" s="602">
        <v>0</v>
      </c>
      <c r="AF298" s="602">
        <v>0</v>
      </c>
      <c r="AG298" s="602">
        <v>0</v>
      </c>
      <c r="AH298" s="602">
        <v>0</v>
      </c>
      <c r="AI298" s="602">
        <v>0</v>
      </c>
      <c r="AJ298" s="498">
        <v>0</v>
      </c>
      <c r="AK298" s="498">
        <v>0</v>
      </c>
      <c r="AL298" s="602">
        <v>3.2058459227354201</v>
      </c>
      <c r="AM298" s="602">
        <v>-3.2057503060568102</v>
      </c>
      <c r="AN298" s="498">
        <v>3152647.5975759998</v>
      </c>
      <c r="AO298" s="603">
        <v>-3152553.567576</v>
      </c>
    </row>
    <row r="299" spans="1:41" ht="12" thickBot="1">
      <c r="A299" s="918"/>
      <c r="B299" s="918"/>
      <c r="C299" s="918"/>
      <c r="D299" s="919"/>
      <c r="E299" s="919"/>
      <c r="F299" s="600" t="s">
        <v>498</v>
      </c>
      <c r="G299" s="600" t="s">
        <v>498</v>
      </c>
      <c r="H299" s="601">
        <v>670050</v>
      </c>
      <c r="I299" s="602">
        <v>1627609313.9000001</v>
      </c>
      <c r="J299" s="602">
        <v>0.45321656525327703</v>
      </c>
      <c r="K299" s="602">
        <v>1295033813.2650399</v>
      </c>
      <c r="L299" s="602">
        <v>20848252.640000001</v>
      </c>
      <c r="M299" s="498">
        <v>4.8694988578556098</v>
      </c>
      <c r="N299" s="602">
        <v>3.2052098047755599</v>
      </c>
      <c r="O299" s="602">
        <v>1.66428905308004</v>
      </c>
      <c r="P299" s="498">
        <v>13722772.245107999</v>
      </c>
      <c r="Q299" s="602">
        <v>7125480.3948919997</v>
      </c>
      <c r="R299" s="602">
        <v>0</v>
      </c>
      <c r="S299" s="602">
        <v>0</v>
      </c>
      <c r="T299" s="602">
        <v>0</v>
      </c>
      <c r="U299" s="602">
        <v>0</v>
      </c>
      <c r="V299" s="602">
        <v>0</v>
      </c>
      <c r="W299" s="602">
        <v>0</v>
      </c>
      <c r="X299" s="602">
        <v>0</v>
      </c>
      <c r="Y299" s="602">
        <v>0</v>
      </c>
      <c r="Z299" s="602">
        <v>0</v>
      </c>
      <c r="AA299" s="602">
        <v>0</v>
      </c>
      <c r="AB299" s="602">
        <v>0</v>
      </c>
      <c r="AC299" s="602">
        <v>0</v>
      </c>
      <c r="AD299" s="602">
        <v>0</v>
      </c>
      <c r="AE299" s="602">
        <v>0</v>
      </c>
      <c r="AF299" s="602">
        <v>0</v>
      </c>
      <c r="AG299" s="602">
        <v>0</v>
      </c>
      <c r="AH299" s="602">
        <v>0</v>
      </c>
      <c r="AI299" s="602">
        <v>0</v>
      </c>
      <c r="AJ299" s="498">
        <v>0</v>
      </c>
      <c r="AK299" s="498">
        <v>0</v>
      </c>
      <c r="AL299" s="602">
        <v>3.2052098047755599</v>
      </c>
      <c r="AM299" s="602">
        <v>1.66428905308004</v>
      </c>
      <c r="AN299" s="498">
        <v>13722772.245107999</v>
      </c>
      <c r="AO299" s="603">
        <v>7125480.3948919997</v>
      </c>
    </row>
    <row r="300" spans="1:41" ht="12" thickBot="1">
      <c r="A300" s="918"/>
      <c r="B300" s="918"/>
      <c r="C300" s="918"/>
      <c r="D300" s="917" t="s">
        <v>507</v>
      </c>
      <c r="E300" s="917" t="s">
        <v>507</v>
      </c>
      <c r="F300" s="600" t="s">
        <v>497</v>
      </c>
      <c r="G300" s="600" t="s">
        <v>497</v>
      </c>
      <c r="H300" s="601">
        <v>670063</v>
      </c>
      <c r="I300" s="602">
        <v>105397888.78</v>
      </c>
      <c r="J300" s="602">
        <v>0</v>
      </c>
      <c r="K300" s="602">
        <v>101103010.47025</v>
      </c>
      <c r="L300" s="602">
        <v>1390195.42</v>
      </c>
      <c r="M300" s="498">
        <v>4.1591777489936099</v>
      </c>
      <c r="N300" s="602">
        <v>3.2058991043932101</v>
      </c>
      <c r="O300" s="602">
        <v>0.95327864460049305</v>
      </c>
      <c r="P300" s="498">
        <v>1071564.2660350001</v>
      </c>
      <c r="Q300" s="602">
        <v>318631.153965</v>
      </c>
      <c r="R300" s="602">
        <v>0</v>
      </c>
      <c r="S300" s="602">
        <v>0</v>
      </c>
      <c r="T300" s="602">
        <v>0</v>
      </c>
      <c r="U300" s="602">
        <v>0</v>
      </c>
      <c r="V300" s="602">
        <v>0</v>
      </c>
      <c r="W300" s="602">
        <v>0</v>
      </c>
      <c r="X300" s="602">
        <v>0</v>
      </c>
      <c r="Y300" s="602">
        <v>0</v>
      </c>
      <c r="Z300" s="602">
        <v>0</v>
      </c>
      <c r="AA300" s="602">
        <v>0</v>
      </c>
      <c r="AB300" s="602">
        <v>0</v>
      </c>
      <c r="AC300" s="602">
        <v>0</v>
      </c>
      <c r="AD300" s="602">
        <v>0</v>
      </c>
      <c r="AE300" s="602">
        <v>0</v>
      </c>
      <c r="AF300" s="602">
        <v>0</v>
      </c>
      <c r="AG300" s="602">
        <v>0</v>
      </c>
      <c r="AH300" s="602">
        <v>0</v>
      </c>
      <c r="AI300" s="602">
        <v>0</v>
      </c>
      <c r="AJ300" s="498">
        <v>0</v>
      </c>
      <c r="AK300" s="498">
        <v>0</v>
      </c>
      <c r="AL300" s="602">
        <v>3.2058991043932101</v>
      </c>
      <c r="AM300" s="602">
        <v>0.95327864460049305</v>
      </c>
      <c r="AN300" s="498">
        <v>1071564.2660350001</v>
      </c>
      <c r="AO300" s="603">
        <v>318631.153965</v>
      </c>
    </row>
    <row r="301" spans="1:41" ht="12" thickBot="1">
      <c r="A301" s="918"/>
      <c r="B301" s="918"/>
      <c r="C301" s="919"/>
      <c r="D301" s="919"/>
      <c r="E301" s="919"/>
      <c r="F301" s="600" t="s">
        <v>498</v>
      </c>
      <c r="G301" s="600" t="s">
        <v>498</v>
      </c>
      <c r="H301" s="601">
        <v>670064</v>
      </c>
      <c r="I301" s="602">
        <v>535213216.19</v>
      </c>
      <c r="J301" s="602">
        <v>0.69326015837449095</v>
      </c>
      <c r="K301" s="602">
        <v>421237597.07438302</v>
      </c>
      <c r="L301" s="602">
        <v>6660553.6500000004</v>
      </c>
      <c r="M301" s="498">
        <v>4.7827636430667599</v>
      </c>
      <c r="N301" s="602">
        <v>3.2049126510212802</v>
      </c>
      <c r="O301" s="602">
        <v>1.5778509920455099</v>
      </c>
      <c r="P301" s="498">
        <v>4463212.9556799997</v>
      </c>
      <c r="Q301" s="602">
        <v>2197340.6943199998</v>
      </c>
      <c r="R301" s="602">
        <v>0</v>
      </c>
      <c r="S301" s="602">
        <v>0</v>
      </c>
      <c r="T301" s="602">
        <v>0</v>
      </c>
      <c r="U301" s="602">
        <v>0</v>
      </c>
      <c r="V301" s="602">
        <v>0</v>
      </c>
      <c r="W301" s="602">
        <v>0</v>
      </c>
      <c r="X301" s="602">
        <v>0</v>
      </c>
      <c r="Y301" s="602">
        <v>0</v>
      </c>
      <c r="Z301" s="602">
        <v>0</v>
      </c>
      <c r="AA301" s="602">
        <v>0</v>
      </c>
      <c r="AB301" s="602">
        <v>0</v>
      </c>
      <c r="AC301" s="602">
        <v>0</v>
      </c>
      <c r="AD301" s="602">
        <v>0</v>
      </c>
      <c r="AE301" s="602">
        <v>0</v>
      </c>
      <c r="AF301" s="602">
        <v>0</v>
      </c>
      <c r="AG301" s="602">
        <v>0</v>
      </c>
      <c r="AH301" s="602">
        <v>0</v>
      </c>
      <c r="AI301" s="602">
        <v>0</v>
      </c>
      <c r="AJ301" s="498">
        <v>0</v>
      </c>
      <c r="AK301" s="498">
        <v>0</v>
      </c>
      <c r="AL301" s="602">
        <v>3.2049126510212802</v>
      </c>
      <c r="AM301" s="602">
        <v>1.5778509920455099</v>
      </c>
      <c r="AN301" s="498">
        <v>4463212.9556799997</v>
      </c>
      <c r="AO301" s="603">
        <v>2197340.6943199998</v>
      </c>
    </row>
    <row r="302" spans="1:41" ht="12" thickBot="1">
      <c r="A302" s="918"/>
      <c r="B302" s="919"/>
      <c r="C302" s="600" t="s">
        <v>508</v>
      </c>
      <c r="D302" s="600" t="s">
        <v>509</v>
      </c>
      <c r="E302" s="600" t="s">
        <v>509</v>
      </c>
      <c r="F302" s="600" t="s">
        <v>509</v>
      </c>
      <c r="G302" s="600" t="s">
        <v>509</v>
      </c>
      <c r="H302" s="601">
        <v>670074</v>
      </c>
      <c r="I302" s="602">
        <v>1250710.31</v>
      </c>
      <c r="J302" s="602">
        <v>0.200745478783172</v>
      </c>
      <c r="K302" s="602">
        <v>1193177.2732239999</v>
      </c>
      <c r="L302" s="602">
        <v>23201.48</v>
      </c>
      <c r="M302" s="498">
        <v>5.88174824317242</v>
      </c>
      <c r="N302" s="602">
        <v>3.20691944439882</v>
      </c>
      <c r="O302" s="602">
        <v>2.6748287987778299</v>
      </c>
      <c r="P302" s="498">
        <v>12650.197572999999</v>
      </c>
      <c r="Q302" s="602">
        <v>10551.282427</v>
      </c>
      <c r="R302" s="602">
        <v>0</v>
      </c>
      <c r="S302" s="602">
        <v>0</v>
      </c>
      <c r="T302" s="602">
        <v>0</v>
      </c>
      <c r="U302" s="602">
        <v>0</v>
      </c>
      <c r="V302" s="602">
        <v>0</v>
      </c>
      <c r="W302" s="602">
        <v>0</v>
      </c>
      <c r="X302" s="602">
        <v>0</v>
      </c>
      <c r="Y302" s="602">
        <v>0</v>
      </c>
      <c r="Z302" s="602">
        <v>0</v>
      </c>
      <c r="AA302" s="602">
        <v>0</v>
      </c>
      <c r="AB302" s="602">
        <v>0</v>
      </c>
      <c r="AC302" s="602">
        <v>0</v>
      </c>
      <c r="AD302" s="602">
        <v>0</v>
      </c>
      <c r="AE302" s="602">
        <v>0</v>
      </c>
      <c r="AF302" s="602">
        <v>0</v>
      </c>
      <c r="AG302" s="602">
        <v>0</v>
      </c>
      <c r="AH302" s="602">
        <v>0</v>
      </c>
      <c r="AI302" s="602">
        <v>0</v>
      </c>
      <c r="AJ302" s="498">
        <v>0</v>
      </c>
      <c r="AK302" s="498">
        <v>0</v>
      </c>
      <c r="AL302" s="602">
        <v>3.20691944439882</v>
      </c>
      <c r="AM302" s="602">
        <v>2.6748287987778299</v>
      </c>
      <c r="AN302" s="498">
        <v>12650.197572999999</v>
      </c>
      <c r="AO302" s="603">
        <v>10551.282427</v>
      </c>
    </row>
    <row r="303" spans="1:41" ht="12" thickBot="1">
      <c r="A303" s="918"/>
      <c r="B303" s="917" t="s">
        <v>510</v>
      </c>
      <c r="C303" s="917" t="s">
        <v>511</v>
      </c>
      <c r="D303" s="600" t="s">
        <v>496</v>
      </c>
      <c r="E303" s="600" t="s">
        <v>496</v>
      </c>
      <c r="F303" s="600" t="s">
        <v>496</v>
      </c>
      <c r="G303" s="600" t="s">
        <v>496</v>
      </c>
      <c r="H303" s="601">
        <v>671001</v>
      </c>
      <c r="I303" s="602">
        <v>13965308.199999999</v>
      </c>
      <c r="J303" s="602">
        <v>0</v>
      </c>
      <c r="K303" s="602">
        <v>15629196.110495999</v>
      </c>
      <c r="L303" s="602">
        <v>0</v>
      </c>
      <c r="M303" s="498">
        <v>0</v>
      </c>
      <c r="N303" s="602">
        <v>3.33682903942855</v>
      </c>
      <c r="O303" s="602">
        <v>3.33682903942855</v>
      </c>
      <c r="P303" s="498">
        <v>172414.93466599999</v>
      </c>
      <c r="Q303" s="602">
        <v>172414.93466599999</v>
      </c>
      <c r="R303" s="602">
        <v>0</v>
      </c>
      <c r="S303" s="602">
        <v>0</v>
      </c>
      <c r="T303" s="602">
        <v>0</v>
      </c>
      <c r="U303" s="602">
        <v>0</v>
      </c>
      <c r="V303" s="602">
        <v>4.4249356845450002E-3</v>
      </c>
      <c r="W303" s="602">
        <v>228.63772399999999</v>
      </c>
      <c r="X303" s="602">
        <v>0</v>
      </c>
      <c r="Y303" s="602">
        <v>0</v>
      </c>
      <c r="Z303" s="602">
        <v>0</v>
      </c>
      <c r="AA303" s="602">
        <v>0</v>
      </c>
      <c r="AB303" s="602">
        <v>0</v>
      </c>
      <c r="AC303" s="602">
        <v>0</v>
      </c>
      <c r="AD303" s="602">
        <v>0</v>
      </c>
      <c r="AE303" s="602">
        <v>0</v>
      </c>
      <c r="AF303" s="602">
        <v>0</v>
      </c>
      <c r="AG303" s="602">
        <v>0</v>
      </c>
      <c r="AH303" s="602">
        <v>0</v>
      </c>
      <c r="AI303" s="602">
        <v>0</v>
      </c>
      <c r="AJ303" s="498">
        <v>0</v>
      </c>
      <c r="AK303" s="498">
        <v>0</v>
      </c>
      <c r="AL303" s="602">
        <v>3.34125396832003</v>
      </c>
      <c r="AM303" s="602">
        <v>3.34125396832003</v>
      </c>
      <c r="AN303" s="498">
        <v>172643.57203899999</v>
      </c>
      <c r="AO303" s="603">
        <v>172643.57203899999</v>
      </c>
    </row>
    <row r="304" spans="1:41" ht="12" thickBot="1">
      <c r="A304" s="918"/>
      <c r="B304" s="918"/>
      <c r="C304" s="918"/>
      <c r="D304" s="917" t="s">
        <v>500</v>
      </c>
      <c r="E304" s="600" t="s">
        <v>500</v>
      </c>
      <c r="F304" s="600" t="s">
        <v>500</v>
      </c>
      <c r="G304" s="600" t="s">
        <v>500</v>
      </c>
      <c r="H304" s="601">
        <v>671011</v>
      </c>
      <c r="I304" s="602">
        <v>476371.53</v>
      </c>
      <c r="J304" s="602">
        <v>0</v>
      </c>
      <c r="K304" s="602">
        <v>508840.709011</v>
      </c>
      <c r="L304" s="602">
        <v>0</v>
      </c>
      <c r="M304" s="498">
        <v>0</v>
      </c>
      <c r="N304" s="602">
        <v>3.3365630220293401</v>
      </c>
      <c r="O304" s="602">
        <v>3.3365630220293401</v>
      </c>
      <c r="P304" s="498">
        <v>5612.8762390000002</v>
      </c>
      <c r="Q304" s="602">
        <v>5612.8762390000002</v>
      </c>
      <c r="R304" s="602">
        <v>0</v>
      </c>
      <c r="S304" s="602">
        <v>0</v>
      </c>
      <c r="T304" s="602">
        <v>0</v>
      </c>
      <c r="U304" s="602">
        <v>0</v>
      </c>
      <c r="V304" s="602">
        <v>1.0238760363329999E-3</v>
      </c>
      <c r="W304" s="602">
        <v>1.7223980000000001</v>
      </c>
      <c r="X304" s="602">
        <v>0</v>
      </c>
      <c r="Y304" s="602">
        <v>0</v>
      </c>
      <c r="Z304" s="602">
        <v>0</v>
      </c>
      <c r="AA304" s="602">
        <v>0</v>
      </c>
      <c r="AB304" s="602">
        <v>0</v>
      </c>
      <c r="AC304" s="602">
        <v>0</v>
      </c>
      <c r="AD304" s="602">
        <v>0</v>
      </c>
      <c r="AE304" s="602">
        <v>0</v>
      </c>
      <c r="AF304" s="602">
        <v>0</v>
      </c>
      <c r="AG304" s="602">
        <v>0</v>
      </c>
      <c r="AH304" s="602">
        <v>0</v>
      </c>
      <c r="AI304" s="602">
        <v>0</v>
      </c>
      <c r="AJ304" s="498">
        <v>0</v>
      </c>
      <c r="AK304" s="498">
        <v>0</v>
      </c>
      <c r="AL304" s="602">
        <v>3.3375867690704601</v>
      </c>
      <c r="AM304" s="602">
        <v>3.3375867690704601</v>
      </c>
      <c r="AN304" s="498">
        <v>5614.5984200000003</v>
      </c>
      <c r="AO304" s="603">
        <v>5614.5984200000003</v>
      </c>
    </row>
    <row r="305" spans="1:41" ht="12" thickBot="1">
      <c r="A305" s="918"/>
      <c r="B305" s="918"/>
      <c r="C305" s="918"/>
      <c r="D305" s="919"/>
      <c r="E305" s="600" t="s">
        <v>502</v>
      </c>
      <c r="F305" s="600" t="s">
        <v>502</v>
      </c>
      <c r="G305" s="600" t="s">
        <v>502</v>
      </c>
      <c r="H305" s="601">
        <v>671012</v>
      </c>
      <c r="I305" s="602">
        <v>1510114.96</v>
      </c>
      <c r="J305" s="602">
        <v>0</v>
      </c>
      <c r="K305" s="602">
        <v>1584687.8844620001</v>
      </c>
      <c r="L305" s="602">
        <v>0</v>
      </c>
      <c r="M305" s="498">
        <v>0</v>
      </c>
      <c r="N305" s="602">
        <v>3.3355814863086302</v>
      </c>
      <c r="O305" s="602">
        <v>3.3355814863086302</v>
      </c>
      <c r="P305" s="498">
        <v>17475.096280000002</v>
      </c>
      <c r="Q305" s="602">
        <v>17475.096280000002</v>
      </c>
      <c r="R305" s="602">
        <v>0</v>
      </c>
      <c r="S305" s="602">
        <v>0</v>
      </c>
      <c r="T305" s="602">
        <v>0</v>
      </c>
      <c r="U305" s="602">
        <v>0</v>
      </c>
      <c r="V305" s="602">
        <v>1.0653840869417E-2</v>
      </c>
      <c r="W305" s="602">
        <v>55.815424</v>
      </c>
      <c r="X305" s="602">
        <v>0</v>
      </c>
      <c r="Y305" s="602">
        <v>0</v>
      </c>
      <c r="Z305" s="602">
        <v>0</v>
      </c>
      <c r="AA305" s="602">
        <v>0</v>
      </c>
      <c r="AB305" s="602">
        <v>0</v>
      </c>
      <c r="AC305" s="602">
        <v>0</v>
      </c>
      <c r="AD305" s="602">
        <v>0</v>
      </c>
      <c r="AE305" s="602">
        <v>0</v>
      </c>
      <c r="AF305" s="602">
        <v>0</v>
      </c>
      <c r="AG305" s="602">
        <v>0</v>
      </c>
      <c r="AH305" s="602">
        <v>0</v>
      </c>
      <c r="AI305" s="602">
        <v>0</v>
      </c>
      <c r="AJ305" s="498">
        <v>0</v>
      </c>
      <c r="AK305" s="498">
        <v>0</v>
      </c>
      <c r="AL305" s="602">
        <v>3.3462353468382999</v>
      </c>
      <c r="AM305" s="602">
        <v>3.3462353468382999</v>
      </c>
      <c r="AN305" s="498">
        <v>17530.911807</v>
      </c>
      <c r="AO305" s="603">
        <v>17530.911807</v>
      </c>
    </row>
    <row r="306" spans="1:41" ht="12" thickBot="1">
      <c r="A306" s="918"/>
      <c r="B306" s="918"/>
      <c r="C306" s="918"/>
      <c r="D306" s="917" t="s">
        <v>503</v>
      </c>
      <c r="E306" s="600" t="s">
        <v>504</v>
      </c>
      <c r="F306" s="600" t="s">
        <v>504</v>
      </c>
      <c r="G306" s="600" t="s">
        <v>504</v>
      </c>
      <c r="H306" s="601">
        <v>671061</v>
      </c>
      <c r="I306" s="602">
        <v>1228241.6000000001</v>
      </c>
      <c r="J306" s="602">
        <v>0</v>
      </c>
      <c r="K306" s="602">
        <v>1554763.5495869999</v>
      </c>
      <c r="L306" s="602">
        <v>0</v>
      </c>
      <c r="M306" s="498">
        <v>0</v>
      </c>
      <c r="N306" s="602">
        <v>3.3368123799441798</v>
      </c>
      <c r="O306" s="602">
        <v>3.3368123799441798</v>
      </c>
      <c r="P306" s="498">
        <v>17151.433483000001</v>
      </c>
      <c r="Q306" s="602">
        <v>17151.433483000001</v>
      </c>
      <c r="R306" s="602">
        <v>0</v>
      </c>
      <c r="S306" s="602">
        <v>0</v>
      </c>
      <c r="T306" s="602">
        <v>0</v>
      </c>
      <c r="U306" s="602">
        <v>0</v>
      </c>
      <c r="V306" s="602">
        <v>0</v>
      </c>
      <c r="W306" s="602">
        <v>0</v>
      </c>
      <c r="X306" s="602">
        <v>0</v>
      </c>
      <c r="Y306" s="602">
        <v>0</v>
      </c>
      <c r="Z306" s="602">
        <v>0</v>
      </c>
      <c r="AA306" s="602">
        <v>0</v>
      </c>
      <c r="AB306" s="602">
        <v>0</v>
      </c>
      <c r="AC306" s="602">
        <v>0</v>
      </c>
      <c r="AD306" s="602">
        <v>0</v>
      </c>
      <c r="AE306" s="602">
        <v>0</v>
      </c>
      <c r="AF306" s="602">
        <v>0</v>
      </c>
      <c r="AG306" s="602">
        <v>0</v>
      </c>
      <c r="AH306" s="602">
        <v>0</v>
      </c>
      <c r="AI306" s="602">
        <v>0</v>
      </c>
      <c r="AJ306" s="498">
        <v>0</v>
      </c>
      <c r="AK306" s="498">
        <v>0</v>
      </c>
      <c r="AL306" s="602">
        <v>3.3368123799441798</v>
      </c>
      <c r="AM306" s="602">
        <v>3.3368123799441798</v>
      </c>
      <c r="AN306" s="498">
        <v>17151.433483000001</v>
      </c>
      <c r="AO306" s="603">
        <v>17151.433483000001</v>
      </c>
    </row>
    <row r="307" spans="1:41" ht="12" thickBot="1">
      <c r="A307" s="918"/>
      <c r="B307" s="918"/>
      <c r="C307" s="918"/>
      <c r="D307" s="919"/>
      <c r="E307" s="600" t="s">
        <v>505</v>
      </c>
      <c r="F307" s="600" t="s">
        <v>505</v>
      </c>
      <c r="G307" s="600" t="s">
        <v>505</v>
      </c>
      <c r="H307" s="601">
        <v>671021</v>
      </c>
      <c r="I307" s="602">
        <v>293985.13</v>
      </c>
      <c r="J307" s="602">
        <v>0</v>
      </c>
      <c r="K307" s="602">
        <v>235140.88718799999</v>
      </c>
      <c r="L307" s="602">
        <v>0</v>
      </c>
      <c r="M307" s="498">
        <v>0</v>
      </c>
      <c r="N307" s="602">
        <v>3.3326271958492302</v>
      </c>
      <c r="O307" s="602">
        <v>3.3326271958492302</v>
      </c>
      <c r="P307" s="498">
        <v>2590.712207</v>
      </c>
      <c r="Q307" s="602">
        <v>2590.712207</v>
      </c>
      <c r="R307" s="602">
        <v>0</v>
      </c>
      <c r="S307" s="602">
        <v>0</v>
      </c>
      <c r="T307" s="602">
        <v>0</v>
      </c>
      <c r="U307" s="602">
        <v>0</v>
      </c>
      <c r="V307" s="602">
        <v>5.4027746440000001E-6</v>
      </c>
      <c r="W307" s="602">
        <v>4.1999999999999997E-3</v>
      </c>
      <c r="X307" s="602">
        <v>0</v>
      </c>
      <c r="Y307" s="602">
        <v>0</v>
      </c>
      <c r="Z307" s="602">
        <v>0</v>
      </c>
      <c r="AA307" s="602">
        <v>0</v>
      </c>
      <c r="AB307" s="602">
        <v>0</v>
      </c>
      <c r="AC307" s="602">
        <v>0</v>
      </c>
      <c r="AD307" s="602">
        <v>0</v>
      </c>
      <c r="AE307" s="602">
        <v>0</v>
      </c>
      <c r="AF307" s="602">
        <v>0</v>
      </c>
      <c r="AG307" s="602">
        <v>0</v>
      </c>
      <c r="AH307" s="602">
        <v>0</v>
      </c>
      <c r="AI307" s="602">
        <v>0</v>
      </c>
      <c r="AJ307" s="498">
        <v>0</v>
      </c>
      <c r="AK307" s="498">
        <v>0</v>
      </c>
      <c r="AL307" s="602">
        <v>3.3326325986238698</v>
      </c>
      <c r="AM307" s="602">
        <v>3.3326325986238698</v>
      </c>
      <c r="AN307" s="498">
        <v>2590.7164069999999</v>
      </c>
      <c r="AO307" s="603">
        <v>2590.7164069999999</v>
      </c>
    </row>
    <row r="308" spans="1:41" ht="12" thickBot="1">
      <c r="A308" s="918"/>
      <c r="B308" s="918"/>
      <c r="C308" s="919"/>
      <c r="D308" s="600" t="s">
        <v>506</v>
      </c>
      <c r="E308" s="600" t="s">
        <v>506</v>
      </c>
      <c r="F308" s="600" t="s">
        <v>506</v>
      </c>
      <c r="G308" s="600" t="s">
        <v>506</v>
      </c>
      <c r="H308" s="601">
        <v>671031</v>
      </c>
      <c r="I308" s="602">
        <v>8813839.5899999999</v>
      </c>
      <c r="J308" s="602">
        <v>0</v>
      </c>
      <c r="K308" s="602">
        <v>8698225.767523</v>
      </c>
      <c r="L308" s="602">
        <v>0</v>
      </c>
      <c r="M308" s="498">
        <v>0</v>
      </c>
      <c r="N308" s="602">
        <v>3.3354504484213701</v>
      </c>
      <c r="O308" s="602">
        <v>3.3354504484213701</v>
      </c>
      <c r="P308" s="498">
        <v>95915.645504</v>
      </c>
      <c r="Q308" s="602">
        <v>95915.645504</v>
      </c>
      <c r="R308" s="602">
        <v>0</v>
      </c>
      <c r="S308" s="602">
        <v>0</v>
      </c>
      <c r="T308" s="602">
        <v>0</v>
      </c>
      <c r="U308" s="602">
        <v>0</v>
      </c>
      <c r="V308" s="602">
        <v>2.0791448779810002E-3</v>
      </c>
      <c r="W308" s="602">
        <v>59.788783000000002</v>
      </c>
      <c r="X308" s="602">
        <v>0</v>
      </c>
      <c r="Y308" s="602">
        <v>0</v>
      </c>
      <c r="Z308" s="602">
        <v>0</v>
      </c>
      <c r="AA308" s="602">
        <v>0</v>
      </c>
      <c r="AB308" s="602">
        <v>0</v>
      </c>
      <c r="AC308" s="602">
        <v>0</v>
      </c>
      <c r="AD308" s="602">
        <v>0</v>
      </c>
      <c r="AE308" s="602">
        <v>0</v>
      </c>
      <c r="AF308" s="602">
        <v>0</v>
      </c>
      <c r="AG308" s="602">
        <v>0</v>
      </c>
      <c r="AH308" s="602">
        <v>0</v>
      </c>
      <c r="AI308" s="602">
        <v>0</v>
      </c>
      <c r="AJ308" s="498">
        <v>0</v>
      </c>
      <c r="AK308" s="498">
        <v>0</v>
      </c>
      <c r="AL308" s="602">
        <v>3.3375295937862002</v>
      </c>
      <c r="AM308" s="602">
        <v>3.3375295937862002</v>
      </c>
      <c r="AN308" s="498">
        <v>95975.434301000001</v>
      </c>
      <c r="AO308" s="603">
        <v>95975.434301000001</v>
      </c>
    </row>
    <row r="309" spans="1:41" ht="12" thickBot="1">
      <c r="A309" s="919"/>
      <c r="B309" s="919"/>
      <c r="C309" s="600" t="s">
        <v>512</v>
      </c>
      <c r="D309" s="600" t="s">
        <v>509</v>
      </c>
      <c r="E309" s="600" t="s">
        <v>509</v>
      </c>
      <c r="F309" s="600" t="s">
        <v>509</v>
      </c>
      <c r="G309" s="600" t="s">
        <v>509</v>
      </c>
      <c r="H309" s="601">
        <v>671051</v>
      </c>
      <c r="I309" s="602">
        <v>79246.570000000007</v>
      </c>
      <c r="J309" s="602">
        <v>0</v>
      </c>
      <c r="K309" s="602">
        <v>114771.62529</v>
      </c>
      <c r="L309" s="602">
        <v>0</v>
      </c>
      <c r="M309" s="498">
        <v>0</v>
      </c>
      <c r="N309" s="602">
        <v>3.3373960585123599</v>
      </c>
      <c r="O309" s="602">
        <v>3.3373960585123599</v>
      </c>
      <c r="P309" s="498">
        <v>1266.329037</v>
      </c>
      <c r="Q309" s="602">
        <v>1266.329037</v>
      </c>
      <c r="R309" s="602">
        <v>0</v>
      </c>
      <c r="S309" s="602">
        <v>0</v>
      </c>
      <c r="T309" s="602">
        <v>0</v>
      </c>
      <c r="U309" s="602">
        <v>0</v>
      </c>
      <c r="V309" s="602">
        <v>0</v>
      </c>
      <c r="W309" s="602">
        <v>0</v>
      </c>
      <c r="X309" s="602">
        <v>0</v>
      </c>
      <c r="Y309" s="602">
        <v>0</v>
      </c>
      <c r="Z309" s="602">
        <v>0</v>
      </c>
      <c r="AA309" s="602">
        <v>0</v>
      </c>
      <c r="AB309" s="602">
        <v>0</v>
      </c>
      <c r="AC309" s="602">
        <v>0</v>
      </c>
      <c r="AD309" s="602">
        <v>0</v>
      </c>
      <c r="AE309" s="602">
        <v>0</v>
      </c>
      <c r="AF309" s="602">
        <v>0</v>
      </c>
      <c r="AG309" s="602">
        <v>0</v>
      </c>
      <c r="AH309" s="602">
        <v>0</v>
      </c>
      <c r="AI309" s="602">
        <v>0</v>
      </c>
      <c r="AJ309" s="498">
        <v>0</v>
      </c>
      <c r="AK309" s="498">
        <v>0</v>
      </c>
      <c r="AL309" s="602">
        <v>3.3373960585123599</v>
      </c>
      <c r="AM309" s="602">
        <v>3.3373960585123599</v>
      </c>
      <c r="AN309" s="498">
        <v>1266.329037</v>
      </c>
      <c r="AO309" s="603">
        <v>1266.329037</v>
      </c>
    </row>
    <row r="310" spans="1:41" ht="12" thickBot="1">
      <c r="A310" s="917" t="s">
        <v>490</v>
      </c>
      <c r="B310" s="600" t="s">
        <v>513</v>
      </c>
      <c r="C310" s="600" t="s">
        <v>513</v>
      </c>
      <c r="D310" s="600" t="s">
        <v>513</v>
      </c>
      <c r="E310" s="600" t="s">
        <v>513</v>
      </c>
      <c r="F310" s="600" t="s">
        <v>513</v>
      </c>
      <c r="G310" s="600" t="s">
        <v>513</v>
      </c>
      <c r="H310" s="601">
        <v>770001</v>
      </c>
      <c r="I310" s="602">
        <v>2109736650</v>
      </c>
      <c r="J310" s="602">
        <v>0</v>
      </c>
      <c r="K310" s="602">
        <v>2109736650</v>
      </c>
      <c r="L310" s="602">
        <v>0</v>
      </c>
      <c r="M310" s="498">
        <v>0</v>
      </c>
      <c r="N310" s="602">
        <v>3.4961570247923799</v>
      </c>
      <c r="O310" s="602">
        <v>-3.4961570247923799</v>
      </c>
      <c r="P310" s="498">
        <v>24385039.446242999</v>
      </c>
      <c r="Q310" s="602">
        <v>-24385039.446242999</v>
      </c>
      <c r="R310" s="602">
        <v>0</v>
      </c>
      <c r="S310" s="602">
        <v>0</v>
      </c>
      <c r="T310" s="602">
        <v>0</v>
      </c>
      <c r="U310" s="602">
        <v>0</v>
      </c>
      <c r="V310" s="602">
        <v>0</v>
      </c>
      <c r="W310" s="602">
        <v>0</v>
      </c>
      <c r="X310" s="602">
        <v>0</v>
      </c>
      <c r="Y310" s="602">
        <v>0</v>
      </c>
      <c r="Z310" s="602">
        <v>0</v>
      </c>
      <c r="AA310" s="602">
        <v>0</v>
      </c>
      <c r="AB310" s="602">
        <v>0</v>
      </c>
      <c r="AC310" s="602">
        <v>0</v>
      </c>
      <c r="AD310" s="602">
        <v>0</v>
      </c>
      <c r="AE310" s="602">
        <v>0</v>
      </c>
      <c r="AF310" s="602">
        <v>0</v>
      </c>
      <c r="AG310" s="602">
        <v>0</v>
      </c>
      <c r="AH310" s="602">
        <v>0</v>
      </c>
      <c r="AI310" s="602">
        <v>0</v>
      </c>
      <c r="AJ310" s="498">
        <v>0</v>
      </c>
      <c r="AK310" s="498">
        <v>0</v>
      </c>
      <c r="AL310" s="602">
        <v>3.4961570247923799</v>
      </c>
      <c r="AM310" s="602">
        <v>-3.4961570247923799</v>
      </c>
      <c r="AN310" s="498">
        <v>24385039.446242999</v>
      </c>
      <c r="AO310" s="603">
        <v>-24385039.446242999</v>
      </c>
    </row>
    <row r="311" spans="1:41" ht="12" thickBot="1">
      <c r="A311" s="918"/>
      <c r="B311" s="600" t="s">
        <v>514</v>
      </c>
      <c r="C311" s="600" t="s">
        <v>515</v>
      </c>
      <c r="D311" s="600" t="s">
        <v>515</v>
      </c>
      <c r="E311" s="600" t="s">
        <v>515</v>
      </c>
      <c r="F311" s="600" t="s">
        <v>515</v>
      </c>
      <c r="G311" s="600" t="s">
        <v>515</v>
      </c>
      <c r="H311" s="601">
        <v>770521</v>
      </c>
      <c r="I311" s="602">
        <v>682953578.90999997</v>
      </c>
      <c r="J311" s="602">
        <v>0</v>
      </c>
      <c r="K311" s="602">
        <v>678458309.583058</v>
      </c>
      <c r="L311" s="602">
        <v>0</v>
      </c>
      <c r="M311" s="498">
        <v>0</v>
      </c>
      <c r="N311" s="602">
        <v>4.2374127838115996</v>
      </c>
      <c r="O311" s="602">
        <v>-4.2374127838115996</v>
      </c>
      <c r="P311" s="498">
        <v>9504476.9844690003</v>
      </c>
      <c r="Q311" s="602">
        <v>-9504476.9844690003</v>
      </c>
      <c r="R311" s="602">
        <v>0</v>
      </c>
      <c r="S311" s="602">
        <v>0</v>
      </c>
      <c r="T311" s="602">
        <v>0</v>
      </c>
      <c r="U311" s="602">
        <v>0</v>
      </c>
      <c r="V311" s="602">
        <v>0</v>
      </c>
      <c r="W311" s="602">
        <v>0</v>
      </c>
      <c r="X311" s="602">
        <v>0</v>
      </c>
      <c r="Y311" s="602">
        <v>0</v>
      </c>
      <c r="Z311" s="602">
        <v>0</v>
      </c>
      <c r="AA311" s="602">
        <v>0</v>
      </c>
      <c r="AB311" s="602">
        <v>0</v>
      </c>
      <c r="AC311" s="602">
        <v>0</v>
      </c>
      <c r="AD311" s="602">
        <v>0</v>
      </c>
      <c r="AE311" s="602">
        <v>0</v>
      </c>
      <c r="AF311" s="602">
        <v>0</v>
      </c>
      <c r="AG311" s="602">
        <v>0</v>
      </c>
      <c r="AH311" s="602">
        <v>0</v>
      </c>
      <c r="AI311" s="602">
        <v>0</v>
      </c>
      <c r="AJ311" s="498">
        <v>0</v>
      </c>
      <c r="AK311" s="498">
        <v>0</v>
      </c>
      <c r="AL311" s="602">
        <v>4.2374127838115996</v>
      </c>
      <c r="AM311" s="602">
        <v>-4.2374127838115996</v>
      </c>
      <c r="AN311" s="498">
        <v>9504476.9844690003</v>
      </c>
      <c r="AO311" s="603">
        <v>-9504476.9844690003</v>
      </c>
    </row>
    <row r="312" spans="1:41" ht="12" thickBot="1">
      <c r="A312" s="918"/>
      <c r="B312" s="600" t="s">
        <v>516</v>
      </c>
      <c r="C312" s="600" t="s">
        <v>517</v>
      </c>
      <c r="D312" s="600" t="s">
        <v>517</v>
      </c>
      <c r="E312" s="600" t="s">
        <v>517</v>
      </c>
      <c r="F312" s="600" t="s">
        <v>517</v>
      </c>
      <c r="G312" s="600" t="s">
        <v>517</v>
      </c>
      <c r="H312" s="601">
        <v>771001</v>
      </c>
      <c r="I312" s="602">
        <v>5808358304.0983696</v>
      </c>
      <c r="J312" s="602">
        <v>0</v>
      </c>
      <c r="K312" s="602">
        <v>4359365659.89118</v>
      </c>
      <c r="L312" s="602">
        <v>0</v>
      </c>
      <c r="M312" s="498">
        <v>0</v>
      </c>
      <c r="N312" s="602">
        <v>2.8188208212247399</v>
      </c>
      <c r="O312" s="602">
        <v>-1.7367439156787401</v>
      </c>
      <c r="P312" s="498">
        <v>40625157.197306901</v>
      </c>
      <c r="Q312" s="602">
        <v>-25030145.248912901</v>
      </c>
      <c r="R312" s="602">
        <v>0</v>
      </c>
      <c r="S312" s="602">
        <v>0</v>
      </c>
      <c r="T312" s="602">
        <v>0</v>
      </c>
      <c r="U312" s="602">
        <v>0</v>
      </c>
      <c r="V312" s="602">
        <v>0</v>
      </c>
      <c r="W312" s="602">
        <v>0</v>
      </c>
      <c r="X312" s="602">
        <v>0</v>
      </c>
      <c r="Y312" s="602">
        <v>0</v>
      </c>
      <c r="Z312" s="602">
        <v>0</v>
      </c>
      <c r="AA312" s="602">
        <v>0</v>
      </c>
      <c r="AB312" s="602">
        <v>0</v>
      </c>
      <c r="AC312" s="602">
        <v>0</v>
      </c>
      <c r="AD312" s="602">
        <v>0</v>
      </c>
      <c r="AE312" s="602">
        <v>0</v>
      </c>
      <c r="AF312" s="602">
        <v>0</v>
      </c>
      <c r="AG312" s="602">
        <v>0</v>
      </c>
      <c r="AH312" s="602">
        <v>0</v>
      </c>
      <c r="AI312" s="602">
        <v>0</v>
      </c>
      <c r="AJ312" s="498">
        <v>0</v>
      </c>
      <c r="AK312" s="498">
        <v>0</v>
      </c>
      <c r="AL312" s="602">
        <v>2.8188208212247399</v>
      </c>
      <c r="AM312" s="602">
        <v>-1.7367439156787401</v>
      </c>
      <c r="AN312" s="498">
        <v>40625157.197306901</v>
      </c>
      <c r="AO312" s="603">
        <v>-25030145.248912901</v>
      </c>
    </row>
    <row r="313" spans="1:41" ht="12" thickBot="1">
      <c r="A313" s="918"/>
      <c r="B313" s="917" t="s">
        <v>490</v>
      </c>
      <c r="C313" s="917" t="s">
        <v>490</v>
      </c>
      <c r="D313" s="917" t="s">
        <v>490</v>
      </c>
      <c r="E313" s="917" t="s">
        <v>490</v>
      </c>
      <c r="F313" s="917" t="s">
        <v>490</v>
      </c>
      <c r="G313" s="600" t="s">
        <v>518</v>
      </c>
      <c r="H313" s="601">
        <v>999990</v>
      </c>
      <c r="I313" s="602">
        <v>0</v>
      </c>
      <c r="J313" s="602">
        <v>0</v>
      </c>
      <c r="K313" s="602">
        <v>0</v>
      </c>
      <c r="L313" s="602">
        <v>133.27000000000001</v>
      </c>
      <c r="M313" s="498">
        <v>0</v>
      </c>
      <c r="N313" s="602">
        <v>0</v>
      </c>
      <c r="O313" s="602">
        <v>0</v>
      </c>
      <c r="P313" s="498">
        <v>0</v>
      </c>
      <c r="Q313" s="602">
        <v>133.27000000000001</v>
      </c>
      <c r="R313" s="602">
        <v>0</v>
      </c>
      <c r="S313" s="602">
        <v>0</v>
      </c>
      <c r="T313" s="602">
        <v>0</v>
      </c>
      <c r="U313" s="602">
        <v>0</v>
      </c>
      <c r="V313" s="602">
        <v>0</v>
      </c>
      <c r="W313" s="602">
        <v>0</v>
      </c>
      <c r="X313" s="602">
        <v>0</v>
      </c>
      <c r="Y313" s="602">
        <v>0</v>
      </c>
      <c r="Z313" s="602">
        <v>0</v>
      </c>
      <c r="AA313" s="602">
        <v>0</v>
      </c>
      <c r="AB313" s="602">
        <v>0</v>
      </c>
      <c r="AC313" s="602">
        <v>0</v>
      </c>
      <c r="AD313" s="602">
        <v>0</v>
      </c>
      <c r="AE313" s="602">
        <v>0</v>
      </c>
      <c r="AF313" s="602">
        <v>0</v>
      </c>
      <c r="AG313" s="602">
        <v>0</v>
      </c>
      <c r="AH313" s="602">
        <v>0</v>
      </c>
      <c r="AI313" s="602">
        <v>0</v>
      </c>
      <c r="AJ313" s="498">
        <v>0</v>
      </c>
      <c r="AK313" s="498">
        <v>0</v>
      </c>
      <c r="AL313" s="602">
        <v>0</v>
      </c>
      <c r="AM313" s="602">
        <v>0</v>
      </c>
      <c r="AN313" s="498">
        <v>0</v>
      </c>
      <c r="AO313" s="603">
        <v>133.27000000000001</v>
      </c>
    </row>
    <row r="314" spans="1:41" ht="12" thickBot="1">
      <c r="A314" s="919"/>
      <c r="B314" s="919"/>
      <c r="C314" s="919"/>
      <c r="D314" s="919"/>
      <c r="E314" s="919"/>
      <c r="F314" s="919"/>
      <c r="G314" s="604" t="s">
        <v>490</v>
      </c>
      <c r="H314" s="605">
        <v>999999</v>
      </c>
      <c r="I314" s="606">
        <v>264294749.40000001</v>
      </c>
      <c r="J314" s="606">
        <v>0</v>
      </c>
      <c r="K314" s="606">
        <v>2056733311.49231</v>
      </c>
      <c r="L314" s="606">
        <v>25087316.09</v>
      </c>
      <c r="M314" s="499">
        <v>3.6895375505645802</v>
      </c>
      <c r="N314" s="606">
        <v>2.3219140289973899</v>
      </c>
      <c r="O314" s="606">
        <v>1.3683996586218801</v>
      </c>
      <c r="P314" s="499">
        <v>15788046.708008001</v>
      </c>
      <c r="Q314" s="606">
        <v>9304546.7901639994</v>
      </c>
      <c r="R314" s="606">
        <v>0</v>
      </c>
      <c r="S314" s="606">
        <v>0</v>
      </c>
      <c r="T314" s="606">
        <v>0</v>
      </c>
      <c r="U314" s="606">
        <v>0</v>
      </c>
      <c r="V314" s="606">
        <v>0</v>
      </c>
      <c r="W314" s="606">
        <v>0</v>
      </c>
      <c r="X314" s="606">
        <v>-1.2536931174347E-2</v>
      </c>
      <c r="Y314" s="606">
        <v>-85245.90165</v>
      </c>
      <c r="Z314" s="606">
        <v>0</v>
      </c>
      <c r="AA314" s="606">
        <v>0</v>
      </c>
      <c r="AB314" s="606">
        <v>0</v>
      </c>
      <c r="AC314" s="606">
        <v>0</v>
      </c>
      <c r="AD314" s="606">
        <v>0</v>
      </c>
      <c r="AE314" s="606">
        <v>0</v>
      </c>
      <c r="AF314" s="606">
        <v>0</v>
      </c>
      <c r="AG314" s="606">
        <v>0</v>
      </c>
      <c r="AH314" s="606">
        <v>0</v>
      </c>
      <c r="AI314" s="606">
        <v>0</v>
      </c>
      <c r="AJ314" s="499">
        <v>0</v>
      </c>
      <c r="AK314" s="499">
        <v>0</v>
      </c>
      <c r="AL314" s="606">
        <v>2.3093770978230501</v>
      </c>
      <c r="AM314" s="606">
        <v>1.38093658979623</v>
      </c>
      <c r="AN314" s="499">
        <v>15702800.806358</v>
      </c>
      <c r="AO314" s="607">
        <v>9389792.6918139998</v>
      </c>
    </row>
  </sheetData>
  <mergeCells count="206">
    <mergeCell ref="A1:AO1"/>
    <mergeCell ref="A2:AO2"/>
    <mergeCell ref="A3:AO3"/>
    <mergeCell ref="A4:H4"/>
    <mergeCell ref="I4:J4"/>
    <mergeCell ref="K4:M4"/>
    <mergeCell ref="N4:Q4"/>
    <mergeCell ref="R4:S4"/>
    <mergeCell ref="T4:U4"/>
    <mergeCell ref="V4:W4"/>
    <mergeCell ref="AJ4:AK4"/>
    <mergeCell ref="AL4:AO4"/>
    <mergeCell ref="Z4:AA4"/>
    <mergeCell ref="AB4:AC4"/>
    <mergeCell ref="AD4:AE4"/>
    <mergeCell ref="AF4:AG4"/>
    <mergeCell ref="AH4:AI4"/>
    <mergeCell ref="A6:A156"/>
    <mergeCell ref="B6:B114"/>
    <mergeCell ref="C6:C15"/>
    <mergeCell ref="D6:D14"/>
    <mergeCell ref="E6:E7"/>
    <mergeCell ref="F6:F7"/>
    <mergeCell ref="E8:E14"/>
    <mergeCell ref="C16:C54"/>
    <mergeCell ref="X4:Y4"/>
    <mergeCell ref="C55:C74"/>
    <mergeCell ref="D55:D74"/>
    <mergeCell ref="E55:E74"/>
    <mergeCell ref="F55:F60"/>
    <mergeCell ref="F61:F62"/>
    <mergeCell ref="F63:F65"/>
    <mergeCell ref="F72:F73"/>
    <mergeCell ref="F36:F39"/>
    <mergeCell ref="E40:E42"/>
    <mergeCell ref="F41:F42"/>
    <mergeCell ref="D43:D44"/>
    <mergeCell ref="E43:E44"/>
    <mergeCell ref="F43:F44"/>
    <mergeCell ref="D16:D42"/>
    <mergeCell ref="E16:E18"/>
    <mergeCell ref="F86:F90"/>
    <mergeCell ref="F92:F94"/>
    <mergeCell ref="E98:E108"/>
    <mergeCell ref="F98:F101"/>
    <mergeCell ref="F102:F104"/>
    <mergeCell ref="D45:D52"/>
    <mergeCell ref="E50:E52"/>
    <mergeCell ref="F50:F52"/>
    <mergeCell ref="F17:F18"/>
    <mergeCell ref="E19:E23"/>
    <mergeCell ref="F20:F22"/>
    <mergeCell ref="E25:E30"/>
    <mergeCell ref="F26:F29"/>
    <mergeCell ref="E31:E34"/>
    <mergeCell ref="F32:F34"/>
    <mergeCell ref="E35:E39"/>
    <mergeCell ref="F76:F80"/>
    <mergeCell ref="E109:E111"/>
    <mergeCell ref="E112:E114"/>
    <mergeCell ref="B115:B156"/>
    <mergeCell ref="C115:C121"/>
    <mergeCell ref="D115:D121"/>
    <mergeCell ref="C122:C152"/>
    <mergeCell ref="D122:D132"/>
    <mergeCell ref="D133:D135"/>
    <mergeCell ref="D140:D144"/>
    <mergeCell ref="D145:D151"/>
    <mergeCell ref="C76:C114"/>
    <mergeCell ref="D76:D114"/>
    <mergeCell ref="E76:E85"/>
    <mergeCell ref="E86:E97"/>
    <mergeCell ref="C168:C169"/>
    <mergeCell ref="C170:C171"/>
    <mergeCell ref="C172:C176"/>
    <mergeCell ref="C177:C180"/>
    <mergeCell ref="D177:D178"/>
    <mergeCell ref="C181:C185"/>
    <mergeCell ref="E147:E151"/>
    <mergeCell ref="C153:C155"/>
    <mergeCell ref="D153:D155"/>
    <mergeCell ref="E153:E155"/>
    <mergeCell ref="C157:C164"/>
    <mergeCell ref="D157:D162"/>
    <mergeCell ref="C165:C167"/>
    <mergeCell ref="D165:D166"/>
    <mergeCell ref="C208:C209"/>
    <mergeCell ref="D208:D209"/>
    <mergeCell ref="E208:E209"/>
    <mergeCell ref="F208:F209"/>
    <mergeCell ref="C210:C213"/>
    <mergeCell ref="D210:D213"/>
    <mergeCell ref="E211:E212"/>
    <mergeCell ref="F211:F212"/>
    <mergeCell ref="C186:C188"/>
    <mergeCell ref="D186:D187"/>
    <mergeCell ref="E186:E187"/>
    <mergeCell ref="F186:F187"/>
    <mergeCell ref="C191:C200"/>
    <mergeCell ref="D191:D193"/>
    <mergeCell ref="D194:D198"/>
    <mergeCell ref="D199:D200"/>
    <mergeCell ref="C201:C207"/>
    <mergeCell ref="C214:C216"/>
    <mergeCell ref="D215:D216"/>
    <mergeCell ref="E215:E216"/>
    <mergeCell ref="F215:F216"/>
    <mergeCell ref="A217:A285"/>
    <mergeCell ref="B217:B224"/>
    <mergeCell ref="C217:C224"/>
    <mergeCell ref="D217:D224"/>
    <mergeCell ref="E217:E218"/>
    <mergeCell ref="E223:E224"/>
    <mergeCell ref="B191:B216"/>
    <mergeCell ref="A157:A216"/>
    <mergeCell ref="B157:B189"/>
    <mergeCell ref="B225:B235"/>
    <mergeCell ref="C225:C235"/>
    <mergeCell ref="D225:D235"/>
    <mergeCell ref="E225:E226"/>
    <mergeCell ref="F225:F226"/>
    <mergeCell ref="E227:E228"/>
    <mergeCell ref="E230:E231"/>
    <mergeCell ref="E232:E233"/>
    <mergeCell ref="E234:E235"/>
    <mergeCell ref="F234:F235"/>
    <mergeCell ref="B236:B245"/>
    <mergeCell ref="C236:C237"/>
    <mergeCell ref="C238:C245"/>
    <mergeCell ref="D238:D240"/>
    <mergeCell ref="E238:E240"/>
    <mergeCell ref="F238:F240"/>
    <mergeCell ref="D241:D245"/>
    <mergeCell ref="E241:E245"/>
    <mergeCell ref="F241:F245"/>
    <mergeCell ref="B246:B248"/>
    <mergeCell ref="C246:C248"/>
    <mergeCell ref="D246:D248"/>
    <mergeCell ref="E246:E248"/>
    <mergeCell ref="F247:F248"/>
    <mergeCell ref="B249:B250"/>
    <mergeCell ref="C249:C250"/>
    <mergeCell ref="D249:D250"/>
    <mergeCell ref="E249:E250"/>
    <mergeCell ref="E260:E265"/>
    <mergeCell ref="F260:F265"/>
    <mergeCell ref="C266:C271"/>
    <mergeCell ref="B251:B254"/>
    <mergeCell ref="C251:C252"/>
    <mergeCell ref="D251:D252"/>
    <mergeCell ref="E251:E252"/>
    <mergeCell ref="F251:F252"/>
    <mergeCell ref="C253:C254"/>
    <mergeCell ref="D253:D254"/>
    <mergeCell ref="E253:E254"/>
    <mergeCell ref="F253:F254"/>
    <mergeCell ref="E277:E280"/>
    <mergeCell ref="F277:F280"/>
    <mergeCell ref="B281:B282"/>
    <mergeCell ref="C281:C282"/>
    <mergeCell ref="D281:D282"/>
    <mergeCell ref="E281:E282"/>
    <mergeCell ref="F281:F282"/>
    <mergeCell ref="D266:D271"/>
    <mergeCell ref="E266:E271"/>
    <mergeCell ref="F266:F271"/>
    <mergeCell ref="B272:B280"/>
    <mergeCell ref="C273:C276"/>
    <mergeCell ref="D273:D276"/>
    <mergeCell ref="E273:E276"/>
    <mergeCell ref="F273:F276"/>
    <mergeCell ref="C277:C280"/>
    <mergeCell ref="D277:D280"/>
    <mergeCell ref="B255:B271"/>
    <mergeCell ref="C255:C259"/>
    <mergeCell ref="D255:D259"/>
    <mergeCell ref="E255:E259"/>
    <mergeCell ref="F255:F259"/>
    <mergeCell ref="C260:C265"/>
    <mergeCell ref="D260:D265"/>
    <mergeCell ref="E294:E295"/>
    <mergeCell ref="E296:E297"/>
    <mergeCell ref="D298:D299"/>
    <mergeCell ref="E298:E299"/>
    <mergeCell ref="D300:D301"/>
    <mergeCell ref="E300:E301"/>
    <mergeCell ref="A286:A309"/>
    <mergeCell ref="B286:B302"/>
    <mergeCell ref="C286:C301"/>
    <mergeCell ref="D286:D289"/>
    <mergeCell ref="E286:E287"/>
    <mergeCell ref="E288:E289"/>
    <mergeCell ref="D290:D293"/>
    <mergeCell ref="E290:E291"/>
    <mergeCell ref="E292:E293"/>
    <mergeCell ref="D294:D297"/>
    <mergeCell ref="E313:E314"/>
    <mergeCell ref="F313:F314"/>
    <mergeCell ref="B303:B309"/>
    <mergeCell ref="C303:C308"/>
    <mergeCell ref="D304:D305"/>
    <mergeCell ref="D306:D307"/>
    <mergeCell ref="A310:A314"/>
    <mergeCell ref="B313:B314"/>
    <mergeCell ref="C313:C314"/>
    <mergeCell ref="D313:D31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5"/>
  <sheetViews>
    <sheetView workbookViewId="0">
      <selection activeCell="H9" sqref="H9"/>
    </sheetView>
  </sheetViews>
  <sheetFormatPr defaultRowHeight="13.5"/>
  <cols>
    <col min="2" max="3" width="18.375" bestFit="1" customWidth="1"/>
    <col min="4" max="4" width="11.625" bestFit="1" customWidth="1"/>
    <col min="5" max="5" width="17.5" bestFit="1" customWidth="1"/>
    <col min="6" max="6" width="14.625" bestFit="1" customWidth="1"/>
    <col min="7" max="7" width="10" bestFit="1" customWidth="1"/>
    <col min="8" max="8" width="7.125" bestFit="1" customWidth="1"/>
    <col min="9" max="9" width="10" bestFit="1" customWidth="1"/>
    <col min="10" max="10" width="9.375" bestFit="1" customWidth="1"/>
    <col min="11" max="14" width="10" bestFit="1" customWidth="1"/>
  </cols>
  <sheetData>
    <row r="2" spans="2:16">
      <c r="B2" s="387" t="s">
        <v>3297</v>
      </c>
      <c r="C2" s="387" t="s">
        <v>3298</v>
      </c>
      <c r="D2" s="387" t="s">
        <v>3299</v>
      </c>
    </row>
    <row r="3" spans="2:16">
      <c r="B3" s="389">
        <f>三因素分析!K36</f>
        <v>51.433279801300003</v>
      </c>
      <c r="C3" s="389">
        <f>三因素分析!D36</f>
        <v>54.309177573500008</v>
      </c>
      <c r="D3" s="389">
        <f>B3-C3</f>
        <v>-2.8758977722000054</v>
      </c>
    </row>
    <row r="6" spans="2:16">
      <c r="E6" s="857" t="s">
        <v>3308</v>
      </c>
      <c r="F6" s="855" t="s">
        <v>3300</v>
      </c>
      <c r="G6" s="855" t="s">
        <v>3310</v>
      </c>
      <c r="H6" s="855" t="s">
        <v>3301</v>
      </c>
      <c r="I6" s="855" t="s">
        <v>3302</v>
      </c>
      <c r="J6" s="855" t="s">
        <v>3303</v>
      </c>
      <c r="K6" s="855" t="s">
        <v>3304</v>
      </c>
      <c r="L6" s="859" t="s">
        <v>3309</v>
      </c>
      <c r="M6" s="859"/>
      <c r="N6" s="859"/>
      <c r="P6" s="384" t="s">
        <v>3307</v>
      </c>
    </row>
    <row r="7" spans="2:16" s="381" customFormat="1">
      <c r="E7" s="858"/>
      <c r="F7" s="856"/>
      <c r="G7" s="856"/>
      <c r="H7" s="856"/>
      <c r="I7" s="856"/>
      <c r="J7" s="856"/>
      <c r="K7" s="856"/>
      <c r="L7" s="387" t="s">
        <v>3311</v>
      </c>
      <c r="M7" s="387" t="s">
        <v>3312</v>
      </c>
      <c r="N7" s="387" t="s">
        <v>3313</v>
      </c>
      <c r="P7" s="384"/>
    </row>
    <row r="8" spans="2:16" s="311" customFormat="1">
      <c r="E8" s="387" t="s">
        <v>3317</v>
      </c>
      <c r="F8" s="392">
        <f>三因素分析!I4</f>
        <v>5993.6183767887069</v>
      </c>
      <c r="G8" s="393">
        <f>三因素分析!R4</f>
        <v>0.10723046792126292</v>
      </c>
      <c r="H8" s="390">
        <f>三因素分析!O4</f>
        <v>3.9942855624353187E-2</v>
      </c>
      <c r="I8" s="391">
        <f>H8-P8</f>
        <v>-2.7483964238636041E-3</v>
      </c>
      <c r="J8" s="394">
        <f>三因素分析!K4</f>
        <v>118.71727195060001</v>
      </c>
      <c r="K8" s="394">
        <f>三因素分析!U4</f>
        <v>8.3075515643941458</v>
      </c>
      <c r="L8" s="394">
        <f>三因素分析!Y4</f>
        <v>24.780390877163445</v>
      </c>
      <c r="M8" s="394">
        <f>三因素分析!AB4</f>
        <v>-2.0169872522104404</v>
      </c>
      <c r="N8" s="394">
        <f>三因素分析!AF4</f>
        <v>-14.45585206055884</v>
      </c>
      <c r="P8" s="385">
        <f>三因素分析!G4</f>
        <v>4.2691252048216791E-2</v>
      </c>
    </row>
    <row r="9" spans="2:16">
      <c r="E9" s="388" t="s">
        <v>165</v>
      </c>
      <c r="F9" s="395">
        <f>三因素分析!I12</f>
        <v>2368.219616483143</v>
      </c>
      <c r="G9" s="396">
        <f>三因素分析!R12</f>
        <v>8.9041146973586963E-2</v>
      </c>
      <c r="H9" s="391">
        <f>三因素分析!O12</f>
        <v>5.1390593433634529E-2</v>
      </c>
      <c r="I9" s="391">
        <f>H9-P9</f>
        <v>-3.8753849470326701E-3</v>
      </c>
      <c r="J9" s="397">
        <f>三因素分析!K12</f>
        <v>60.351951442400001</v>
      </c>
      <c r="K9" s="397">
        <f>三因素分析!U12</f>
        <v>1.5232848938980368</v>
      </c>
      <c r="L9" s="397">
        <f>三因素分析!Y12</f>
        <v>12.887056992206896</v>
      </c>
      <c r="M9" s="397">
        <f>三因素分析!AB12</f>
        <v>-2.3463807413454925</v>
      </c>
      <c r="N9" s="397">
        <f>三因素分析!AF12</f>
        <v>-9.0173913569633743</v>
      </c>
      <c r="P9" s="293">
        <f>三因素分析!G12</f>
        <v>5.5265978380667199E-2</v>
      </c>
    </row>
    <row r="10" spans="2:16">
      <c r="E10" s="388" t="s">
        <v>3314</v>
      </c>
      <c r="F10" s="395" t="e">
        <f>三因素分析!#REF!</f>
        <v>#REF!</v>
      </c>
      <c r="G10" s="396" t="e">
        <f>三因素分析!#REF!</f>
        <v>#REF!</v>
      </c>
      <c r="H10" s="391" t="e">
        <f>三因素分析!#REF!</f>
        <v>#REF!</v>
      </c>
      <c r="I10" s="391" t="e">
        <f t="shared" ref="I10:I20" si="0">H10-P10</f>
        <v>#REF!</v>
      </c>
      <c r="J10" s="397" t="e">
        <f>三因素分析!#REF!</f>
        <v>#REF!</v>
      </c>
      <c r="K10" s="397" t="e">
        <f>三因素分析!#REF!</f>
        <v>#REF!</v>
      </c>
      <c r="L10" s="397" t="e">
        <f>三因素分析!#REF!</f>
        <v>#REF!</v>
      </c>
      <c r="M10" s="397" t="e">
        <f>三因素分析!#REF!</f>
        <v>#REF!</v>
      </c>
      <c r="N10" s="397" t="e">
        <f>三因素分析!#REF!</f>
        <v>#REF!</v>
      </c>
      <c r="P10" s="293" t="e">
        <f>三因素分析!#REF!</f>
        <v>#REF!</v>
      </c>
    </row>
    <row r="11" spans="2:16">
      <c r="E11" s="388" t="s">
        <v>3315</v>
      </c>
      <c r="F11" s="395">
        <f>三因素分析!I10</f>
        <v>1086.5358718850757</v>
      </c>
      <c r="G11" s="396">
        <f>三因素分析!R10</f>
        <v>0.18777315335709668</v>
      </c>
      <c r="H11" s="391">
        <f>三因素分析!O10</f>
        <v>3.3838937057633592E-2</v>
      </c>
      <c r="I11" s="391">
        <f t="shared" si="0"/>
        <v>-2.1669101855062781E-3</v>
      </c>
      <c r="J11" s="397">
        <f>三因素分析!K10</f>
        <v>18.232511329600001</v>
      </c>
      <c r="K11" s="397">
        <f>三因素分析!U10</f>
        <v>3.8302524243812144</v>
      </c>
      <c r="L11" s="397">
        <f>三因素分析!Y10</f>
        <v>3.5318463356209682</v>
      </c>
      <c r="M11" s="397">
        <f>三因素分析!AB10</f>
        <v>2.6528317364659593</v>
      </c>
      <c r="N11" s="397">
        <f>三因素分析!AF10</f>
        <v>-2.3544256477057148</v>
      </c>
      <c r="P11" s="293">
        <f>三因素分析!G10</f>
        <v>3.600584724313987E-2</v>
      </c>
    </row>
    <row r="12" spans="2:16">
      <c r="E12" s="388" t="s">
        <v>3305</v>
      </c>
      <c r="F12" s="395">
        <f>三因素分析!I11</f>
        <v>436.09546762160102</v>
      </c>
      <c r="G12" s="396">
        <f>三因素分析!R11</f>
        <v>3.4577919303694971E-2</v>
      </c>
      <c r="H12" s="391">
        <f>三因素分析!O11</f>
        <v>3.5523621492505028E-2</v>
      </c>
      <c r="I12" s="391">
        <f t="shared" si="0"/>
        <v>-1.7817512247873792E-2</v>
      </c>
      <c r="J12" s="397">
        <f>三因素分析!K11</f>
        <v>7.6821806823999985</v>
      </c>
      <c r="K12" s="397">
        <f>三因素分析!U11</f>
        <v>-6.9926738069912862</v>
      </c>
      <c r="L12" s="397">
        <f>三因素分析!Y11</f>
        <v>2.4110088869341886</v>
      </c>
      <c r="M12" s="397">
        <f>三因素分析!AB11</f>
        <v>-1.63354635833535</v>
      </c>
      <c r="N12" s="397">
        <f>三因素分析!AF11</f>
        <v>-7.7701363355901245</v>
      </c>
      <c r="P12" s="293">
        <f>三因素分析!G11</f>
        <v>5.334113374037882E-2</v>
      </c>
    </row>
    <row r="13" spans="2:16">
      <c r="E13" s="388" t="s">
        <v>137</v>
      </c>
      <c r="F13" s="395">
        <f>三因素分析!I5</f>
        <v>658.88284908867092</v>
      </c>
      <c r="G13" s="396">
        <f>三因素分析!R5</f>
        <v>0.17640724000715902</v>
      </c>
      <c r="H13" s="391">
        <f>三因素分析!O5</f>
        <v>1.5162680071020215E-2</v>
      </c>
      <c r="I13" s="391">
        <f>H13-P13</f>
        <v>-2.7026336019928508E-4</v>
      </c>
      <c r="J13" s="397">
        <f>三因素分析!K5</f>
        <v>4.9541583614999993</v>
      </c>
      <c r="K13" s="397">
        <f>三因素分析!U5</f>
        <v>1.3467379397138117</v>
      </c>
      <c r="L13" s="397">
        <f>三因素分析!Y5</f>
        <v>0.9268671275725523</v>
      </c>
      <c r="M13" s="397">
        <f>三因素分析!AB5</f>
        <v>0.59794270491364221</v>
      </c>
      <c r="N13" s="397">
        <f>三因素分析!AF5</f>
        <v>-0.17807189277238267</v>
      </c>
      <c r="P13" s="293">
        <f>三因素分析!G5</f>
        <v>1.54329434312195E-2</v>
      </c>
    </row>
    <row r="14" spans="2:16" s="311" customFormat="1">
      <c r="E14" s="387" t="s">
        <v>3318</v>
      </c>
      <c r="F14" s="392">
        <f>三因素分析!I19</f>
        <v>5591.1211965240627</v>
      </c>
      <c r="G14" s="393">
        <f>三因素分析!R19</f>
        <v>0.11151203431937623</v>
      </c>
      <c r="H14" s="390">
        <f>三因素分析!O19</f>
        <v>2.4267617141391987E-2</v>
      </c>
      <c r="I14" s="391">
        <f t="shared" si="0"/>
        <v>3.8030376994114407E-5</v>
      </c>
      <c r="J14" s="394">
        <f>三因素分析!K19</f>
        <v>67.283992149300005</v>
      </c>
      <c r="K14" s="394">
        <f>三因素分析!U19</f>
        <v>13.803665957379494</v>
      </c>
      <c r="L14" s="394">
        <f>三因素分析!Y19</f>
        <v>13.069198241741001</v>
      </c>
      <c r="M14" s="394">
        <f>三因素分析!AB19</f>
        <v>-1.7380851314320644</v>
      </c>
      <c r="N14" s="394">
        <f>三因素分析!AF19</f>
        <v>2.4725528470705318</v>
      </c>
      <c r="P14" s="385">
        <f>三因素分析!G19</f>
        <v>2.4229586764397872E-2</v>
      </c>
    </row>
    <row r="15" spans="2:16" s="383" customFormat="1">
      <c r="E15" s="388" t="s">
        <v>2652</v>
      </c>
      <c r="F15" s="395">
        <f>三因素分析!I24</f>
        <v>3919.8902196483955</v>
      </c>
      <c r="G15" s="396">
        <f>三因素分析!R24</f>
        <v>0.10376068448642484</v>
      </c>
      <c r="H15" s="391">
        <f>三因素分析!O24</f>
        <v>1.8962268674246014E-2</v>
      </c>
      <c r="I15" s="391">
        <f t="shared" si="0"/>
        <v>-2.4622898343890226E-3</v>
      </c>
      <c r="J15" s="397">
        <f>三因素分析!K24</f>
        <v>36.859539958500001</v>
      </c>
      <c r="K15" s="397">
        <f>三因素分析!U24</f>
        <v>-1.7570592919042696</v>
      </c>
      <c r="L15" s="397">
        <f>三因素分析!Y24</f>
        <v>8.1588522057602937</v>
      </c>
      <c r="M15" s="397">
        <f>三因素分析!AB24</f>
        <v>-2.7864227199799085</v>
      </c>
      <c r="N15" s="397">
        <f>三因素分析!AF24</f>
        <v>-7.1294887776846743</v>
      </c>
      <c r="P15" s="386">
        <f>三因素分析!G24</f>
        <v>2.1424558508635037E-2</v>
      </c>
    </row>
    <row r="16" spans="2:16">
      <c r="E16" s="398" t="s">
        <v>3306</v>
      </c>
      <c r="F16" s="395">
        <f>三因素分析!I25</f>
        <v>1621.7217021591546</v>
      </c>
      <c r="G16" s="396">
        <f>三因素分析!R25</f>
        <v>0.10039341661507921</v>
      </c>
      <c r="H16" s="391">
        <f>三因素分析!O25</f>
        <v>2.0075992806064698E-2</v>
      </c>
      <c r="I16" s="391">
        <f t="shared" si="0"/>
        <v>-2.4343417750991372E-3</v>
      </c>
      <c r="J16" s="397">
        <f>三因素分析!K25</f>
        <v>16.145037955899998</v>
      </c>
      <c r="K16" s="397">
        <f>三因素分析!U25</f>
        <v>-0.61727817042591226</v>
      </c>
      <c r="L16" s="397">
        <f>三因素分析!Y25</f>
        <v>3.5573655615024262</v>
      </c>
      <c r="M16" s="397">
        <f>三因素分析!AB25</f>
        <v>-3.0807361106074067</v>
      </c>
      <c r="N16" s="397">
        <f>三因素分析!AF25</f>
        <v>-1.0939076213209342</v>
      </c>
      <c r="P16" s="293">
        <f>三因素分析!G25</f>
        <v>2.2510334581163836E-2</v>
      </c>
    </row>
    <row r="17" spans="5:16">
      <c r="E17" s="398" t="s">
        <v>218</v>
      </c>
      <c r="F17" s="395">
        <f>三因素分析!I28</f>
        <v>1869.1489832903458</v>
      </c>
      <c r="G17" s="396">
        <f>三因素分析!R28</f>
        <v>5.7574499243000586E-2</v>
      </c>
      <c r="H17" s="391">
        <f>三因素分析!O28</f>
        <v>1.4878630048631058E-2</v>
      </c>
      <c r="I17" s="391">
        <f t="shared" si="0"/>
        <v>-2.8127004597109026E-3</v>
      </c>
      <c r="J17" s="397">
        <f>三因素分析!K28</f>
        <v>13.7908988967</v>
      </c>
      <c r="K17" s="397">
        <f>三因素分析!U28</f>
        <v>-3.4571443639107109</v>
      </c>
      <c r="L17" s="397">
        <f>三因素分析!Y28</f>
        <v>3.3528308638246029</v>
      </c>
      <c r="M17" s="397">
        <f>三因素分析!AB28</f>
        <v>-2.9154552656097259</v>
      </c>
      <c r="N17" s="397">
        <f>三因素分析!AF28</f>
        <v>-3.8945199621255862</v>
      </c>
      <c r="P17" s="293">
        <f>三因素分析!G28</f>
        <v>1.769133050834196E-2</v>
      </c>
    </row>
    <row r="18" spans="5:16">
      <c r="E18" s="398" t="s">
        <v>3316</v>
      </c>
      <c r="F18" s="395">
        <f>三因素分析!I31</f>
        <v>429.01953419889503</v>
      </c>
      <c r="G18" s="396">
        <f>三因素分析!R31</f>
        <v>0.38287488515840945</v>
      </c>
      <c r="H18" s="391">
        <f>三因素分析!O31</f>
        <v>3.2543884255655277E-2</v>
      </c>
      <c r="I18" s="391">
        <f t="shared" si="0"/>
        <v>-4.9905913916860264E-3</v>
      </c>
      <c r="J18" s="397">
        <f>三因素分析!K31</f>
        <v>6.9236031059000007</v>
      </c>
      <c r="K18" s="397">
        <f>三因素分析!U31</f>
        <v>2.317363242432334</v>
      </c>
      <c r="L18" s="397">
        <f>三因素分析!Y31</f>
        <v>1.2486557804332632</v>
      </c>
      <c r="M18" s="397">
        <f>三因素分析!AB31</f>
        <v>3.2097686562372241</v>
      </c>
      <c r="N18" s="397">
        <f>三因素分析!AF31</f>
        <v>-2.1410611942381546</v>
      </c>
      <c r="P18" s="293">
        <f>三因素分析!G31</f>
        <v>3.7534475647341303E-2</v>
      </c>
    </row>
    <row r="19" spans="5:16">
      <c r="E19" s="388" t="s">
        <v>140</v>
      </c>
      <c r="F19" s="395">
        <f>三因素分析!I20</f>
        <v>1595.472637775428</v>
      </c>
      <c r="G19" s="396">
        <f>三因素分析!R20</f>
        <v>0.1373041278968665</v>
      </c>
      <c r="H19" s="391">
        <f>三因素分析!O20</f>
        <v>3.5545036399945912E-2</v>
      </c>
      <c r="I19" s="391">
        <f>H19-P19</f>
        <v>6.2415014830800655E-3</v>
      </c>
      <c r="J19" s="397">
        <f>三因素分析!K20</f>
        <v>28.122507041800002</v>
      </c>
      <c r="K19" s="397">
        <f>三因素分析!U20</f>
        <v>15.602526233884866</v>
      </c>
      <c r="L19" s="397">
        <f>三因素分析!Y20</f>
        <v>4.4080951374966801</v>
      </c>
      <c r="M19" s="397">
        <f>三因素分析!AB20</f>
        <v>1.5620462040149299</v>
      </c>
      <c r="N19" s="397">
        <f>三因素分析!AF20</f>
        <v>9.6323848923732456</v>
      </c>
      <c r="P19" s="293">
        <f>三因素分析!G20</f>
        <v>2.9303534916865846E-2</v>
      </c>
    </row>
    <row r="20" spans="5:16">
      <c r="E20" s="388" t="s">
        <v>141</v>
      </c>
      <c r="F20" s="395">
        <f>三因素分析!I34</f>
        <v>75.758339100238601</v>
      </c>
      <c r="G20" s="396">
        <f>三因素分析!R34</f>
        <v>-2.4462203195877983E-3</v>
      </c>
      <c r="H20" s="391">
        <f>三因素分析!O34</f>
        <v>6.127436451395725E-2</v>
      </c>
      <c r="I20" s="391">
        <f t="shared" si="0"/>
        <v>-4.0052709679776893E-4</v>
      </c>
      <c r="J20" s="397">
        <f>三因素分析!K34</f>
        <v>2.3019451490000002</v>
      </c>
      <c r="K20" s="397">
        <f>三因素分析!U34</f>
        <v>-4.1800984601098712E-2</v>
      </c>
      <c r="L20" s="397">
        <f>三因素分析!Y34</f>
        <v>0.50225089848402649</v>
      </c>
      <c r="M20" s="397">
        <f>三因素分析!AB34</f>
        <v>-0.51370861546708579</v>
      </c>
      <c r="N20" s="397">
        <f>三因素分析!AF34</f>
        <v>-3.034326761803947E-2</v>
      </c>
      <c r="P20" s="293">
        <f>三因素分析!G34</f>
        <v>6.1674891610755019E-2</v>
      </c>
    </row>
    <row r="21" spans="5:16">
      <c r="F21" s="399" t="e">
        <f>F8-F13-F10-F11-F12-F9</f>
        <v>#REF!</v>
      </c>
      <c r="J21" s="399" t="e">
        <f>J8-J13-J10-J11-J12-J9</f>
        <v>#REF!</v>
      </c>
      <c r="K21" s="399" t="e">
        <f>K8-K13-K10-K11-K12-K9</f>
        <v>#REF!</v>
      </c>
      <c r="L21" s="399" t="e">
        <f>L8-L13-L10-L11-L12-L9</f>
        <v>#REF!</v>
      </c>
      <c r="M21" s="399" t="e">
        <f>M8-M13-M10-M11-M12-M9</f>
        <v>#REF!</v>
      </c>
      <c r="N21" s="399" t="e">
        <f>N8-N13-N10-N11-N12-N9</f>
        <v>#REF!</v>
      </c>
    </row>
    <row r="22" spans="5:16" s="381" customFormat="1">
      <c r="F22" s="399">
        <f>F14-F19-F15-F20</f>
        <v>8.8107299234252423E-13</v>
      </c>
      <c r="J22" s="399">
        <f>J14-J19-J15-J20</f>
        <v>0</v>
      </c>
      <c r="K22" s="399">
        <f>K14-K19-K15-K20</f>
        <v>-4.4408920985006262E-15</v>
      </c>
      <c r="L22" s="399">
        <f>L14-L19-L15-L20</f>
        <v>0</v>
      </c>
      <c r="M22" s="399">
        <f>M14-M19-M15-M20</f>
        <v>0</v>
      </c>
      <c r="N22" s="399">
        <f>N14-N19-N15-N20</f>
        <v>-4.891920202254596E-16</v>
      </c>
    </row>
    <row r="23" spans="5:16" s="381" customFormat="1">
      <c r="F23" s="399">
        <f>F15-F16-F17-F18</f>
        <v>0</v>
      </c>
      <c r="J23" s="399">
        <f t="shared" ref="J23:N23" si="1">J15-J16-J17-J18</f>
        <v>0</v>
      </c>
      <c r="K23" s="399">
        <f t="shared" si="1"/>
        <v>1.9539925233402755E-14</v>
      </c>
      <c r="L23" s="399">
        <f t="shared" si="1"/>
        <v>1.7763568394002505E-15</v>
      </c>
      <c r="M23" s="399">
        <f t="shared" si="1"/>
        <v>0</v>
      </c>
      <c r="N23" s="399">
        <f t="shared" si="1"/>
        <v>0</v>
      </c>
    </row>
    <row r="24" spans="5:16">
      <c r="L24" s="285">
        <f>L8+L14</f>
        <v>37.849589118904447</v>
      </c>
      <c r="M24" s="285">
        <f>M8+M14</f>
        <v>-3.7550723836425046</v>
      </c>
      <c r="N24" s="285">
        <f>N8+N14</f>
        <v>-11.983299213488309</v>
      </c>
    </row>
    <row r="25" spans="5:16">
      <c r="L25" s="285">
        <f>L24-三因素分析!Y36</f>
        <v>26.138396483482005</v>
      </c>
      <c r="M25" s="285">
        <f>M24-三因素分析!AB36</f>
        <v>-3.4761702628641284</v>
      </c>
      <c r="N25" s="285">
        <f>N24-三因素分析!AF36</f>
        <v>4.9451056941410627</v>
      </c>
    </row>
  </sheetData>
  <mergeCells count="8">
    <mergeCell ref="F6:F7"/>
    <mergeCell ref="E6:E7"/>
    <mergeCell ref="L6:N6"/>
    <mergeCell ref="K6:K7"/>
    <mergeCell ref="J6:J7"/>
    <mergeCell ref="I6:I7"/>
    <mergeCell ref="H6:H7"/>
    <mergeCell ref="G6:G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Q21"/>
  <sheetViews>
    <sheetView workbookViewId="0">
      <selection activeCell="I7" sqref="I7"/>
    </sheetView>
  </sheetViews>
  <sheetFormatPr defaultColWidth="8.875" defaultRowHeight="13.5"/>
  <cols>
    <col min="1" max="1" width="8.875" style="404"/>
    <col min="2" max="2" width="11.5" style="404" customWidth="1"/>
    <col min="3" max="3" width="20" style="404" bestFit="1" customWidth="1"/>
    <col min="4" max="4" width="9.625" style="404" customWidth="1"/>
    <col min="5" max="5" width="8.875" style="404" customWidth="1"/>
    <col min="6" max="6" width="9.5" style="404" customWidth="1"/>
    <col min="7" max="7" width="8.875" style="404" customWidth="1"/>
    <col min="8" max="8" width="8.875" style="517" customWidth="1"/>
    <col min="9" max="9" width="10.375" style="404" customWidth="1"/>
    <col min="10" max="10" width="8.875" style="404"/>
    <col min="11" max="11" width="8.875" style="517" customWidth="1"/>
    <col min="12" max="12" width="8.875" style="404" customWidth="1"/>
    <col min="13" max="13" width="8.875" style="404"/>
    <col min="14" max="14" width="8.875" style="457"/>
    <col min="15" max="15" width="11.625" style="763" bestFit="1" customWidth="1"/>
    <col min="16" max="16" width="11.625" style="404" bestFit="1" customWidth="1"/>
    <col min="17" max="16384" width="8.875" style="404"/>
  </cols>
  <sheetData>
    <row r="1" spans="2:17" s="449" customFormat="1">
      <c r="F1" s="769" t="s">
        <v>4438</v>
      </c>
      <c r="G1" s="449">
        <v>181</v>
      </c>
      <c r="H1" s="517"/>
      <c r="K1" s="517"/>
      <c r="N1" s="457"/>
      <c r="O1" s="763"/>
    </row>
    <row r="2" spans="2:17" ht="14.25">
      <c r="B2" s="868" t="s">
        <v>215</v>
      </c>
      <c r="C2" s="869"/>
      <c r="D2" s="847">
        <v>42887</v>
      </c>
      <c r="E2" s="848"/>
      <c r="F2" s="848"/>
      <c r="G2" s="862" t="s">
        <v>3321</v>
      </c>
      <c r="H2" s="863"/>
      <c r="I2" s="864"/>
      <c r="K2" s="851" t="s">
        <v>3349</v>
      </c>
      <c r="L2" s="851"/>
      <c r="M2" s="851"/>
      <c r="N2" s="965" t="s">
        <v>3351</v>
      </c>
    </row>
    <row r="3" spans="2:17" ht="14.45" customHeight="1">
      <c r="B3" s="865" t="s">
        <v>3344</v>
      </c>
      <c r="C3" s="865"/>
      <c r="D3" s="405" t="s">
        <v>128</v>
      </c>
      <c r="E3" s="405" t="s">
        <v>2018</v>
      </c>
      <c r="F3" s="405" t="s">
        <v>3323</v>
      </c>
      <c r="G3" s="519" t="s">
        <v>3528</v>
      </c>
      <c r="H3" s="405" t="s">
        <v>3319</v>
      </c>
      <c r="I3" s="405" t="s">
        <v>3320</v>
      </c>
      <c r="K3" s="405" t="s">
        <v>3526</v>
      </c>
      <c r="L3" s="405" t="s">
        <v>3350</v>
      </c>
      <c r="M3" s="405" t="s">
        <v>3351</v>
      </c>
      <c r="N3" s="966" t="s">
        <v>128</v>
      </c>
    </row>
    <row r="4" spans="2:17" ht="14.25">
      <c r="C4" s="407" t="s">
        <v>4426</v>
      </c>
      <c r="D4" s="812">
        <f>'2017.06.30'!G10</f>
        <v>3919.8902196483955</v>
      </c>
      <c r="E4" s="437">
        <f>'2017.06.30'!H10</f>
        <v>36.859539958499994</v>
      </c>
      <c r="F4" s="438">
        <f>E4/D4*365/G1</f>
        <v>1.8962268674246011E-2</v>
      </c>
      <c r="G4" s="823">
        <f>F4-K4</f>
        <v>1.9446735096639162E-5</v>
      </c>
      <c r="H4" s="438">
        <f t="shared" ref="H4:H16" si="0">F4-L4</f>
        <v>-1.4217817761769495E-3</v>
      </c>
      <c r="I4" s="438">
        <f>F4-M4</f>
        <v>-2.4622898343890261E-3</v>
      </c>
      <c r="K4" s="438">
        <v>1.8942821939149371E-2</v>
      </c>
      <c r="L4" s="438">
        <v>2.038405045042296E-2</v>
      </c>
      <c r="M4" s="438">
        <f>'2016.06.30'!E10%</f>
        <v>2.1424558508635037E-2</v>
      </c>
      <c r="N4" s="967">
        <f>'2016.06.30'!G10</f>
        <v>3551.3950394711733</v>
      </c>
      <c r="O4" s="425"/>
      <c r="P4" s="423">
        <v>2.1424558508635033E-2</v>
      </c>
      <c r="Q4" s="293">
        <f>M4-P4</f>
        <v>0</v>
      </c>
    </row>
    <row r="5" spans="2:17" ht="14.25" customHeight="1">
      <c r="B5" s="866" t="s">
        <v>3324</v>
      </c>
      <c r="C5" s="408" t="s">
        <v>2569</v>
      </c>
      <c r="D5" s="813">
        <f>'2017.06.30'!G15+'2017.06.30'!G12</f>
        <v>1855.5763711646794</v>
      </c>
      <c r="E5" s="409">
        <f>'2017.06.30'!H15</f>
        <v>1.6715025943999999</v>
      </c>
      <c r="F5" s="426">
        <f>'2017.06.30'!E15%</f>
        <v>4.5517246585767617E-3</v>
      </c>
      <c r="G5" s="426">
        <f t="shared" ref="G5:G17" si="1">F5-K5</f>
        <v>-1.7228992347031576E-2</v>
      </c>
      <c r="H5" s="426">
        <f t="shared" si="0"/>
        <v>-1.8722029241875753E-2</v>
      </c>
      <c r="I5" s="426">
        <f t="shared" ref="I5:I16" si="2">F5-M5</f>
        <v>-5.9190218391485215E-4</v>
      </c>
      <c r="K5" s="1011">
        <v>2.1780717005608338E-2</v>
      </c>
      <c r="L5" s="1011">
        <v>2.3273753900452516E-2</v>
      </c>
      <c r="M5" s="426">
        <f>'2016.06.30'!E15%</f>
        <v>5.1436268424916139E-3</v>
      </c>
      <c r="N5" s="968">
        <f>'2016.06.30'!G15+'2016.06.30'!G12</f>
        <v>1668.6613127121338</v>
      </c>
      <c r="O5" s="425"/>
      <c r="P5" s="423">
        <v>2.4355919814082957E-2</v>
      </c>
      <c r="Q5" s="293">
        <f t="shared" ref="Q5:Q16" si="3">M5-P5</f>
        <v>-1.9212292971591344E-2</v>
      </c>
    </row>
    <row r="6" spans="2:17" ht="14.25">
      <c r="B6" s="867"/>
      <c r="C6" s="411" t="s">
        <v>218</v>
      </c>
      <c r="D6" s="814">
        <f>'2017.06.30'!G16+'2017.06.30'!G13</f>
        <v>2064.3138484837159</v>
      </c>
      <c r="E6" s="412">
        <f>'2017.06.30'!H16</f>
        <v>1.2424432240000001</v>
      </c>
      <c r="F6" s="427">
        <f>'2017.06.30'!E16%</f>
        <v>3.1011747649315E-3</v>
      </c>
      <c r="G6" s="427">
        <f t="shared" si="1"/>
        <v>-1.3338403677547609E-2</v>
      </c>
      <c r="H6" s="427">
        <f t="shared" si="0"/>
        <v>-1.465072046466139E-2</v>
      </c>
      <c r="I6" s="427">
        <f t="shared" si="2"/>
        <v>-1.4546023779509008E-5</v>
      </c>
      <c r="K6" s="1011">
        <v>1.6439578442479109E-2</v>
      </c>
      <c r="L6" s="1011">
        <v>1.775189522959289E-2</v>
      </c>
      <c r="M6" s="427">
        <f>'2016.06.30'!E16%</f>
        <v>3.115720788711009E-3</v>
      </c>
      <c r="N6" s="969">
        <f>'2016.06.30'!G16+'2016.06.30'!G13</f>
        <v>1882.7337267590392</v>
      </c>
      <c r="O6" s="425"/>
      <c r="P6" s="423">
        <v>1.8826501686015476E-2</v>
      </c>
      <c r="Q6" s="293">
        <f t="shared" si="3"/>
        <v>-1.5710780897304467E-2</v>
      </c>
    </row>
    <row r="7" spans="2:17" ht="14.25" customHeight="1">
      <c r="B7" s="860" t="s">
        <v>3325</v>
      </c>
      <c r="C7" s="413" t="s">
        <v>3289</v>
      </c>
      <c r="D7" s="813">
        <f>'2017.06.30'!G11</f>
        <v>2371.4426011346764</v>
      </c>
      <c r="E7" s="409">
        <f>'2017.06.30'!H11</f>
        <v>33.945594140099999</v>
      </c>
      <c r="F7" s="426">
        <f>'2017.06.30'!E11%</f>
        <v>2.8865898927709566E-2</v>
      </c>
      <c r="G7" s="426">
        <f t="shared" si="1"/>
        <v>-1.814567451444149E-5</v>
      </c>
      <c r="H7" s="426">
        <f t="shared" si="0"/>
        <v>-1.2597308299156645E-3</v>
      </c>
      <c r="I7" s="426">
        <f t="shared" si="2"/>
        <v>-2.5274204996833353E-3</v>
      </c>
      <c r="K7" s="1011">
        <v>2.8884044602224008E-2</v>
      </c>
      <c r="L7" s="1011">
        <v>3.0125629757625231E-2</v>
      </c>
      <c r="M7" s="426">
        <f>'2016.06.30'!E11%</f>
        <v>3.1393319427392902E-2</v>
      </c>
      <c r="N7" s="968">
        <f>'2016.06.30'!G11</f>
        <v>2257.6281277321909</v>
      </c>
      <c r="O7" s="425"/>
      <c r="P7" s="423">
        <v>3.1393319427392902E-2</v>
      </c>
      <c r="Q7" s="293">
        <f t="shared" si="3"/>
        <v>0</v>
      </c>
    </row>
    <row r="8" spans="2:17" ht="14.25">
      <c r="B8" s="861"/>
      <c r="C8" s="411" t="s">
        <v>3290</v>
      </c>
      <c r="D8" s="814">
        <f>'2017.06.30'!G12</f>
        <v>1115.0417596654493</v>
      </c>
      <c r="E8" s="412">
        <f>'2017.06.30'!H12</f>
        <v>18.360867090999999</v>
      </c>
      <c r="F8" s="427">
        <f>'2017.06.30'!E12%</f>
        <v>3.3205983206448082E-2</v>
      </c>
      <c r="G8" s="427">
        <f t="shared" si="1"/>
        <v>9.8085673260216166E-5</v>
      </c>
      <c r="H8" s="427">
        <f t="shared" si="0"/>
        <v>-3.928915292773158E-4</v>
      </c>
      <c r="I8" s="427">
        <f t="shared" si="2"/>
        <v>-1.4581418156413423E-3</v>
      </c>
      <c r="K8" s="1011">
        <v>3.3107897533187866E-2</v>
      </c>
      <c r="L8" s="1011">
        <v>3.3598874735725398E-2</v>
      </c>
      <c r="M8" s="427">
        <f>'2016.06.30'!E12%</f>
        <v>3.4664125022089425E-2</v>
      </c>
      <c r="N8" s="969">
        <f>'2016.06.30'!G12</f>
        <v>1085.9847220445001</v>
      </c>
      <c r="O8" s="425"/>
      <c r="P8" s="423">
        <v>3.4664125022089425E-2</v>
      </c>
      <c r="Q8" s="293">
        <f t="shared" si="3"/>
        <v>0</v>
      </c>
    </row>
    <row r="9" spans="2:17" ht="14.25">
      <c r="B9" s="861"/>
      <c r="C9" s="408" t="s">
        <v>3326</v>
      </c>
      <c r="D9" s="1005">
        <f>SUM('2017.06.30ftp'!K43:K44)/10^8</f>
        <v>110.2610497237569</v>
      </c>
      <c r="E9" s="1006">
        <f>285700833.57/10^8</f>
        <v>2.8570083356999998</v>
      </c>
      <c r="F9" s="1007">
        <f>E9*365/G1/D9</f>
        <v>5.2252090970975461E-2</v>
      </c>
      <c r="G9" s="426">
        <f>F9-K9</f>
        <v>-1.5941113196936418E-4</v>
      </c>
      <c r="H9" s="426">
        <f t="shared" si="0"/>
        <v>-1.1422982007979407E-3</v>
      </c>
      <c r="I9" s="426">
        <f t="shared" si="2"/>
        <v>-6.3319406497647224E-4</v>
      </c>
      <c r="K9" s="1011">
        <v>5.2411502102944825E-2</v>
      </c>
      <c r="L9" s="1011">
        <v>5.3394389171773401E-2</v>
      </c>
      <c r="M9" s="1007">
        <v>5.2885285035951933E-2</v>
      </c>
      <c r="N9" s="1005">
        <f>SUM('2016.06.30ftp'!K45:K46)/10^8</f>
        <v>106.660989010988</v>
      </c>
      <c r="O9" s="425" t="s">
        <v>4439</v>
      </c>
      <c r="P9" s="423">
        <v>5.2885285035951933E-2</v>
      </c>
      <c r="Q9" s="293">
        <f t="shared" si="3"/>
        <v>0</v>
      </c>
    </row>
    <row r="10" spans="2:17" ht="14.25">
      <c r="B10" s="861"/>
      <c r="C10" s="411" t="s">
        <v>3327</v>
      </c>
      <c r="D10" s="1008">
        <f>'2017.06.30'!C76/10^8</f>
        <v>29.370165745856351</v>
      </c>
      <c r="E10" s="1009">
        <f>'2017.06.30'!D76/10^8</f>
        <v>0.55668053750000002</v>
      </c>
      <c r="F10" s="1010">
        <f>'2017.06.30'!E76</f>
        <v>3.8222045934443193E-2</v>
      </c>
      <c r="G10" s="427">
        <f t="shared" si="1"/>
        <v>7.8465781459590607E-3</v>
      </c>
      <c r="H10" s="427">
        <f t="shared" si="0"/>
        <v>1.1097192585143752E-2</v>
      </c>
      <c r="I10" s="427">
        <f t="shared" si="2"/>
        <v>1.2258901088903658E-2</v>
      </c>
      <c r="K10" s="1011">
        <v>3.0375467788484132E-2</v>
      </c>
      <c r="L10" s="1011">
        <v>2.7124853349299441E-2</v>
      </c>
      <c r="M10" s="427">
        <f>'2016.06.30'!E76</f>
        <v>2.5963144845539535E-2</v>
      </c>
      <c r="N10" s="969">
        <f>'2016.06.30'!C76/10^8</f>
        <v>34.675824175824175</v>
      </c>
      <c r="O10" s="425"/>
      <c r="P10" s="423">
        <v>2.5963144845539535E-2</v>
      </c>
      <c r="Q10" s="293">
        <f t="shared" si="3"/>
        <v>0</v>
      </c>
    </row>
    <row r="11" spans="2:17" ht="14.25">
      <c r="B11" s="861"/>
      <c r="C11" s="408" t="s">
        <v>3328</v>
      </c>
      <c r="D11" s="815">
        <f>'2017.06.30'!C70/10^8</f>
        <v>225.13035961325966</v>
      </c>
      <c r="E11" s="464">
        <f>'2017.06.30'!D70/10^8</f>
        <v>3.7249102075999998</v>
      </c>
      <c r="F11" s="426">
        <f>'2017.06.30'!E70</f>
        <v>3.3365376714733753E-2</v>
      </c>
      <c r="G11" s="426">
        <f t="shared" si="1"/>
        <v>5.2840172133347685E-5</v>
      </c>
      <c r="H11" s="426">
        <f t="shared" si="0"/>
        <v>-2.544556957329254E-3</v>
      </c>
      <c r="I11" s="426">
        <f t="shared" si="2"/>
        <v>-5.0843166627405276E-3</v>
      </c>
      <c r="K11" s="1011">
        <v>3.3312536542600406E-2</v>
      </c>
      <c r="L11" s="1011">
        <v>3.5909933672063007E-2</v>
      </c>
      <c r="M11" s="426">
        <f>'2016.06.30'!E70</f>
        <v>3.8449693377474281E-2</v>
      </c>
      <c r="N11" s="968">
        <f>'2016.06.30'!C70/10^8</f>
        <v>189.79993406593405</v>
      </c>
      <c r="O11" s="425"/>
      <c r="P11" s="423">
        <v>3.8449693377474281E-2</v>
      </c>
      <c r="Q11" s="293">
        <f t="shared" si="3"/>
        <v>0</v>
      </c>
    </row>
    <row r="12" spans="2:17" ht="14.25">
      <c r="B12" s="861"/>
      <c r="C12" s="411" t="s">
        <v>3291</v>
      </c>
      <c r="D12" s="814">
        <f>'2017.06.30'!C13/10^8</f>
        <v>1256.4008414692266</v>
      </c>
      <c r="E12" s="412">
        <f>'2017.06.30'!D13/10^8</f>
        <v>15.584727049099998</v>
      </c>
      <c r="F12" s="427">
        <f>'2017.06.30'!E13%</f>
        <v>2.5014122447202115E-2</v>
      </c>
      <c r="G12" s="427">
        <f t="shared" si="1"/>
        <v>-1.8262254249233958E-4</v>
      </c>
      <c r="H12" s="427">
        <f t="shared" si="0"/>
        <v>-1.8340657103396441E-3</v>
      </c>
      <c r="I12" s="427">
        <f t="shared" si="2"/>
        <v>-3.3475195198177203E-3</v>
      </c>
      <c r="K12" s="1011">
        <v>2.5196744989694455E-2</v>
      </c>
      <c r="L12" s="1011">
        <v>2.6848188157541759E-2</v>
      </c>
      <c r="M12" s="427">
        <f>'2016.06.30'!E13/100</f>
        <v>2.8361641967019836E-2</v>
      </c>
      <c r="N12" s="969">
        <f>'2016.06.30'!C13/10^8</f>
        <v>1171.6434056876908</v>
      </c>
      <c r="O12" s="425"/>
      <c r="P12" s="423">
        <v>2.8361641967019836E-2</v>
      </c>
      <c r="Q12" s="293">
        <f t="shared" si="3"/>
        <v>0</v>
      </c>
    </row>
    <row r="13" spans="2:17" ht="14.25">
      <c r="B13" s="861"/>
      <c r="C13" s="408" t="s">
        <v>3329</v>
      </c>
      <c r="D13" s="813">
        <f>'2017.06.30'!C71/10^8</f>
        <v>195.16486519337016</v>
      </c>
      <c r="E13" s="409">
        <f>'2017.06.30'!D71/10^8</f>
        <v>3.0362713763999998</v>
      </c>
      <c r="F13" s="426">
        <f>'2017.06.30'!E71</f>
        <v>3.1372796976923939E-2</v>
      </c>
      <c r="G13" s="426">
        <f t="shared" si="1"/>
        <v>5.9732390542384384E-4</v>
      </c>
      <c r="H13" s="426">
        <f t="shared" si="0"/>
        <v>-1.9149085816774422E-3</v>
      </c>
      <c r="I13" s="426">
        <f t="shared" si="2"/>
        <v>-4.8480797873577675E-3</v>
      </c>
      <c r="K13" s="1011">
        <v>3.0775473071500095E-2</v>
      </c>
      <c r="L13" s="1011">
        <v>3.3287705558601381E-2</v>
      </c>
      <c r="M13" s="426">
        <f>'2016.06.30'!E71</f>
        <v>3.6220876764281706E-2</v>
      </c>
      <c r="N13" s="968">
        <f>'2016.06.30'!C71/10^8</f>
        <v>115.34146774725275</v>
      </c>
      <c r="O13" s="425"/>
      <c r="P13" s="423">
        <v>3.6220876764281706E-2</v>
      </c>
      <c r="Q13" s="293">
        <f t="shared" si="3"/>
        <v>0</v>
      </c>
    </row>
    <row r="14" spans="2:17" ht="14.25">
      <c r="B14" s="861"/>
      <c r="C14" s="414" t="s">
        <v>3292</v>
      </c>
      <c r="D14" s="814">
        <f>'2017.06.30'!C14/10^8</f>
        <v>1548.4476185137191</v>
      </c>
      <c r="E14" s="412">
        <f>'2017.06.30'!D14/10^8</f>
        <v>2.9139458184000002</v>
      </c>
      <c r="F14" s="427">
        <f>'2017.06.30'!E14%</f>
        <v>3.7948904509563851E-3</v>
      </c>
      <c r="G14" s="427">
        <f t="shared" si="1"/>
        <v>-1.90200611654832E-4</v>
      </c>
      <c r="H14" s="427">
        <f t="shared" si="0"/>
        <v>-1.9119834170584641E-4</v>
      </c>
      <c r="I14" s="427">
        <f t="shared" si="2"/>
        <v>-2.3414275507630715E-4</v>
      </c>
      <c r="K14" s="1011">
        <v>3.9850910626112171E-3</v>
      </c>
      <c r="L14" s="1011">
        <v>3.9860887926622315E-3</v>
      </c>
      <c r="M14" s="427">
        <f>'2016.06.30'!E14%</f>
        <v>4.0290332060326922E-3</v>
      </c>
      <c r="N14" s="969">
        <f>'2016.06.30'!C14/10^8</f>
        <v>1293.7669117389821</v>
      </c>
      <c r="O14" s="425"/>
      <c r="P14" s="423">
        <v>4.0290332060326922E-3</v>
      </c>
      <c r="Q14" s="293">
        <f t="shared" si="3"/>
        <v>0</v>
      </c>
    </row>
    <row r="15" spans="2:17" ht="14.25">
      <c r="B15" s="861"/>
      <c r="C15" s="408" t="s">
        <v>3330</v>
      </c>
      <c r="D15" s="813">
        <f>'2017.06.30'!C5/10^8</f>
        <v>740.5346114992301</v>
      </c>
      <c r="E15" s="409">
        <f>'2017.06.30'!D5/10^8</f>
        <v>1.6715025943999999</v>
      </c>
      <c r="F15" s="426">
        <f>'2017.06.30'!E5%</f>
        <v>4.5517246585767617E-3</v>
      </c>
      <c r="G15" s="426">
        <f t="shared" si="1"/>
        <v>-4.1929029551086155E-4</v>
      </c>
      <c r="H15" s="426">
        <f t="shared" si="0"/>
        <v>-4.5131783506893557E-4</v>
      </c>
      <c r="I15" s="426">
        <f t="shared" si="2"/>
        <v>-5.9190218391485215E-4</v>
      </c>
      <c r="K15" s="1011">
        <v>4.9710149540876233E-3</v>
      </c>
      <c r="L15" s="1011">
        <v>5.0030424936456973E-3</v>
      </c>
      <c r="M15" s="426">
        <f>'2016.06.30'!E5%</f>
        <v>5.1436268424916139E-3</v>
      </c>
      <c r="N15" s="968">
        <f>'2016.06.30'!C5/10^8</f>
        <v>582.67659066763372</v>
      </c>
      <c r="O15" s="425"/>
      <c r="P15" s="423">
        <v>5.1436268424916139E-3</v>
      </c>
      <c r="Q15" s="293">
        <f t="shared" si="3"/>
        <v>0</v>
      </c>
    </row>
    <row r="16" spans="2:17" ht="14.25">
      <c r="B16" s="861"/>
      <c r="C16" s="411" t="s">
        <v>3331</v>
      </c>
      <c r="D16" s="814">
        <f>'2017.06.30'!C7/10^8</f>
        <v>807.91300701448915</v>
      </c>
      <c r="E16" s="412">
        <f>'2017.06.30'!D7/10^8</f>
        <v>1.2424432240000001</v>
      </c>
      <c r="F16" s="427">
        <f>'2017.06.30'!E7%</f>
        <v>3.1011747649315E-3</v>
      </c>
      <c r="G16" s="427">
        <f t="shared" si="1"/>
        <v>-5.797328923216015E-7</v>
      </c>
      <c r="H16" s="427">
        <f t="shared" si="0"/>
        <v>-1.21974321671014E-5</v>
      </c>
      <c r="I16" s="427">
        <f t="shared" si="2"/>
        <v>-1.4546023779509008E-5</v>
      </c>
      <c r="K16" s="1011">
        <v>3.1017544978238216E-3</v>
      </c>
      <c r="L16" s="1011">
        <v>3.1133721970986014E-3</v>
      </c>
      <c r="M16" s="427">
        <f>'2016.06.30'!E7%</f>
        <v>3.115720788711009E-3</v>
      </c>
      <c r="N16" s="969">
        <f>'2016.06.30'!C7/10^8</f>
        <v>711.0903210713484</v>
      </c>
      <c r="O16" s="425"/>
      <c r="P16" s="423">
        <v>3.115720788711009E-3</v>
      </c>
      <c r="Q16" s="293">
        <f t="shared" si="3"/>
        <v>0</v>
      </c>
    </row>
    <row r="17" spans="2:14" ht="14.25" hidden="1">
      <c r="B17" s="861"/>
      <c r="C17" s="408" t="s">
        <v>3332</v>
      </c>
      <c r="D17" s="409"/>
      <c r="E17" s="410"/>
      <c r="F17" s="409"/>
      <c r="G17" s="438">
        <f t="shared" si="1"/>
        <v>0</v>
      </c>
      <c r="H17" s="406"/>
      <c r="I17" s="406">
        <f t="shared" ref="I17" si="4">F17-M17</f>
        <v>0</v>
      </c>
      <c r="J17" s="409"/>
      <c r="K17" s="409"/>
      <c r="L17" s="410"/>
      <c r="M17" s="410"/>
      <c r="N17" s="970"/>
    </row>
    <row r="19" spans="2:14">
      <c r="B19" s="124" t="s">
        <v>3542</v>
      </c>
      <c r="D19" s="425">
        <f>D5+D6-D4</f>
        <v>0</v>
      </c>
      <c r="N19" s="962">
        <f>N5+N6-N4</f>
        <v>0</v>
      </c>
    </row>
    <row r="20" spans="2:14">
      <c r="D20" s="425">
        <f>D14+D7-D4</f>
        <v>0</v>
      </c>
      <c r="N20" s="962">
        <f>N14+N7-N4</f>
        <v>0</v>
      </c>
    </row>
    <row r="21" spans="2:14">
      <c r="D21" s="425"/>
      <c r="N21" s="962"/>
    </row>
  </sheetData>
  <mergeCells count="7">
    <mergeCell ref="K2:M2"/>
    <mergeCell ref="B7:B17"/>
    <mergeCell ref="D2:F2"/>
    <mergeCell ref="G2:I2"/>
    <mergeCell ref="B3:C3"/>
    <mergeCell ref="B5:B6"/>
    <mergeCell ref="B2:C2"/>
  </mergeCells>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5"/>
  <sheetViews>
    <sheetView workbookViewId="0">
      <pane xSplit="1" ySplit="4" topLeftCell="B5" activePane="bottomRight" state="frozen"/>
      <selection activeCell="L8" sqref="L8"/>
      <selection pane="topRight" activeCell="L8" sqref="L8"/>
      <selection pane="bottomLeft" activeCell="L8" sqref="L8"/>
      <selection pane="bottomRight" activeCell="F16" sqref="F16"/>
    </sheetView>
  </sheetViews>
  <sheetFormatPr defaultColWidth="8.875" defaultRowHeight="13.5"/>
  <cols>
    <col min="1" max="1" width="15.375" style="404" bestFit="1" customWidth="1"/>
    <col min="2" max="2" width="7.625" style="457" bestFit="1" customWidth="1"/>
    <col min="3" max="3" width="6.75" style="763" bestFit="1" customWidth="1"/>
    <col min="4" max="4" width="6.5" style="404" bestFit="1" customWidth="1"/>
    <col min="5" max="5" width="6.5" style="517" bestFit="1" customWidth="1"/>
    <col min="6" max="6" width="6.75" style="404" bestFit="1" customWidth="1"/>
    <col min="7" max="7" width="6" style="763" bestFit="1" customWidth="1"/>
    <col min="8" max="9" width="6.5" style="763" bestFit="1" customWidth="1"/>
    <col min="10" max="10" width="8.875" style="457" bestFit="1" customWidth="1"/>
    <col min="11" max="12" width="6.5" style="517" bestFit="1" customWidth="1"/>
    <col min="13" max="13" width="6.5" style="404" bestFit="1" customWidth="1"/>
    <col min="14" max="14" width="8.875" style="404"/>
    <col min="15" max="15" width="9.5" style="517" bestFit="1" customWidth="1"/>
    <col min="16" max="16" width="6.75" style="763" bestFit="1" customWidth="1"/>
    <col min="17" max="17" width="7.625" style="404" bestFit="1" customWidth="1"/>
    <col min="18" max="18" width="6.75" style="763" bestFit="1" customWidth="1"/>
    <col min="19" max="19" width="9.625" style="457" customWidth="1"/>
    <col min="20" max="20" width="6.75" style="763" bestFit="1" customWidth="1"/>
    <col min="21" max="21" width="7.25" style="404" bestFit="1" customWidth="1"/>
    <col min="22" max="22" width="6.5" style="404" bestFit="1" customWidth="1"/>
    <col min="23" max="23" width="11.125" style="962" bestFit="1" customWidth="1"/>
    <col min="24" max="16384" width="8.875" style="404"/>
  </cols>
  <sheetData>
    <row r="1" spans="1:23" ht="14.25" customHeight="1">
      <c r="A1" s="870" t="s">
        <v>3352</v>
      </c>
      <c r="B1" s="885" t="s">
        <v>3353</v>
      </c>
      <c r="C1" s="886"/>
      <c r="D1" s="886"/>
      <c r="E1" s="886"/>
      <c r="F1" s="886"/>
      <c r="G1" s="886"/>
      <c r="H1" s="886"/>
      <c r="I1" s="887"/>
      <c r="J1" s="873" t="s">
        <v>3357</v>
      </c>
      <c r="K1" s="874"/>
      <c r="L1" s="874"/>
      <c r="M1" s="874"/>
      <c r="O1" s="880" t="s">
        <v>3530</v>
      </c>
      <c r="P1" s="880"/>
      <c r="Q1" s="880"/>
      <c r="R1" s="880"/>
      <c r="S1" s="880"/>
      <c r="T1" s="816"/>
      <c r="U1" s="882" t="s">
        <v>4430</v>
      </c>
      <c r="V1" s="883"/>
      <c r="W1" s="884"/>
    </row>
    <row r="2" spans="1:23" ht="14.25">
      <c r="A2" s="871"/>
      <c r="B2" s="888">
        <v>42887</v>
      </c>
      <c r="C2" s="889"/>
      <c r="D2" s="875" t="s">
        <v>194</v>
      </c>
      <c r="E2" s="876"/>
      <c r="F2" s="876"/>
      <c r="G2" s="875" t="s">
        <v>4433</v>
      </c>
      <c r="H2" s="876"/>
      <c r="I2" s="876"/>
      <c r="J2" s="963">
        <v>42887</v>
      </c>
      <c r="K2" s="878" t="s">
        <v>3527</v>
      </c>
      <c r="L2" s="879" t="s">
        <v>3529</v>
      </c>
      <c r="M2" s="878" t="s">
        <v>4436</v>
      </c>
      <c r="O2" s="881"/>
      <c r="P2" s="881"/>
      <c r="Q2" s="881"/>
      <c r="R2" s="881"/>
      <c r="S2" s="881"/>
      <c r="T2" s="817"/>
      <c r="U2" s="885"/>
      <c r="V2" s="886"/>
      <c r="W2" s="887"/>
    </row>
    <row r="3" spans="1:23" ht="18.75" customHeight="1">
      <c r="A3" s="872"/>
      <c r="B3" s="958" t="s">
        <v>90</v>
      </c>
      <c r="C3" s="419" t="s">
        <v>2564</v>
      </c>
      <c r="D3" s="419" t="s">
        <v>3528</v>
      </c>
      <c r="E3" s="419" t="s">
        <v>3529</v>
      </c>
      <c r="F3" s="419" t="s">
        <v>4437</v>
      </c>
      <c r="G3" s="419" t="s">
        <v>3528</v>
      </c>
      <c r="H3" s="419" t="s">
        <v>3529</v>
      </c>
      <c r="I3" s="419" t="s">
        <v>4437</v>
      </c>
      <c r="J3" s="964"/>
      <c r="K3" s="877"/>
      <c r="L3" s="877"/>
      <c r="M3" s="877"/>
      <c r="O3" s="419" t="s">
        <v>4427</v>
      </c>
      <c r="P3" s="419" t="s">
        <v>2564</v>
      </c>
      <c r="Q3" s="419" t="s">
        <v>4431</v>
      </c>
      <c r="R3" s="419" t="s">
        <v>2564</v>
      </c>
      <c r="S3" s="958" t="s">
        <v>4432</v>
      </c>
      <c r="T3" s="419" t="s">
        <v>2564</v>
      </c>
      <c r="U3" s="419" t="s">
        <v>4428</v>
      </c>
      <c r="V3" s="419" t="s">
        <v>4429</v>
      </c>
      <c r="W3" s="958" t="s">
        <v>3356</v>
      </c>
    </row>
    <row r="4" spans="1:23" s="451" customFormat="1" ht="14.25">
      <c r="A4" s="422" t="s">
        <v>4434</v>
      </c>
      <c r="B4" s="967">
        <f>SUM(B5:B9)</f>
        <v>2966.5159112168926</v>
      </c>
      <c r="C4" s="448">
        <f>B4/$B$4</f>
        <v>1</v>
      </c>
      <c r="D4" s="448">
        <f>B4/O4-1</f>
        <v>4.9164264973311944E-2</v>
      </c>
      <c r="E4" s="448">
        <f>B4/Q4-1</f>
        <v>9.051249471681877E-2</v>
      </c>
      <c r="F4" s="448">
        <f>B4/S4-1</f>
        <v>0.10753279345286937</v>
      </c>
      <c r="G4" s="821">
        <f>C4-P4</f>
        <v>0</v>
      </c>
      <c r="H4" s="821">
        <f>C4-R4</f>
        <v>0</v>
      </c>
      <c r="I4" s="821">
        <f>C4-T4</f>
        <v>0</v>
      </c>
      <c r="J4" s="959">
        <f>三因素分析!O6</f>
        <v>3.6307774978392715E-2</v>
      </c>
      <c r="K4" s="818">
        <f>J4-U4</f>
        <v>4.4554506401203037E-4</v>
      </c>
      <c r="L4" s="818">
        <f>J4-V4</f>
        <v>-5.4486729177059129E-4</v>
      </c>
      <c r="M4" s="818">
        <f>J4-W4</f>
        <v>-1.8742043003635647E-3</v>
      </c>
      <c r="O4" s="1002">
        <v>2827.5037668122955</v>
      </c>
      <c r="P4" s="448">
        <f>O4/$O$4</f>
        <v>1</v>
      </c>
      <c r="Q4" s="1002">
        <v>2720.295205775913</v>
      </c>
      <c r="R4" s="448">
        <f>Q4/$Q$4</f>
        <v>1</v>
      </c>
      <c r="S4" s="967">
        <f>SUM(S5:S9)</f>
        <v>2678.4903605142158</v>
      </c>
      <c r="T4" s="448">
        <f>S4/$S$4</f>
        <v>1</v>
      </c>
      <c r="U4" s="818">
        <v>3.5862229914380685E-2</v>
      </c>
      <c r="V4" s="818">
        <v>3.6852642270163306E-2</v>
      </c>
      <c r="W4" s="959">
        <f>三因素分析!G6</f>
        <v>3.818197927875628E-2</v>
      </c>
    </row>
    <row r="5" spans="1:23" ht="14.25">
      <c r="A5" s="992" t="s">
        <v>163</v>
      </c>
      <c r="B5" s="993">
        <f>三因素分析!I8</f>
        <v>303.32397871715716</v>
      </c>
      <c r="C5" s="446">
        <f t="shared" ref="C5:C9" si="0">B5/$B$4</f>
        <v>0.10224923371226106</v>
      </c>
      <c r="D5" s="446">
        <f t="shared" ref="D5:D13" si="1">B5/O5-1</f>
        <v>0.18003557832933237</v>
      </c>
      <c r="E5" s="446">
        <f t="shared" ref="E5:E13" si="2">B5/Q5-1</f>
        <v>5.7609340492580374E-2</v>
      </c>
      <c r="F5" s="446">
        <f t="shared" ref="F5:F13" si="3">B5/S5-1</f>
        <v>7.7612347655507508E-2</v>
      </c>
      <c r="G5" s="446">
        <f t="shared" ref="G5:G13" si="4">C5-P5</f>
        <v>1.1339905127704275E-2</v>
      </c>
      <c r="H5" s="446">
        <f t="shared" ref="H5:H13" si="5">C5-R5</f>
        <v>-3.1810633447864473E-3</v>
      </c>
      <c r="I5" s="446">
        <f t="shared" ref="I5:I13" si="6">C5-T5</f>
        <v>-2.839001113680184E-3</v>
      </c>
      <c r="J5" s="960">
        <f>三因素分析!O8</f>
        <v>3.4960687154848562E-2</v>
      </c>
      <c r="K5" s="819">
        <f t="shared" ref="K5:K13" si="7">J5-U5</f>
        <v>1.320889308734953E-3</v>
      </c>
      <c r="L5" s="819">
        <f t="shared" ref="L5:L13" si="8">J5-V5</f>
        <v>6.7667862363091948E-3</v>
      </c>
      <c r="M5" s="819">
        <f t="shared" ref="M5:M13" si="9">J5-W5</f>
        <v>8.3950172547488308E-3</v>
      </c>
      <c r="O5" s="1003">
        <v>257.046469011211</v>
      </c>
      <c r="P5" s="446">
        <f t="shared" ref="P5:P9" si="10">O5/$O$4</f>
        <v>9.0909328584556789E-2</v>
      </c>
      <c r="Q5" s="1003">
        <v>286.8015316278167</v>
      </c>
      <c r="R5" s="446">
        <f t="shared" ref="R5:R9" si="11">Q5/$Q$4</f>
        <v>0.10543029705704751</v>
      </c>
      <c r="S5" s="993">
        <f>三因素分析!B8</f>
        <v>281.47782398473794</v>
      </c>
      <c r="T5" s="446">
        <f t="shared" ref="T5:T9" si="12">S5/$S$4</f>
        <v>0.10508823482594125</v>
      </c>
      <c r="U5" s="819">
        <v>3.3639797846113609E-2</v>
      </c>
      <c r="V5" s="819">
        <v>2.8193900918539367E-2</v>
      </c>
      <c r="W5" s="960">
        <f>三因素分析!G8</f>
        <v>2.6565669900099731E-2</v>
      </c>
    </row>
    <row r="6" spans="1:23" ht="14.25">
      <c r="A6" s="421" t="s">
        <v>135</v>
      </c>
      <c r="B6" s="994">
        <f>三因素分析!I10</f>
        <v>1086.5358718850757</v>
      </c>
      <c r="C6" s="447">
        <f t="shared" si="0"/>
        <v>0.36626665907191058</v>
      </c>
      <c r="D6" s="447">
        <f t="shared" si="1"/>
        <v>5.5581630702040252E-2</v>
      </c>
      <c r="E6" s="447">
        <f t="shared" si="2"/>
        <v>9.8760853568033324E-2</v>
      </c>
      <c r="F6" s="447">
        <f t="shared" si="3"/>
        <v>0.18777315335709677</v>
      </c>
      <c r="G6" s="447">
        <f t="shared" si="4"/>
        <v>2.2267033047370099E-3</v>
      </c>
      <c r="H6" s="447">
        <f t="shared" si="5"/>
        <v>2.7495508503512234E-3</v>
      </c>
      <c r="I6" s="447">
        <f t="shared" si="6"/>
        <v>2.4743250394053395E-2</v>
      </c>
      <c r="J6" s="961">
        <f>三因素分析!O10</f>
        <v>3.3838937057633592E-2</v>
      </c>
      <c r="K6" s="820">
        <f t="shared" si="7"/>
        <v>-1.0304155871109638E-4</v>
      </c>
      <c r="L6" s="820">
        <f t="shared" si="8"/>
        <v>-1.0830991842000828E-3</v>
      </c>
      <c r="M6" s="820">
        <f t="shared" si="9"/>
        <v>-2.1669101855062781E-3</v>
      </c>
      <c r="O6" s="1004">
        <v>1029.3243462018647</v>
      </c>
      <c r="P6" s="447">
        <f t="shared" si="10"/>
        <v>0.36403995576717357</v>
      </c>
      <c r="Q6" s="1004">
        <v>988.87384671263169</v>
      </c>
      <c r="R6" s="447">
        <f t="shared" si="11"/>
        <v>0.36351710822155936</v>
      </c>
      <c r="S6" s="994">
        <f>三因素分析!B10</f>
        <v>914.76715803359752</v>
      </c>
      <c r="T6" s="447">
        <f t="shared" si="12"/>
        <v>0.34152340867785719</v>
      </c>
      <c r="U6" s="820">
        <v>3.3941978616344688E-2</v>
      </c>
      <c r="V6" s="820">
        <v>3.4922036241833675E-2</v>
      </c>
      <c r="W6" s="961">
        <f>三因素分析!G10</f>
        <v>3.600584724313987E-2</v>
      </c>
    </row>
    <row r="7" spans="1:23" ht="14.25">
      <c r="A7" s="992" t="s">
        <v>3354</v>
      </c>
      <c r="B7" s="993">
        <f>三因素分析!I7</f>
        <v>138.7160001754834</v>
      </c>
      <c r="C7" s="446">
        <f t="shared" si="0"/>
        <v>4.6760578512650149E-2</v>
      </c>
      <c r="D7" s="446">
        <f t="shared" si="1"/>
        <v>2.5235500875489425E-2</v>
      </c>
      <c r="E7" s="446">
        <f t="shared" si="2"/>
        <v>-2.9312720372014822E-2</v>
      </c>
      <c r="F7" s="446">
        <f t="shared" si="3"/>
        <v>-0.1773752925676666</v>
      </c>
      <c r="G7" s="446">
        <f t="shared" si="4"/>
        <v>-1.091381298590835E-3</v>
      </c>
      <c r="H7" s="446">
        <f t="shared" si="5"/>
        <v>-5.772298139215308E-3</v>
      </c>
      <c r="I7" s="446">
        <f t="shared" si="6"/>
        <v>-1.6195072680026477E-2</v>
      </c>
      <c r="J7" s="960">
        <f>三因素分析!O7</f>
        <v>2.6166455935004211E-2</v>
      </c>
      <c r="K7" s="819">
        <f t="shared" si="7"/>
        <v>-1.1952786085546209E-3</v>
      </c>
      <c r="L7" s="819">
        <f t="shared" si="8"/>
        <v>-5.6316887157856071E-3</v>
      </c>
      <c r="M7" s="819">
        <f t="shared" si="9"/>
        <v>-7.1571764062674514E-3</v>
      </c>
      <c r="O7" s="1003">
        <v>135.30159661563445</v>
      </c>
      <c r="P7" s="446">
        <f t="shared" si="10"/>
        <v>4.7851959811240984E-2</v>
      </c>
      <c r="Q7" s="1003">
        <v>142.904932501687</v>
      </c>
      <c r="R7" s="446">
        <f t="shared" si="11"/>
        <v>5.2532876651865457E-2</v>
      </c>
      <c r="S7" s="993">
        <f>三因素分析!B7</f>
        <v>168.62610485947963</v>
      </c>
      <c r="T7" s="446">
        <f t="shared" si="12"/>
        <v>6.2955651192676626E-2</v>
      </c>
      <c r="U7" s="819">
        <v>2.7361734543558832E-2</v>
      </c>
      <c r="V7" s="819">
        <v>3.1798144650789818E-2</v>
      </c>
      <c r="W7" s="960">
        <f>三因素分析!G7</f>
        <v>3.3323632341271663E-2</v>
      </c>
    </row>
    <row r="8" spans="1:23" ht="14.25">
      <c r="A8" s="421" t="s">
        <v>1062</v>
      </c>
      <c r="B8" s="994">
        <f>三因素分析!I9</f>
        <v>1001.8445928175751</v>
      </c>
      <c r="C8" s="447">
        <f t="shared" si="0"/>
        <v>0.33771758615196812</v>
      </c>
      <c r="D8" s="447">
        <f t="shared" si="1"/>
        <v>1.4027404008557953E-2</v>
      </c>
      <c r="E8" s="447">
        <f t="shared" si="2"/>
        <v>0.16275111269746234</v>
      </c>
      <c r="F8" s="447">
        <f t="shared" si="3"/>
        <v>0.12301940058862604</v>
      </c>
      <c r="G8" s="447">
        <f t="shared" si="4"/>
        <v>-1.1702184598823551E-2</v>
      </c>
      <c r="H8" s="447">
        <f t="shared" si="5"/>
        <v>2.0981490729155616E-2</v>
      </c>
      <c r="I8" s="447">
        <f t="shared" si="6"/>
        <v>4.6571765161227408E-3</v>
      </c>
      <c r="J8" s="961">
        <f>三因素分析!O9</f>
        <v>4.113867792592469E-2</v>
      </c>
      <c r="K8" s="820">
        <f t="shared" si="7"/>
        <v>2.8507104904227504E-4</v>
      </c>
      <c r="L8" s="820">
        <f t="shared" si="8"/>
        <v>3.1679897045702385E-3</v>
      </c>
      <c r="M8" s="820">
        <f t="shared" si="9"/>
        <v>3.304482596128297E-3</v>
      </c>
      <c r="O8" s="1004">
        <v>987.98571799655213</v>
      </c>
      <c r="P8" s="447">
        <f t="shared" si="10"/>
        <v>0.34941977075079167</v>
      </c>
      <c r="Q8" s="1004">
        <v>861.61568187485898</v>
      </c>
      <c r="R8" s="447">
        <f t="shared" si="11"/>
        <v>0.3167360954228125</v>
      </c>
      <c r="S8" s="994">
        <f>三因素分析!B9</f>
        <v>892.09909667852787</v>
      </c>
      <c r="T8" s="447">
        <f t="shared" si="12"/>
        <v>0.33306040963584538</v>
      </c>
      <c r="U8" s="820">
        <v>4.0853606876882415E-2</v>
      </c>
      <c r="V8" s="820">
        <v>3.7970688221354451E-2</v>
      </c>
      <c r="W8" s="961">
        <f>三因素分析!G9</f>
        <v>3.7834195329796393E-2</v>
      </c>
    </row>
    <row r="9" spans="1:23" s="524" customFormat="1" ht="14.25">
      <c r="A9" s="420" t="s">
        <v>3543</v>
      </c>
      <c r="B9" s="993">
        <f>三因素分析!I11</f>
        <v>436.09546762160102</v>
      </c>
      <c r="C9" s="446">
        <f t="shared" si="0"/>
        <v>0.14700594255121005</v>
      </c>
      <c r="D9" s="446">
        <f t="shared" si="1"/>
        <v>4.3676010993346948E-2</v>
      </c>
      <c r="E9" s="446">
        <f t="shared" si="2"/>
        <v>-9.0973701349960079E-3</v>
      </c>
      <c r="F9" s="446">
        <f t="shared" si="3"/>
        <v>3.4577919303695026E-2</v>
      </c>
      <c r="G9" s="446">
        <f t="shared" si="4"/>
        <v>-7.7304253502699649E-4</v>
      </c>
      <c r="H9" s="446">
        <f t="shared" si="5"/>
        <v>-1.4777680095505036E-2</v>
      </c>
      <c r="I9" s="446">
        <f t="shared" si="6"/>
        <v>-1.0366353116469385E-2</v>
      </c>
      <c r="J9" s="960">
        <f>三因素分析!O11</f>
        <v>3.5523621492505028E-2</v>
      </c>
      <c r="K9" s="819">
        <f t="shared" si="7"/>
        <v>2.6133162114105046E-3</v>
      </c>
      <c r="L9" s="819">
        <f t="shared" si="8"/>
        <v>-1.0762013804399992E-2</v>
      </c>
      <c r="M9" s="819">
        <f t="shared" si="9"/>
        <v>-1.7817512247873792E-2</v>
      </c>
      <c r="O9" s="1003">
        <v>417.84563698703329</v>
      </c>
      <c r="P9" s="446">
        <f t="shared" si="10"/>
        <v>0.14777898508623705</v>
      </c>
      <c r="Q9" s="1003">
        <v>440.09921305891845</v>
      </c>
      <c r="R9" s="446">
        <f t="shared" si="11"/>
        <v>0.16178362264671509</v>
      </c>
      <c r="S9" s="993">
        <f>三因素分析!B11</f>
        <v>421.52017695787248</v>
      </c>
      <c r="T9" s="446">
        <f t="shared" si="12"/>
        <v>0.15737229566767943</v>
      </c>
      <c r="U9" s="819">
        <v>3.2910305281094523E-2</v>
      </c>
      <c r="V9" s="819">
        <v>4.628563529690502E-2</v>
      </c>
      <c r="W9" s="960">
        <f>三因素分析!G11</f>
        <v>5.334113374037882E-2</v>
      </c>
    </row>
    <row r="10" spans="1:23" ht="14.25">
      <c r="A10" s="422" t="s">
        <v>3416</v>
      </c>
      <c r="B10" s="967">
        <f>SUM(B11:B13)</f>
        <v>1595.472637775428</v>
      </c>
      <c r="C10" s="448">
        <f>B10/$B$10</f>
        <v>1</v>
      </c>
      <c r="D10" s="448">
        <f t="shared" si="1"/>
        <v>9.5489997751789124E-2</v>
      </c>
      <c r="E10" s="448">
        <f t="shared" si="2"/>
        <v>0.1479252643605411</v>
      </c>
      <c r="F10" s="448">
        <f t="shared" si="3"/>
        <v>0.13730412789686652</v>
      </c>
      <c r="G10" s="821">
        <f t="shared" si="4"/>
        <v>0</v>
      </c>
      <c r="H10" s="821">
        <f t="shared" si="5"/>
        <v>0</v>
      </c>
      <c r="I10" s="821">
        <f t="shared" si="6"/>
        <v>0</v>
      </c>
      <c r="J10" s="959">
        <f>三因素分析!O20</f>
        <v>3.5545036399945912E-2</v>
      </c>
      <c r="K10" s="818">
        <f t="shared" si="7"/>
        <v>2.8508630161753826E-3</v>
      </c>
      <c r="L10" s="818">
        <f t="shared" si="8"/>
        <v>6.725297362601107E-3</v>
      </c>
      <c r="M10" s="818">
        <f t="shared" si="9"/>
        <v>6.2415014830800655E-3</v>
      </c>
      <c r="O10" s="1002">
        <v>1456.4009174430844</v>
      </c>
      <c r="P10" s="448">
        <f>O10/$O$10</f>
        <v>1</v>
      </c>
      <c r="Q10" s="1002">
        <v>1389.875009558393</v>
      </c>
      <c r="R10" s="448">
        <f>Q10/$Q$10</f>
        <v>1</v>
      </c>
      <c r="S10" s="967">
        <f>SUM(S11:S13)</f>
        <v>1402.8548728877113</v>
      </c>
      <c r="T10" s="448">
        <f>S10/$S$10</f>
        <v>1</v>
      </c>
      <c r="U10" s="818">
        <v>3.2694173383770529E-2</v>
      </c>
      <c r="V10" s="818">
        <v>2.8819739037344805E-2</v>
      </c>
      <c r="W10" s="959">
        <f>三因素分析!G20</f>
        <v>2.9303534916865846E-2</v>
      </c>
    </row>
    <row r="11" spans="1:23" ht="14.25">
      <c r="A11" s="420" t="s">
        <v>4435</v>
      </c>
      <c r="B11" s="993">
        <f>三因素分析!I21</f>
        <v>254.67044243339328</v>
      </c>
      <c r="C11" s="446">
        <f t="shared" ref="C11:C13" si="13">B11/$B$10</f>
        <v>0.15962068944565605</v>
      </c>
      <c r="D11" s="446">
        <f t="shared" si="1"/>
        <v>0.1042722125102773</v>
      </c>
      <c r="E11" s="446">
        <f t="shared" si="2"/>
        <v>-0.56225475641907707</v>
      </c>
      <c r="F11" s="446">
        <f t="shared" si="3"/>
        <v>-0.68119861726971154</v>
      </c>
      <c r="G11" s="446">
        <f t="shared" si="4"/>
        <v>1.269454359829475E-3</v>
      </c>
      <c r="H11" s="446">
        <f t="shared" si="5"/>
        <v>-0.25896209315731156</v>
      </c>
      <c r="I11" s="446">
        <f t="shared" si="6"/>
        <v>-0.40981620398799662</v>
      </c>
      <c r="J11" s="960">
        <f>三因素分析!O21</f>
        <v>2.6244770586398864E-2</v>
      </c>
      <c r="K11" s="819">
        <f t="shared" si="7"/>
        <v>4.2495025222720265E-3</v>
      </c>
      <c r="L11" s="819">
        <f t="shared" si="8"/>
        <v>-2.4315714641521824E-3</v>
      </c>
      <c r="M11" s="819">
        <f t="shared" si="9"/>
        <v>-4.0852166778892751E-3</v>
      </c>
      <c r="O11" s="1003">
        <v>230.62288405724334</v>
      </c>
      <c r="P11" s="446">
        <f t="shared" ref="P11:P13" si="14">O11/$O$10</f>
        <v>0.15835123508582657</v>
      </c>
      <c r="Q11" s="1003">
        <v>581.77774897127836</v>
      </c>
      <c r="R11" s="446">
        <f t="shared" ref="R11:R13" si="15">Q11/$Q$10</f>
        <v>0.41858278260296761</v>
      </c>
      <c r="S11" s="993">
        <f>三因素分析!B21</f>
        <v>798.83732075544003</v>
      </c>
      <c r="T11" s="446">
        <f t="shared" ref="T11:T13" si="16">S11/$S$10</f>
        <v>0.56943689343365267</v>
      </c>
      <c r="U11" s="819">
        <v>2.1995268064126838E-2</v>
      </c>
      <c r="V11" s="819">
        <v>2.8676342050551046E-2</v>
      </c>
      <c r="W11" s="960">
        <f>三因素分析!G21</f>
        <v>3.0329987264288139E-2</v>
      </c>
    </row>
    <row r="12" spans="1:23" ht="14.25">
      <c r="A12" s="421" t="s">
        <v>3355</v>
      </c>
      <c r="B12" s="994">
        <f>三因素分析!I22</f>
        <v>225.06149695025405</v>
      </c>
      <c r="C12" s="447">
        <f t="shared" si="13"/>
        <v>0.14106258648475348</v>
      </c>
      <c r="D12" s="447">
        <f t="shared" si="1"/>
        <v>-0.10137780679022024</v>
      </c>
      <c r="E12" s="447">
        <f t="shared" si="2"/>
        <v>0.13455640597669194</v>
      </c>
      <c r="F12" s="447">
        <f t="shared" si="3"/>
        <v>0.11215077284791919</v>
      </c>
      <c r="G12" s="447">
        <f t="shared" si="4"/>
        <v>-3.0903623251365392E-2</v>
      </c>
      <c r="H12" s="447">
        <f t="shared" si="5"/>
        <v>-1.6621877343777347E-3</v>
      </c>
      <c r="I12" s="447">
        <f t="shared" si="6"/>
        <v>-3.1903923538063594E-3</v>
      </c>
      <c r="J12" s="961">
        <f>三因素分析!O22</f>
        <v>2.7674210770106525E-2</v>
      </c>
      <c r="K12" s="820">
        <f t="shared" si="7"/>
        <v>-2.1764121024545058E-5</v>
      </c>
      <c r="L12" s="820">
        <f t="shared" si="8"/>
        <v>4.9190077449848407E-3</v>
      </c>
      <c r="M12" s="820">
        <f t="shared" si="9"/>
        <v>5.3188105437280246E-3</v>
      </c>
      <c r="O12" s="1004">
        <v>250.45174562889341</v>
      </c>
      <c r="P12" s="447">
        <f t="shared" si="14"/>
        <v>0.17196620973611887</v>
      </c>
      <c r="Q12" s="1004">
        <v>198.36959693203448</v>
      </c>
      <c r="R12" s="447">
        <f t="shared" si="15"/>
        <v>0.14272477421913121</v>
      </c>
      <c r="S12" s="994">
        <f>三因素分析!B22</f>
        <v>202.36599429224157</v>
      </c>
      <c r="T12" s="447">
        <f t="shared" si="16"/>
        <v>0.14425297883855984</v>
      </c>
      <c r="U12" s="820">
        <v>2.769597489113107E-2</v>
      </c>
      <c r="V12" s="820">
        <v>2.2755203025121684E-2</v>
      </c>
      <c r="W12" s="961">
        <f>三因素分析!G22</f>
        <v>2.23554002263785E-2</v>
      </c>
    </row>
    <row r="13" spans="1:23" ht="14.25">
      <c r="A13" s="420" t="s">
        <v>485</v>
      </c>
      <c r="B13" s="993">
        <f>三因素分析!I23</f>
        <v>1115.7406983917806</v>
      </c>
      <c r="C13" s="446">
        <f t="shared" si="13"/>
        <v>0.69931672406959045</v>
      </c>
      <c r="D13" s="446">
        <f t="shared" si="1"/>
        <v>0.14396660112356607</v>
      </c>
      <c r="E13" s="446">
        <f t="shared" si="2"/>
        <v>0.82990007654130227</v>
      </c>
      <c r="F13" s="446">
        <f t="shared" si="3"/>
        <v>1.7778821633156952</v>
      </c>
      <c r="G13" s="446">
        <f t="shared" si="4"/>
        <v>2.9634168891535917E-2</v>
      </c>
      <c r="H13" s="446">
        <f t="shared" si="5"/>
        <v>0.26062428089168926</v>
      </c>
      <c r="I13" s="446">
        <f t="shared" si="6"/>
        <v>0.41300659634180303</v>
      </c>
      <c r="J13" s="960">
        <f>三因素分析!O23</f>
        <v>3.9255506596056457E-2</v>
      </c>
      <c r="K13" s="819">
        <f t="shared" si="7"/>
        <v>2.7480247992559548E-3</v>
      </c>
      <c r="L13" s="819">
        <f t="shared" si="8"/>
        <v>8.3258997977527574E-3</v>
      </c>
      <c r="M13" s="819">
        <f t="shared" si="9"/>
        <v>8.4927522872111499E-3</v>
      </c>
      <c r="O13" s="1003">
        <v>975.32628775694764</v>
      </c>
      <c r="P13" s="446">
        <f t="shared" si="14"/>
        <v>0.66968255517805453</v>
      </c>
      <c r="Q13" s="1003">
        <v>609.72766365508016</v>
      </c>
      <c r="R13" s="446">
        <f t="shared" si="15"/>
        <v>0.43869244317790118</v>
      </c>
      <c r="S13" s="993">
        <f>三因素分析!B23</f>
        <v>401.65155784002962</v>
      </c>
      <c r="T13" s="446">
        <f t="shared" si="16"/>
        <v>0.28631012772778741</v>
      </c>
      <c r="U13" s="819">
        <v>3.6507481796800502E-2</v>
      </c>
      <c r="V13" s="819">
        <v>3.0929606798303699E-2</v>
      </c>
      <c r="W13" s="960">
        <f>三因素分析!G23</f>
        <v>3.0762754308845307E-2</v>
      </c>
    </row>
    <row r="14" spans="1:23">
      <c r="U14" s="423"/>
    </row>
    <row r="15" spans="1:23">
      <c r="O15" s="285">
        <f>O5+O7</f>
        <v>392.34806562684548</v>
      </c>
      <c r="S15" s="995"/>
    </row>
  </sheetData>
  <mergeCells count="12">
    <mergeCell ref="O1:S2"/>
    <mergeCell ref="U1:W2"/>
    <mergeCell ref="B2:C2"/>
    <mergeCell ref="B1:I1"/>
    <mergeCell ref="G2:I2"/>
    <mergeCell ref="A1:A3"/>
    <mergeCell ref="J1:M1"/>
    <mergeCell ref="D2:F2"/>
    <mergeCell ref="J2:J3"/>
    <mergeCell ref="M2:M3"/>
    <mergeCell ref="K2:K3"/>
    <mergeCell ref="L2:L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4"/>
  <sheetViews>
    <sheetView workbookViewId="0">
      <pane xSplit="1" ySplit="2" topLeftCell="B3" activePane="bottomRight" state="frozen"/>
      <selection pane="topRight" activeCell="B1" sqref="B1"/>
      <selection pane="bottomLeft" activeCell="A3" sqref="A3"/>
      <selection pane="bottomRight" activeCell="F31" sqref="F31"/>
    </sheetView>
  </sheetViews>
  <sheetFormatPr defaultRowHeight="16.5"/>
  <cols>
    <col min="1" max="1" width="25.5" style="283" bestFit="1" customWidth="1"/>
    <col min="2" max="2" width="11" bestFit="1" customWidth="1"/>
    <col min="3" max="3" width="8.125" bestFit="1" customWidth="1"/>
    <col min="4" max="4" width="8.75" style="332" bestFit="1" customWidth="1"/>
    <col min="5" max="5" width="10" customWidth="1"/>
    <col min="6" max="6" width="8" style="457" bestFit="1" customWidth="1"/>
    <col min="7" max="7" width="8.125" bestFit="1" customWidth="1"/>
    <col min="8" max="8" width="8.5" style="332" bestFit="1" customWidth="1"/>
    <col min="9" max="9" width="10.375" bestFit="1" customWidth="1"/>
    <col min="10" max="10" width="8" style="574" bestFit="1" customWidth="1"/>
    <col min="11" max="12" width="8" bestFit="1" customWidth="1"/>
    <col min="13" max="13" width="9" style="806"/>
    <col min="14" max="14" width="20.5" style="806" bestFit="1" customWidth="1"/>
  </cols>
  <sheetData>
    <row r="1" spans="1:15" ht="25.5" customHeight="1" thickBot="1">
      <c r="A1" s="893" t="s">
        <v>215</v>
      </c>
      <c r="B1" s="890">
        <v>42916</v>
      </c>
      <c r="C1" s="891"/>
      <c r="D1" s="891"/>
      <c r="E1" s="892"/>
      <c r="F1" s="980">
        <v>42551</v>
      </c>
      <c r="G1" s="981"/>
      <c r="H1" s="981"/>
      <c r="I1" s="982"/>
      <c r="J1" s="894" t="s">
        <v>2563</v>
      </c>
      <c r="K1" s="891"/>
      <c r="L1" s="892"/>
    </row>
    <row r="2" spans="1:15" s="283" customFormat="1" ht="25.5" customHeight="1" thickTop="1" thickBot="1">
      <c r="A2" s="892"/>
      <c r="B2" s="578" t="s">
        <v>180</v>
      </c>
      <c r="C2" s="578" t="s">
        <v>2564</v>
      </c>
      <c r="D2" s="578" t="s">
        <v>2566</v>
      </c>
      <c r="E2" s="578" t="s">
        <v>182</v>
      </c>
      <c r="F2" s="996" t="s">
        <v>180</v>
      </c>
      <c r="G2" s="578" t="s">
        <v>2564</v>
      </c>
      <c r="H2" s="578" t="s">
        <v>2566</v>
      </c>
      <c r="I2" s="578" t="s">
        <v>182</v>
      </c>
      <c r="J2" s="578" t="s">
        <v>3808</v>
      </c>
      <c r="K2" s="578" t="s">
        <v>20</v>
      </c>
      <c r="L2" s="578" t="s">
        <v>2565</v>
      </c>
      <c r="M2" s="806"/>
      <c r="N2" s="806"/>
    </row>
    <row r="3" spans="1:15" s="283" customFormat="1" ht="17.25" thickTop="1">
      <c r="A3" s="786" t="s">
        <v>89</v>
      </c>
      <c r="B3" s="787">
        <f>三因素分析!I4</f>
        <v>5993.6183767887069</v>
      </c>
      <c r="C3" s="788">
        <f>B3/$B$3</f>
        <v>1</v>
      </c>
      <c r="D3" s="787">
        <f>三因素分析!K4</f>
        <v>118.71727195060001</v>
      </c>
      <c r="E3" s="789">
        <f>三因素分析!O4</f>
        <v>3.9942855624353187E-2</v>
      </c>
      <c r="F3" s="956">
        <f>三因素分析!B4</f>
        <v>5413.1624358578647</v>
      </c>
      <c r="G3" s="788">
        <f>F3/$F$3</f>
        <v>1</v>
      </c>
      <c r="H3" s="787">
        <f>三因素分析!D4</f>
        <v>114.91593472880001</v>
      </c>
      <c r="I3" s="789">
        <f>三因素分析!G4</f>
        <v>4.2691252048216791E-2</v>
      </c>
      <c r="J3" s="787">
        <f>三因素分析!Y4</f>
        <v>24.780390877163445</v>
      </c>
      <c r="K3" s="787">
        <f>三因素分析!AB4</f>
        <v>-2.0169872522104404</v>
      </c>
      <c r="L3" s="787">
        <f>三因素分析!AH4</f>
        <v>-14.45585206055884</v>
      </c>
      <c r="M3" s="807">
        <f>SUM(J3:L3)</f>
        <v>8.3075515643941635</v>
      </c>
      <c r="N3" s="808">
        <f>B3/F3-1</f>
        <v>0.10723046792126301</v>
      </c>
      <c r="O3" s="361"/>
    </row>
    <row r="4" spans="1:15" s="283" customFormat="1">
      <c r="A4" s="359" t="s">
        <v>219</v>
      </c>
      <c r="B4" s="355">
        <f>三因素分析!I5</f>
        <v>658.88284908867092</v>
      </c>
      <c r="C4" s="358">
        <f t="shared" ref="C4:C9" si="0">B4/$B$3</f>
        <v>0.10993073093213698</v>
      </c>
      <c r="D4" s="355">
        <f>三因素分析!K5</f>
        <v>4.9541583614999993</v>
      </c>
      <c r="E4" s="378">
        <f>三因素分析!O5</f>
        <v>1.5162680071020215E-2</v>
      </c>
      <c r="F4" s="792">
        <f>三因素分析!B5</f>
        <v>560.08057982086314</v>
      </c>
      <c r="G4" s="358">
        <f t="shared" ref="G4:G9" si="1">F4/$F$3</f>
        <v>0.10346642770421556</v>
      </c>
      <c r="H4" s="355">
        <f>三因素分析!D5</f>
        <v>4.2982293080999998</v>
      </c>
      <c r="I4" s="378">
        <f>三因素分析!G5</f>
        <v>1.54329434312195E-2</v>
      </c>
      <c r="J4" s="355">
        <f>三因素分析!Y5</f>
        <v>0.9268671275725523</v>
      </c>
      <c r="K4" s="355">
        <f>三因素分析!AB5</f>
        <v>0.59794270491364221</v>
      </c>
      <c r="L4" s="355">
        <f>三因素分析!AH5</f>
        <v>-0.17807189277238267</v>
      </c>
      <c r="M4" s="807"/>
      <c r="N4" s="824"/>
      <c r="O4" s="361"/>
    </row>
    <row r="5" spans="1:15">
      <c r="A5" s="360" t="s">
        <v>165</v>
      </c>
      <c r="B5" s="356">
        <f>三因素分析!I12</f>
        <v>2368.219616483143</v>
      </c>
      <c r="C5" s="357">
        <f>B5/$B$3</f>
        <v>0.39512352432288161</v>
      </c>
      <c r="D5" s="356">
        <f>三因素分析!K12</f>
        <v>60.351951442400001</v>
      </c>
      <c r="E5" s="377">
        <f>三因素分析!O12</f>
        <v>5.1390593433634529E-2</v>
      </c>
      <c r="F5" s="983">
        <f>三因素分析!B12</f>
        <v>2174.5914955227863</v>
      </c>
      <c r="G5" s="357">
        <f>F5/$F$3</f>
        <v>0.40172293392081859</v>
      </c>
      <c r="H5" s="356">
        <f>三因素分析!D12</f>
        <v>59.762100101800002</v>
      </c>
      <c r="I5" s="377">
        <f>三因素分析!G12</f>
        <v>5.5265978380667199E-2</v>
      </c>
      <c r="J5" s="802">
        <f>三因素分析!Y12</f>
        <v>12.887056992206896</v>
      </c>
      <c r="K5" s="356">
        <f>三因素分析!AB12</f>
        <v>-2.3463807413454925</v>
      </c>
      <c r="L5" s="356">
        <f>三因素分析!AH12</f>
        <v>-9.0173913569633743</v>
      </c>
      <c r="M5" s="807">
        <f t="shared" ref="M5:M16" si="2">SUM(J5:L5)</f>
        <v>1.5232848938980279</v>
      </c>
      <c r="O5" s="361"/>
    </row>
    <row r="6" spans="1:15">
      <c r="A6" s="359" t="s">
        <v>4420</v>
      </c>
      <c r="B6" s="355">
        <f>三因素分析!I7+三因素分析!I8</f>
        <v>442.03997889264053</v>
      </c>
      <c r="C6" s="358">
        <f>B6/B3</f>
        <v>7.3751772485968495E-2</v>
      </c>
      <c r="D6" s="355">
        <f>三因素分析!K7+三因素分析!K8</f>
        <v>7.0585640293000003</v>
      </c>
      <c r="E6" s="378">
        <f>'汇总-7.5'!D6/'汇总-7.5'!B6/181*365</f>
        <v>3.2200980708180192E-2</v>
      </c>
      <c r="F6" s="792">
        <f>三因素分析!B7+三因素分析!B8</f>
        <v>450.10392884421753</v>
      </c>
      <c r="G6" s="358">
        <f>F6/F3</f>
        <v>8.3149902515882321E-2</v>
      </c>
      <c r="H6" s="355">
        <f>三因素分析!D7+三因素分析!D8</f>
        <v>6.5126568102000002</v>
      </c>
      <c r="I6" s="991">
        <f>H6/F6*366/'2016.06.30ftp'!H1</f>
        <v>2.9097460471596594E-2</v>
      </c>
      <c r="J6" s="355">
        <f>三因素分析!Y7+三因素分析!Y8</f>
        <v>1.4043847077121687</v>
      </c>
      <c r="K6" s="355">
        <f>三因素分析!AB7+三因素分析!AB8</f>
        <v>-1.8207403042826558</v>
      </c>
      <c r="L6" s="355">
        <f>三因素分析!AH7+三因素分析!AH8</f>
        <v>1.5535951514818398</v>
      </c>
      <c r="M6" s="807">
        <f t="shared" si="2"/>
        <v>1.1372395549113528</v>
      </c>
      <c r="N6" s="810">
        <f>SUM(M6:M9)</f>
        <v>5.4375287307823239</v>
      </c>
      <c r="O6" s="361"/>
    </row>
    <row r="7" spans="1:15" s="574" customFormat="1">
      <c r="A7" s="360" t="s">
        <v>3809</v>
      </c>
      <c r="B7" s="356">
        <f>三因素分析!I9</f>
        <v>1001.8445928175751</v>
      </c>
      <c r="C7" s="357">
        <f>三因素分析!J9</f>
        <v>0.16715188219146324</v>
      </c>
      <c r="D7" s="356">
        <f>三因素分析!K9</f>
        <v>20.4379061054</v>
      </c>
      <c r="E7" s="377">
        <f>三因素分析!O9</f>
        <v>4.113867792592469E-2</v>
      </c>
      <c r="F7" s="983">
        <f>三因素分析!B9</f>
        <v>892.09909667852787</v>
      </c>
      <c r="G7" s="357">
        <f>三因素分析!C9</f>
        <v>0.16480183390934031</v>
      </c>
      <c r="H7" s="356">
        <f>三因素分析!D9</f>
        <v>16.783707565200004</v>
      </c>
      <c r="I7" s="377">
        <f>三因素分析!G9</f>
        <v>3.7834195329796393E-2</v>
      </c>
      <c r="J7" s="802">
        <f>三因素分析!Y9</f>
        <v>3.619226827116671</v>
      </c>
      <c r="K7" s="356">
        <f>三因素分析!AB9</f>
        <v>0.53290571037345646</v>
      </c>
      <c r="L7" s="356">
        <f>三因素分析!AH9</f>
        <v>3.310578020990917</v>
      </c>
      <c r="M7" s="807">
        <f t="shared" si="2"/>
        <v>7.462710558481044</v>
      </c>
      <c r="N7" s="810">
        <f>N6-M11</f>
        <v>-10.164997503102532</v>
      </c>
      <c r="O7" s="361"/>
    </row>
    <row r="8" spans="1:15">
      <c r="A8" s="359" t="s">
        <v>4421</v>
      </c>
      <c r="B8" s="355">
        <f>三因素分析!I10</f>
        <v>1086.5358718850757</v>
      </c>
      <c r="C8" s="358">
        <f t="shared" si="0"/>
        <v>0.18128212434960295</v>
      </c>
      <c r="D8" s="355">
        <f>三因素分析!K10</f>
        <v>18.232511329600001</v>
      </c>
      <c r="E8" s="378">
        <f>三因素分析!O10</f>
        <v>3.3838937057633592E-2</v>
      </c>
      <c r="F8" s="792">
        <f>三因素分析!B10</f>
        <v>914.76715803359752</v>
      </c>
      <c r="G8" s="358">
        <f t="shared" si="1"/>
        <v>0.16898941586788491</v>
      </c>
      <c r="H8" s="355">
        <f>三因素分析!D10</f>
        <v>16.378491565699999</v>
      </c>
      <c r="I8" s="378">
        <f>三因素分析!G10</f>
        <v>3.600584724313987E-2</v>
      </c>
      <c r="J8" s="355">
        <f>三因素分析!Y10</f>
        <v>3.5318463356209682</v>
      </c>
      <c r="K8" s="355">
        <f>三因素分析!AB10</f>
        <v>2.6528317364659593</v>
      </c>
      <c r="L8" s="355">
        <f>三因素分析!AH10</f>
        <v>-2.3544256477057148</v>
      </c>
      <c r="M8" s="807">
        <f t="shared" si="2"/>
        <v>3.8302524243812126</v>
      </c>
      <c r="O8" s="361"/>
    </row>
    <row r="9" spans="1:15">
      <c r="A9" s="360" t="s">
        <v>4422</v>
      </c>
      <c r="B9" s="356">
        <f>三因素分析!I11</f>
        <v>436.09546762160102</v>
      </c>
      <c r="C9" s="357">
        <f t="shared" si="0"/>
        <v>7.2759965717946587E-2</v>
      </c>
      <c r="D9" s="356">
        <f>三因素分析!K11</f>
        <v>7.6821806823999985</v>
      </c>
      <c r="E9" s="377">
        <f>三因素分析!O11</f>
        <v>3.5523621492505028E-2</v>
      </c>
      <c r="F9" s="983">
        <f>三因素分析!B11</f>
        <v>421.52017695787248</v>
      </c>
      <c r="G9" s="357">
        <f t="shared" si="1"/>
        <v>7.7869486081858355E-2</v>
      </c>
      <c r="H9" s="356">
        <f>三因素分析!D11</f>
        <v>11.1807493778</v>
      </c>
      <c r="I9" s="377">
        <f>三因素分析!G11</f>
        <v>5.334113374037882E-2</v>
      </c>
      <c r="J9" s="802">
        <f>三因素分析!Y11</f>
        <v>2.4110088869341886</v>
      </c>
      <c r="K9" s="356">
        <f>三因素分析!AB11</f>
        <v>-1.63354635833535</v>
      </c>
      <c r="L9" s="356">
        <f>三因素分析!AH11</f>
        <v>-7.7701363355901245</v>
      </c>
      <c r="M9" s="807">
        <f t="shared" si="2"/>
        <v>-6.9926738069912862</v>
      </c>
      <c r="O9" s="361"/>
    </row>
    <row r="10" spans="1:15" s="310" customFormat="1">
      <c r="A10" s="786" t="s">
        <v>216</v>
      </c>
      <c r="B10" s="787">
        <f>三因素分析!I19</f>
        <v>5591.1211965240627</v>
      </c>
      <c r="C10" s="788">
        <f>B10/$B$10</f>
        <v>1</v>
      </c>
      <c r="D10" s="787">
        <f>三因素分析!K19</f>
        <v>67.283992149300005</v>
      </c>
      <c r="E10" s="789">
        <f>三因素分析!O19</f>
        <v>2.4267617141391987E-2</v>
      </c>
      <c r="F10" s="956">
        <f>三因素分析!B19</f>
        <v>5030.1940274967264</v>
      </c>
      <c r="G10" s="788">
        <f>F10/$F$10</f>
        <v>1</v>
      </c>
      <c r="H10" s="787">
        <f>三因素分析!D19</f>
        <v>60.606757155300002</v>
      </c>
      <c r="I10" s="789">
        <f>三因素分析!G19</f>
        <v>2.4229586764397872E-2</v>
      </c>
      <c r="J10" s="803">
        <f>三因素分析!Y19</f>
        <v>13.069198241741001</v>
      </c>
      <c r="K10" s="787">
        <f>三因素分析!AB19</f>
        <v>-1.7380851314320644</v>
      </c>
      <c r="L10" s="787">
        <f>三因素分析!AH19</f>
        <v>2.4725528470705318</v>
      </c>
      <c r="M10" s="807">
        <f t="shared" ref="M10" si="3">SUM(J10:L10)</f>
        <v>13.803665957379467</v>
      </c>
      <c r="N10" s="808">
        <f>B10/F10-1</f>
        <v>0.11151203431937629</v>
      </c>
      <c r="O10" s="790"/>
    </row>
    <row r="11" spans="1:15">
      <c r="A11" s="359" t="s">
        <v>140</v>
      </c>
      <c r="B11" s="355">
        <f>三因素分析!I20</f>
        <v>1595.472637775428</v>
      </c>
      <c r="C11" s="358">
        <f t="shared" ref="C11:C16" si="4">B11/$B$10</f>
        <v>0.28535826387868596</v>
      </c>
      <c r="D11" s="355">
        <f>三因素分析!K20</f>
        <v>28.122507041800002</v>
      </c>
      <c r="E11" s="378">
        <f>三因素分析!O20</f>
        <v>3.5545036399945912E-2</v>
      </c>
      <c r="F11" s="792">
        <f>三因素分析!B20</f>
        <v>1402.8548728877113</v>
      </c>
      <c r="G11" s="358">
        <f>F11/$F$10</f>
        <v>0.27888683124731101</v>
      </c>
      <c r="H11" s="355">
        <f>三因素分析!D20</f>
        <v>20.441984777800002</v>
      </c>
      <c r="I11" s="378">
        <f>三因素分析!G20</f>
        <v>2.9303534916865846E-2</v>
      </c>
      <c r="J11" s="804">
        <f>三因素分析!Y20</f>
        <v>4.4080951374966801</v>
      </c>
      <c r="K11" s="355">
        <f>三因素分析!AB20</f>
        <v>1.5620462040149299</v>
      </c>
      <c r="L11" s="355">
        <f>三因素分析!AH20</f>
        <v>9.6323848923732456</v>
      </c>
      <c r="M11" s="807">
        <f t="shared" si="2"/>
        <v>15.602526233884856</v>
      </c>
      <c r="O11" s="361"/>
    </row>
    <row r="12" spans="1:15">
      <c r="A12" s="360" t="s">
        <v>2652</v>
      </c>
      <c r="B12" s="356">
        <f>三因素分析!I24</f>
        <v>3919.8902196483955</v>
      </c>
      <c r="C12" s="357">
        <f t="shared" si="4"/>
        <v>0.70109197813228363</v>
      </c>
      <c r="D12" s="356">
        <f>三因素分析!K24</f>
        <v>36.859539958500001</v>
      </c>
      <c r="E12" s="377">
        <f>三因素分析!O24</f>
        <v>1.8962268674246014E-2</v>
      </c>
      <c r="F12" s="983">
        <f>三因素分析!B24</f>
        <v>3551.3950394711728</v>
      </c>
      <c r="G12" s="357">
        <f t="shared" ref="G12:G16" si="5">F12/$F$10</f>
        <v>0.7060155175045052</v>
      </c>
      <c r="H12" s="356">
        <f>三因素分析!D24</f>
        <v>37.8356472336</v>
      </c>
      <c r="I12" s="377">
        <f>三因素分析!G24</f>
        <v>2.1424558508635037E-2</v>
      </c>
      <c r="J12" s="802">
        <f>三因素分析!Y24</f>
        <v>8.1588522057602937</v>
      </c>
      <c r="K12" s="356">
        <f>三因素分析!AB24</f>
        <v>-2.7864227199799085</v>
      </c>
      <c r="L12" s="356">
        <f>三因素分析!AH24</f>
        <v>-7.1294887776846743</v>
      </c>
      <c r="M12" s="807">
        <f t="shared" si="2"/>
        <v>-1.7570592919042891</v>
      </c>
      <c r="O12" s="361"/>
    </row>
    <row r="13" spans="1:15">
      <c r="A13" s="359" t="s">
        <v>2561</v>
      </c>
      <c r="B13" s="355">
        <f>三因素分析!I25</f>
        <v>1621.7217021591546</v>
      </c>
      <c r="C13" s="358">
        <f>B13/$B$10</f>
        <v>0.29005304037540103</v>
      </c>
      <c r="D13" s="355">
        <f>三因素分析!K25</f>
        <v>16.145037955899998</v>
      </c>
      <c r="E13" s="378">
        <f>三因素分析!O25</f>
        <v>2.0075992806064698E-2</v>
      </c>
      <c r="F13" s="792">
        <f>三因素分析!B25</f>
        <v>1473.7653621626832</v>
      </c>
      <c r="G13" s="358">
        <f t="shared" si="5"/>
        <v>0.29298380024837767</v>
      </c>
      <c r="H13" s="355">
        <f>三因素分析!D25</f>
        <v>16.496833754500003</v>
      </c>
      <c r="I13" s="378">
        <f>三因素分析!G25</f>
        <v>2.2510334581163836E-2</v>
      </c>
      <c r="J13" s="804">
        <f>三因素分析!Y25</f>
        <v>3.5573655615024262</v>
      </c>
      <c r="K13" s="355">
        <f>三因素分析!AB25</f>
        <v>-3.0807361106074067</v>
      </c>
      <c r="L13" s="355">
        <f>三因素分析!AH25</f>
        <v>-1.0939076213209342</v>
      </c>
      <c r="M13" s="807">
        <f t="shared" si="2"/>
        <v>-0.61727817042591471</v>
      </c>
      <c r="O13" s="361"/>
    </row>
    <row r="14" spans="1:15">
      <c r="A14" s="360" t="s">
        <v>2562</v>
      </c>
      <c r="B14" s="356">
        <f>三因素分析!I28</f>
        <v>1869.1489832903458</v>
      </c>
      <c r="C14" s="357">
        <f>B14/$B$10</f>
        <v>0.33430664755619582</v>
      </c>
      <c r="D14" s="356">
        <f>三因素分析!K28</f>
        <v>13.7908988967</v>
      </c>
      <c r="E14" s="377">
        <f>三因素分析!O28</f>
        <v>1.4878630048631058E-2</v>
      </c>
      <c r="F14" s="983">
        <f>三因素分析!B28</f>
        <v>1767.3922590117866</v>
      </c>
      <c r="G14" s="357">
        <f t="shared" si="5"/>
        <v>0.35135667716804325</v>
      </c>
      <c r="H14" s="356">
        <f>三因素分析!D28</f>
        <v>15.548329911900002</v>
      </c>
      <c r="I14" s="377">
        <f>三因素分析!G28</f>
        <v>1.769133050834196E-2</v>
      </c>
      <c r="J14" s="802">
        <f>三因素分析!Y28</f>
        <v>3.3528308638246029</v>
      </c>
      <c r="K14" s="356">
        <f>三因素分析!AB28</f>
        <v>-2.9154552656097259</v>
      </c>
      <c r="L14" s="356">
        <f>三因素分析!AH28</f>
        <v>-3.8945199621255862</v>
      </c>
      <c r="M14" s="807">
        <f t="shared" si="2"/>
        <v>-3.4571443639107091</v>
      </c>
      <c r="O14" s="361"/>
    </row>
    <row r="15" spans="1:15" s="345" customFormat="1">
      <c r="A15" s="359" t="s">
        <v>2653</v>
      </c>
      <c r="B15" s="355">
        <f>三因素分析!I31</f>
        <v>429.01953419889503</v>
      </c>
      <c r="C15" s="358">
        <f>三因素分析!J31</f>
        <v>7.6732290200686698E-2</v>
      </c>
      <c r="D15" s="355">
        <f>三因素分析!K31</f>
        <v>6.9236031059000007</v>
      </c>
      <c r="E15" s="378">
        <f>三因素分析!O31</f>
        <v>3.2543884255655277E-2</v>
      </c>
      <c r="F15" s="792">
        <f>三因素分析!B31</f>
        <v>310.23741829670331</v>
      </c>
      <c r="G15" s="358">
        <f>三因素分析!C31</f>
        <v>6.1675040088084394E-2</v>
      </c>
      <c r="H15" s="355">
        <f>三因素分析!D31</f>
        <v>5.7904835671999999</v>
      </c>
      <c r="I15" s="378">
        <f>三因素分析!G31</f>
        <v>3.7534475647341303E-2</v>
      </c>
      <c r="J15" s="804">
        <f>三因素分析!Y31</f>
        <v>1.2486557804332632</v>
      </c>
      <c r="K15" s="355">
        <f>三因素分析!AB31</f>
        <v>3.2097686562372241</v>
      </c>
      <c r="L15" s="355">
        <f>三因素分析!AH31</f>
        <v>-2.1410611942381546</v>
      </c>
      <c r="M15" s="807">
        <f t="shared" si="2"/>
        <v>2.3173632424323327</v>
      </c>
      <c r="N15" s="806"/>
      <c r="O15" s="361"/>
    </row>
    <row r="16" spans="1:15">
      <c r="A16" s="360" t="s">
        <v>141</v>
      </c>
      <c r="B16" s="356">
        <f>三因素分析!I34</f>
        <v>75.758339100238601</v>
      </c>
      <c r="C16" s="357">
        <f t="shared" si="4"/>
        <v>1.3549757989030306E-2</v>
      </c>
      <c r="D16" s="356">
        <f>三因素分析!K34</f>
        <v>2.3019451490000002</v>
      </c>
      <c r="E16" s="377">
        <f>三因素分析!O34</f>
        <v>6.127436451395725E-2</v>
      </c>
      <c r="F16" s="983">
        <f>三因素分析!B34</f>
        <v>75.944115137841905</v>
      </c>
      <c r="G16" s="357">
        <f t="shared" si="5"/>
        <v>1.5097651248183653E-2</v>
      </c>
      <c r="H16" s="356">
        <f>三因素分析!D34</f>
        <v>2.3291251438999998</v>
      </c>
      <c r="I16" s="377">
        <f>三因素分析!G34</f>
        <v>6.1674891610755019E-2</v>
      </c>
      <c r="J16" s="802">
        <f>三因素分析!Y34</f>
        <v>0.50225089848402649</v>
      </c>
      <c r="K16" s="356">
        <f>三因素分析!AB34</f>
        <v>-0.51370861546708579</v>
      </c>
      <c r="L16" s="356">
        <f>三因素分析!AH34</f>
        <v>-3.034326761803947E-2</v>
      </c>
      <c r="M16" s="807">
        <f t="shared" si="2"/>
        <v>-4.1800984601098781E-2</v>
      </c>
      <c r="O16" s="361"/>
    </row>
    <row r="17" spans="1:15" s="763" customFormat="1">
      <c r="A17" s="798" t="s">
        <v>4425</v>
      </c>
      <c r="B17" s="799"/>
      <c r="C17" s="800"/>
      <c r="D17" s="799">
        <f>D3-D10</f>
        <v>51.433279801300003</v>
      </c>
      <c r="E17" s="801"/>
      <c r="F17" s="997"/>
      <c r="G17" s="800"/>
      <c r="H17" s="799">
        <f>H3-H10</f>
        <v>54.309177573500008</v>
      </c>
      <c r="I17" s="801"/>
      <c r="J17" s="799"/>
      <c r="K17" s="799"/>
      <c r="L17" s="799"/>
      <c r="M17" s="807">
        <f>M3-M10</f>
        <v>-5.4961143929853034</v>
      </c>
      <c r="N17" s="810">
        <f>D17*365/181-H17*366/182-M17</f>
        <v>-1.5987211554602254E-14</v>
      </c>
      <c r="O17" s="361"/>
    </row>
    <row r="18" spans="1:15" s="310" customFormat="1">
      <c r="A18" s="793" t="s">
        <v>4423</v>
      </c>
      <c r="B18" s="794"/>
      <c r="C18" s="795"/>
      <c r="D18" s="794"/>
      <c r="E18" s="796">
        <f>E3-E10</f>
        <v>1.56752384829612E-2</v>
      </c>
      <c r="F18" s="984"/>
      <c r="G18" s="795"/>
      <c r="H18" s="794"/>
      <c r="I18" s="796">
        <f>I3-I10</f>
        <v>1.8461665283818918E-2</v>
      </c>
      <c r="J18" s="797"/>
      <c r="K18" s="794"/>
      <c r="L18" s="794"/>
      <c r="M18" s="811"/>
      <c r="N18" s="809"/>
      <c r="O18" s="790"/>
    </row>
    <row r="19" spans="1:15" s="310" customFormat="1">
      <c r="A19" s="793" t="s">
        <v>4424</v>
      </c>
      <c r="B19" s="794"/>
      <c r="C19" s="795"/>
      <c r="D19" s="794"/>
      <c r="E19" s="957">
        <f>(D3-D10)/'2017.06.30ftp'!H1*365/B3</f>
        <v>1.730491305633396E-2</v>
      </c>
      <c r="F19" s="984"/>
      <c r="G19" s="795"/>
      <c r="H19" s="794"/>
      <c r="I19" s="796">
        <f>(H3-H10)/'2016.06.30ftp'!H1*366/F3</f>
        <v>2.017585110188019E-2</v>
      </c>
      <c r="J19" s="797"/>
      <c r="K19" s="794"/>
      <c r="L19" s="794"/>
      <c r="M19" s="811"/>
      <c r="N19" s="809"/>
      <c r="O19" s="790"/>
    </row>
    <row r="20" spans="1:15" s="124" customFormat="1">
      <c r="B20" s="152">
        <f>B3-B4-B6-B8-B5-B9-B7</f>
        <v>0</v>
      </c>
      <c r="D20" s="152">
        <f>D3-D4-D6-D8-D5-D9-D7</f>
        <v>0</v>
      </c>
      <c r="F20" s="998">
        <f>F3-F4-F6-F8-F5-F9-F7</f>
        <v>0</v>
      </c>
      <c r="H20" s="152">
        <f>H3-H4-H6-H8-H5-H9-H7</f>
        <v>0</v>
      </c>
      <c r="K20" s="152">
        <f>K3-K4-K6-K8-K5-K9-K7</f>
        <v>0</v>
      </c>
      <c r="L20" s="152">
        <f>L3-L4-L6-L8-L5-L9-L7</f>
        <v>0</v>
      </c>
      <c r="M20" s="806"/>
      <c r="N20" s="806"/>
    </row>
    <row r="21" spans="1:15" s="124" customFormat="1">
      <c r="B21" s="764">
        <f>B10-B11-B12-B16</f>
        <v>8.8107299234252423E-13</v>
      </c>
      <c r="D21" s="764">
        <f>D10-D11-D12-D16</f>
        <v>0</v>
      </c>
      <c r="F21" s="999">
        <f>F10-F11-F12-F16</f>
        <v>4.4053649617126212E-13</v>
      </c>
      <c r="H21" s="764">
        <f>H10-H11-H12-H16</f>
        <v>0</v>
      </c>
      <c r="K21" s="764">
        <f>K10-K11-K12-K16</f>
        <v>0</v>
      </c>
      <c r="L21" s="764">
        <f>L10-L11-L12-L16</f>
        <v>-4.891920202254596E-16</v>
      </c>
      <c r="M21" s="806"/>
      <c r="N21" s="806"/>
    </row>
    <row r="22" spans="1:15" s="124" customFormat="1">
      <c r="B22" s="764">
        <f>B12-B13-B14-B15</f>
        <v>0</v>
      </c>
      <c r="C22" s="764">
        <f>C12-C13-C14-C15</f>
        <v>0</v>
      </c>
      <c r="D22" s="764">
        <f>D12-D13-D14-D15</f>
        <v>0</v>
      </c>
      <c r="F22" s="999">
        <f>F12-F13-F14-F15</f>
        <v>0</v>
      </c>
      <c r="H22" s="764">
        <f>H12-H13-H14-H15</f>
        <v>0</v>
      </c>
      <c r="K22" s="764">
        <f>K12-K13-K14-K15</f>
        <v>0</v>
      </c>
      <c r="L22" s="764">
        <f>L12-L13-L14-L15</f>
        <v>0</v>
      </c>
      <c r="M22" s="806"/>
      <c r="N22" s="806"/>
    </row>
    <row r="23" spans="1:15">
      <c r="G23" s="791"/>
    </row>
    <row r="24" spans="1:15" ht="17.25" thickBot="1">
      <c r="A24" s="893" t="s">
        <v>215</v>
      </c>
      <c r="B24" s="890">
        <v>42916</v>
      </c>
      <c r="C24" s="891"/>
      <c r="D24" s="891"/>
      <c r="E24" s="892"/>
      <c r="F24" s="980">
        <v>42735</v>
      </c>
      <c r="G24" s="981"/>
      <c r="H24" s="981"/>
      <c r="I24" s="982"/>
      <c r="J24" s="894" t="s">
        <v>2563</v>
      </c>
      <c r="K24" s="891"/>
      <c r="L24" s="892"/>
    </row>
    <row r="25" spans="1:15" ht="18" thickTop="1" thickBot="1">
      <c r="A25" s="892"/>
      <c r="B25" s="685" t="s">
        <v>90</v>
      </c>
      <c r="C25" s="685" t="s">
        <v>2564</v>
      </c>
      <c r="D25" s="685" t="s">
        <v>2566</v>
      </c>
      <c r="E25" s="685" t="s">
        <v>17</v>
      </c>
      <c r="F25" s="996" t="s">
        <v>90</v>
      </c>
      <c r="G25" s="685" t="s">
        <v>2564</v>
      </c>
      <c r="H25" s="685" t="s">
        <v>2566</v>
      </c>
      <c r="I25" s="685" t="s">
        <v>17</v>
      </c>
      <c r="J25" s="685" t="s">
        <v>5</v>
      </c>
      <c r="K25" s="685" t="s">
        <v>20</v>
      </c>
      <c r="L25" s="685" t="s">
        <v>22</v>
      </c>
    </row>
    <row r="26" spans="1:15" s="310" customFormat="1" ht="17.25" thickTop="1">
      <c r="A26" s="786" t="s">
        <v>89</v>
      </c>
      <c r="B26" s="787">
        <v>5993.6183767887069</v>
      </c>
      <c r="C26" s="788">
        <v>1</v>
      </c>
      <c r="D26" s="787">
        <v>118.71727195060001</v>
      </c>
      <c r="E26" s="789">
        <v>3.9942855624353187E-2</v>
      </c>
      <c r="F26" s="1000">
        <v>5507.5551241791236</v>
      </c>
      <c r="G26" s="989">
        <v>1</v>
      </c>
      <c r="H26" s="988">
        <v>226.42906443050001</v>
      </c>
      <c r="I26" s="990">
        <v>4.111244632603623E-2</v>
      </c>
      <c r="J26" s="787">
        <f>SUM(J27:J32)</f>
        <v>19.983249383970055</v>
      </c>
      <c r="K26" s="787">
        <f>SUM(K27:K32)</f>
        <v>-0.80594902796483991</v>
      </c>
      <c r="L26" s="787">
        <f>SUM(L27:L32)</f>
        <v>-6.2041312949637906</v>
      </c>
      <c r="M26" s="809"/>
      <c r="N26" s="809"/>
    </row>
    <row r="27" spans="1:15">
      <c r="A27" s="359" t="s">
        <v>24</v>
      </c>
      <c r="B27" s="355">
        <v>658.88284908867092</v>
      </c>
      <c r="C27" s="358">
        <v>0.10993073093213698</v>
      </c>
      <c r="D27" s="355">
        <v>4.9541583614999993</v>
      </c>
      <c r="E27" s="378">
        <v>1.5162680071020215E-2</v>
      </c>
      <c r="F27" s="1001">
        <v>579.5875409047926</v>
      </c>
      <c r="G27" s="986">
        <v>0.10523499589868882</v>
      </c>
      <c r="H27" s="985">
        <v>8.9290470122999999</v>
      </c>
      <c r="I27" s="987">
        <v>1.5405864312336473E-2</v>
      </c>
      <c r="J27" s="355">
        <f t="shared" ref="J27:J32" si="6">($B$26/$F$26-1)*F27*I27</f>
        <v>0.78802327632613289</v>
      </c>
      <c r="K27" s="355">
        <f t="shared" ref="K27:K32" si="7">((B27-F27)-($B$26/$F$26-1)*F27)*I27</f>
        <v>0.43358948215960036</v>
      </c>
      <c r="L27" s="355">
        <f t="shared" ref="L27:L32" si="8">B27*(E27-I27)</f>
        <v>-0.16022992577192252</v>
      </c>
    </row>
    <row r="28" spans="1:15">
      <c r="A28" s="360" t="s">
        <v>165</v>
      </c>
      <c r="B28" s="356">
        <v>2368.219616483143</v>
      </c>
      <c r="C28" s="357">
        <v>0.39512352432288161</v>
      </c>
      <c r="D28" s="356">
        <v>60.351951442400001</v>
      </c>
      <c r="E28" s="377">
        <v>5.1390593433634529E-2</v>
      </c>
      <c r="F28" s="1001">
        <v>2207.672377498418</v>
      </c>
      <c r="G28" s="986">
        <v>0.40084435429549364</v>
      </c>
      <c r="H28" s="985">
        <v>117.24995133050001</v>
      </c>
      <c r="I28" s="987">
        <v>5.3110213510647611E-2</v>
      </c>
      <c r="J28" s="356">
        <f t="shared" si="6"/>
        <v>10.347766191538998</v>
      </c>
      <c r="K28" s="356">
        <f t="shared" si="7"/>
        <v>-1.8210680505152841</v>
      </c>
      <c r="L28" s="356">
        <f t="shared" si="8"/>
        <v>-4.0724379992806323</v>
      </c>
    </row>
    <row r="29" spans="1:15">
      <c r="A29" s="359" t="s">
        <v>134</v>
      </c>
      <c r="B29" s="355">
        <v>442.03997889264053</v>
      </c>
      <c r="C29" s="358">
        <v>7.3751772485968495E-2</v>
      </c>
      <c r="D29" s="355">
        <v>7.0585640293000003</v>
      </c>
      <c r="E29" s="378">
        <v>3.2200980708180192E-2</v>
      </c>
      <c r="F29" s="1001">
        <v>433.5611854409791</v>
      </c>
      <c r="G29" s="986">
        <v>7.8721170404190813E-2</v>
      </c>
      <c r="H29" s="985">
        <v>12.630165680999999</v>
      </c>
      <c r="I29" s="987">
        <v>2.9131218626394659E-2</v>
      </c>
      <c r="J29" s="355">
        <f t="shared" si="6"/>
        <v>1.1146614556708199</v>
      </c>
      <c r="K29" s="355">
        <f t="shared" si="7"/>
        <v>-0.86766386994242728</v>
      </c>
      <c r="L29" s="355">
        <f t="shared" si="8"/>
        <v>1.3569575658379054</v>
      </c>
      <c r="M29" s="806" t="s">
        <v>4440</v>
      </c>
    </row>
    <row r="30" spans="1:15">
      <c r="A30" s="359" t="s">
        <v>100</v>
      </c>
      <c r="B30" s="355">
        <v>1001.8445928175751</v>
      </c>
      <c r="C30" s="358">
        <v>0.16715188219146324</v>
      </c>
      <c r="D30" s="355">
        <v>20.4379061054</v>
      </c>
      <c r="E30" s="378">
        <v>4.113867792592469E-2</v>
      </c>
      <c r="F30" s="1001">
        <v>903.84360996692362</v>
      </c>
      <c r="G30" s="986">
        <v>0.16410977095787807</v>
      </c>
      <c r="H30" s="985">
        <v>32.716140423099993</v>
      </c>
      <c r="I30" s="987">
        <v>3.6196682769375613E-2</v>
      </c>
      <c r="J30" s="355">
        <f t="shared" si="6"/>
        <v>2.8873271839024892</v>
      </c>
      <c r="K30" s="355">
        <f t="shared" si="7"/>
        <v>0.6599833034295608</v>
      </c>
      <c r="L30" s="355">
        <f t="shared" si="8"/>
        <v>4.9511111253193381</v>
      </c>
    </row>
    <row r="31" spans="1:15">
      <c r="A31" s="360" t="s">
        <v>135</v>
      </c>
      <c r="B31" s="356">
        <v>1086.5358718850757</v>
      </c>
      <c r="C31" s="357">
        <v>0.18128212434960295</v>
      </c>
      <c r="D31" s="356">
        <v>18.232511329600001</v>
      </c>
      <c r="E31" s="377">
        <v>3.3838937057633592E-2</v>
      </c>
      <c r="F31" s="1001">
        <v>991.39446900006453</v>
      </c>
      <c r="G31" s="986">
        <v>0.18000627259229246</v>
      </c>
      <c r="H31" s="985">
        <v>34.533488313500001</v>
      </c>
      <c r="I31" s="987">
        <v>3.4833246899522247E-2</v>
      </c>
      <c r="J31" s="356">
        <f t="shared" si="6"/>
        <v>3.0477152339199911</v>
      </c>
      <c r="K31" s="356">
        <f t="shared" si="7"/>
        <v>0.26636874314052172</v>
      </c>
      <c r="L31" s="356">
        <f t="shared" si="8"/>
        <v>-1.0803533109804013</v>
      </c>
    </row>
    <row r="32" spans="1:15">
      <c r="A32" s="359" t="s">
        <v>136</v>
      </c>
      <c r="B32" s="355">
        <v>436.09546762160102</v>
      </c>
      <c r="C32" s="358">
        <v>7.2759965717946587E-2</v>
      </c>
      <c r="D32" s="355">
        <v>7.6821806823999985</v>
      </c>
      <c r="E32" s="378">
        <v>3.5523621492505028E-2</v>
      </c>
      <c r="F32" s="1001">
        <v>391.49594136794548</v>
      </c>
      <c r="G32" s="986">
        <v>7.108343585145617E-2</v>
      </c>
      <c r="H32" s="985">
        <v>20.370271670099999</v>
      </c>
      <c r="I32" s="987">
        <v>5.2031884670178746E-2</v>
      </c>
      <c r="J32" s="355">
        <f t="shared" si="6"/>
        <v>1.7977560426116259</v>
      </c>
      <c r="K32" s="355">
        <f t="shared" si="7"/>
        <v>0.52284136376318846</v>
      </c>
      <c r="L32" s="355">
        <f t="shared" si="8"/>
        <v>-7.1991787500880777</v>
      </c>
    </row>
    <row r="33" spans="1:15" s="310" customFormat="1">
      <c r="A33" s="786" t="s">
        <v>216</v>
      </c>
      <c r="B33" s="787">
        <v>5591.1211965240627</v>
      </c>
      <c r="C33" s="788">
        <v>1</v>
      </c>
      <c r="D33" s="787">
        <v>67.283992149300005</v>
      </c>
      <c r="E33" s="789">
        <v>2.4267617141391987E-2</v>
      </c>
      <c r="F33" s="1000">
        <v>5115.2054556392759</v>
      </c>
      <c r="G33" s="989">
        <v>1</v>
      </c>
      <c r="H33" s="988">
        <v>119.2007570402</v>
      </c>
      <c r="I33" s="990">
        <v>2.3303219797122073E-2</v>
      </c>
      <c r="J33" s="787">
        <f>SUM(J34,J35,J39)</f>
        <v>10.519932415405428</v>
      </c>
      <c r="K33" s="787">
        <f t="shared" ref="K33:L33" si="9">SUM(K34,K35,K39)</f>
        <v>2.1423973195100929</v>
      </c>
      <c r="L33" s="787">
        <f t="shared" si="9"/>
        <v>3.8201018132518723</v>
      </c>
      <c r="M33" s="809"/>
      <c r="N33" s="809"/>
    </row>
    <row r="34" spans="1:15">
      <c r="A34" s="359" t="s">
        <v>140</v>
      </c>
      <c r="B34" s="355">
        <v>1595.472637775428</v>
      </c>
      <c r="C34" s="358">
        <v>0.28535826387868596</v>
      </c>
      <c r="D34" s="355">
        <v>28.122507041800002</v>
      </c>
      <c r="E34" s="378">
        <v>3.5545036399945912E-2</v>
      </c>
      <c r="F34" s="1001">
        <v>1389.875009558393</v>
      </c>
      <c r="G34" s="986">
        <v>0.27171440553304083</v>
      </c>
      <c r="H34" s="985">
        <v>40.055835070000001</v>
      </c>
      <c r="I34" s="987">
        <v>2.8819739037344805E-2</v>
      </c>
      <c r="J34" s="355">
        <f>($B$26/$F$26-1)*F34*I34</f>
        <v>3.5350839058590555</v>
      </c>
      <c r="K34" s="355">
        <f>((B34-F34)-($B$26/$F$26-1)*F34)*I34</f>
        <v>2.3901860860529309</v>
      </c>
      <c r="L34" s="355">
        <f>B34*(E34-I34)</f>
        <v>10.730027922933317</v>
      </c>
    </row>
    <row r="35" spans="1:15">
      <c r="A35" s="360" t="s">
        <v>39</v>
      </c>
      <c r="B35" s="356">
        <v>3919.8902196483955</v>
      </c>
      <c r="C35" s="357">
        <v>0.70109197813228363</v>
      </c>
      <c r="D35" s="356">
        <v>36.859539958500001</v>
      </c>
      <c r="E35" s="377">
        <v>1.8962268674246014E-2</v>
      </c>
      <c r="F35" s="1001">
        <v>3649.3843638645649</v>
      </c>
      <c r="G35" s="986">
        <v>0.7134384719271224</v>
      </c>
      <c r="H35" s="985">
        <v>74.389234986000005</v>
      </c>
      <c r="I35" s="987">
        <v>2.0384050450422964E-2</v>
      </c>
      <c r="J35" s="356">
        <f>J36+J37+J38</f>
        <v>6.5651405571402064</v>
      </c>
      <c r="K35" s="356">
        <f>K36+K37+K38</f>
        <v>0.18367551966563811</v>
      </c>
      <c r="L35" s="356">
        <f>L36+L37+L38</f>
        <v>-6.808039544283754</v>
      </c>
    </row>
    <row r="36" spans="1:15">
      <c r="A36" s="359" t="s">
        <v>2561</v>
      </c>
      <c r="B36" s="355">
        <v>1621.7217021591546</v>
      </c>
      <c r="C36" s="358">
        <v>0.29005304037540103</v>
      </c>
      <c r="D36" s="355">
        <v>16.145037955899998</v>
      </c>
      <c r="E36" s="378">
        <v>2.0075992806064698E-2</v>
      </c>
      <c r="F36" s="1001">
        <v>1538.7333463213163</v>
      </c>
      <c r="G36" s="986">
        <v>0.30081555074682959</v>
      </c>
      <c r="H36" s="985">
        <v>33.287261159300002</v>
      </c>
      <c r="I36" s="987">
        <v>2.1632897758978573E-2</v>
      </c>
      <c r="J36" s="355">
        <f>($B$26/$F$26-1)*F36*I36</f>
        <v>2.9377308197102252</v>
      </c>
      <c r="K36" s="355">
        <f>((B36-F36)-($B$26/$F$26-1)*F36)*I36</f>
        <v>-1.142452202684537</v>
      </c>
      <c r="L36" s="355">
        <f>B36*(E36-I36)</f>
        <v>-2.5248665503395062</v>
      </c>
    </row>
    <row r="37" spans="1:15">
      <c r="A37" s="360" t="s">
        <v>2562</v>
      </c>
      <c r="B37" s="356">
        <v>1869.1489832903458</v>
      </c>
      <c r="C37" s="357">
        <v>0.33430664755619582</v>
      </c>
      <c r="D37" s="356">
        <v>13.7908988967</v>
      </c>
      <c r="E37" s="377">
        <v>1.4878630048631058E-2</v>
      </c>
      <c r="F37" s="1001">
        <v>1782.2929926127908</v>
      </c>
      <c r="G37" s="986">
        <v>0.34843038233154366</v>
      </c>
      <c r="H37" s="985">
        <v>29.6581737749</v>
      </c>
      <c r="I37" s="987">
        <v>1.6640459171318383E-2</v>
      </c>
      <c r="J37" s="356">
        <f>($B$26/$F$26-1)*F37*I37</f>
        <v>2.6174496825643163</v>
      </c>
      <c r="K37" s="356">
        <f>((B37-F37)-($B$26/$F$26-1)*F37)*I37</f>
        <v>-1.1721261159100533</v>
      </c>
      <c r="L37" s="356">
        <f>B37*(E37-I37)</f>
        <v>-3.2931211134023353</v>
      </c>
    </row>
    <row r="38" spans="1:15">
      <c r="A38" s="359" t="s">
        <v>2653</v>
      </c>
      <c r="B38" s="355">
        <v>429.01953419889503</v>
      </c>
      <c r="C38" s="358">
        <v>7.6732290200686698E-2</v>
      </c>
      <c r="D38" s="355">
        <v>6.9236031059000007</v>
      </c>
      <c r="E38" s="378">
        <v>3.2543884255655277E-2</v>
      </c>
      <c r="F38" s="1001">
        <v>328.35802493045765</v>
      </c>
      <c r="G38" s="986">
        <v>6.419253884874912E-2</v>
      </c>
      <c r="H38" s="985">
        <v>11.4438000518</v>
      </c>
      <c r="I38" s="987">
        <v>3.4851592417220995E-2</v>
      </c>
      <c r="J38" s="355">
        <f>($B$26/$F$26-1)*F38*I38</f>
        <v>1.0099600548656644</v>
      </c>
      <c r="K38" s="355">
        <f>((B38-F38)-($B$26/$F$26-1)*F38)*I38</f>
        <v>2.4982538382602284</v>
      </c>
      <c r="L38" s="355">
        <f>B38*(E38-I38)</f>
        <v>-0.99005188054191262</v>
      </c>
    </row>
    <row r="39" spans="1:15">
      <c r="A39" s="360" t="s">
        <v>141</v>
      </c>
      <c r="B39" s="356">
        <v>75.758339100238601</v>
      </c>
      <c r="C39" s="357">
        <v>1.3549757989030306E-2</v>
      </c>
      <c r="D39" s="356">
        <v>2.3019451490000002</v>
      </c>
      <c r="E39" s="377">
        <v>6.127436451395725E-2</v>
      </c>
      <c r="F39" s="1001">
        <v>75.94608221631816</v>
      </c>
      <c r="G39" s="986">
        <v>1.484712253983682E-2</v>
      </c>
      <c r="H39" s="985">
        <v>4.7556869842000005</v>
      </c>
      <c r="I39" s="987">
        <v>6.2619253625938454E-2</v>
      </c>
      <c r="J39" s="356">
        <f>($B$26/$F$26-1)*F39*I39</f>
        <v>0.41970795240616637</v>
      </c>
      <c r="K39" s="356">
        <f>((B39-F39)-($B$26/$F$26-1)*F39)*I39</f>
        <v>-0.43146428620847632</v>
      </c>
      <c r="L39" s="356">
        <f>B39*(E39-I39)</f>
        <v>-0.10188656539769081</v>
      </c>
    </row>
    <row r="40" spans="1:15" s="310" customFormat="1">
      <c r="A40" s="793" t="s">
        <v>4423</v>
      </c>
      <c r="B40" s="794"/>
      <c r="C40" s="795"/>
      <c r="D40" s="794"/>
      <c r="E40" s="796">
        <f>E18</f>
        <v>1.56752384829612E-2</v>
      </c>
      <c r="F40" s="984"/>
      <c r="G40" s="795"/>
      <c r="H40" s="794"/>
      <c r="I40" s="796">
        <f>I26-I33</f>
        <v>1.7809226528914156E-2</v>
      </c>
      <c r="J40" s="797"/>
      <c r="K40" s="794"/>
      <c r="L40" s="794"/>
      <c r="M40" s="811"/>
      <c r="N40" s="809"/>
      <c r="O40" s="790"/>
    </row>
    <row r="41" spans="1:15" s="310" customFormat="1">
      <c r="A41" s="793" t="s">
        <v>4424</v>
      </c>
      <c r="B41" s="794"/>
      <c r="C41" s="795"/>
      <c r="D41" s="794"/>
      <c r="E41" s="796">
        <f>E19</f>
        <v>1.730491305633396E-2</v>
      </c>
      <c r="F41" s="984"/>
      <c r="G41" s="795"/>
      <c r="H41" s="794"/>
      <c r="I41" s="796">
        <f>(H26-H33)/F26</f>
        <v>1.9469311695047609E-2</v>
      </c>
      <c r="J41" s="797"/>
      <c r="K41" s="794"/>
      <c r="L41" s="794"/>
      <c r="M41" s="811"/>
      <c r="N41" s="809"/>
      <c r="O41" s="790"/>
    </row>
    <row r="42" spans="1:15">
      <c r="B42" s="152">
        <f>B26-B27-B29-B31-B28-B32-B30</f>
        <v>0</v>
      </c>
      <c r="C42" s="124"/>
      <c r="D42" s="152">
        <f>D26-D27-D29-D31-D28-D32-D30</f>
        <v>0</v>
      </c>
      <c r="E42" s="124"/>
      <c r="F42" s="998">
        <f>F26-F27-F29-F31-F28-F32-F30</f>
        <v>0</v>
      </c>
      <c r="G42" s="124"/>
      <c r="H42" s="152">
        <f>H26-H27-H29-H31-H28-H32-H30</f>
        <v>0</v>
      </c>
      <c r="I42" s="124"/>
      <c r="J42" s="124"/>
      <c r="K42" s="152">
        <f>K26-K27-K29-K31-K28-K32-K30</f>
        <v>0</v>
      </c>
      <c r="L42" s="152">
        <f>L26-L27-L29-L31-L28-L32-L30</f>
        <v>0</v>
      </c>
    </row>
    <row r="43" spans="1:15">
      <c r="B43" s="764">
        <f>B33-B34-B35-B39</f>
        <v>8.8107299234252423E-13</v>
      </c>
      <c r="C43" s="124"/>
      <c r="D43" s="764">
        <f>D33-D34-D35-D39</f>
        <v>0</v>
      </c>
      <c r="E43" s="124"/>
      <c r="F43" s="999">
        <f>F33-F34-F35-F39</f>
        <v>0</v>
      </c>
      <c r="G43" s="124"/>
      <c r="H43" s="764">
        <f>H33-H34-H35-H39</f>
        <v>0</v>
      </c>
      <c r="I43" s="124"/>
      <c r="J43" s="124"/>
      <c r="K43" s="764">
        <f>K33-K34-K35-K39</f>
        <v>0</v>
      </c>
      <c r="L43" s="764">
        <f>L33-L34-L35-L39</f>
        <v>0</v>
      </c>
    </row>
    <row r="44" spans="1:15">
      <c r="B44" s="764">
        <f>B35-B36-B37-B38</f>
        <v>0</v>
      </c>
      <c r="C44" s="764">
        <f>C35-C36-C37-C38</f>
        <v>0</v>
      </c>
      <c r="D44" s="764">
        <f>D35-D36-D37-D38</f>
        <v>0</v>
      </c>
      <c r="E44" s="124"/>
      <c r="F44" s="999">
        <f>F35-F36-F37-F38</f>
        <v>0</v>
      </c>
      <c r="G44" s="124"/>
      <c r="H44" s="764">
        <f>H35-H36-H37-H38</f>
        <v>0</v>
      </c>
      <c r="I44" s="124"/>
      <c r="J44" s="124"/>
      <c r="K44" s="764">
        <f>K35-K36-K37-K38</f>
        <v>0</v>
      </c>
      <c r="L44" s="764">
        <f>L35-L36-L37-L38</f>
        <v>0</v>
      </c>
    </row>
  </sheetData>
  <mergeCells count="8">
    <mergeCell ref="B1:E1"/>
    <mergeCell ref="F1:I1"/>
    <mergeCell ref="A1:A2"/>
    <mergeCell ref="J1:L1"/>
    <mergeCell ref="A24:A25"/>
    <mergeCell ref="B24:E24"/>
    <mergeCell ref="F24:I24"/>
    <mergeCell ref="J24:L2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2"/>
  <sheetViews>
    <sheetView workbookViewId="0">
      <pane xSplit="1" ySplit="3" topLeftCell="D34" activePane="bottomRight" state="frozenSplit"/>
      <selection activeCell="AB3" sqref="AB3"/>
      <selection pane="topRight" activeCell="AB3" sqref="AB3"/>
      <selection pane="bottomLeft" activeCell="AB3" sqref="AB3"/>
      <selection pane="bottomRight" activeCell="E25" sqref="E25"/>
    </sheetView>
  </sheetViews>
  <sheetFormatPr defaultColWidth="9" defaultRowHeight="21"/>
  <cols>
    <col min="1" max="1" width="31" style="56" customWidth="1"/>
    <col min="2" max="2" width="10.75" style="7" customWidth="1"/>
    <col min="3" max="3" width="7.5" style="8" customWidth="1"/>
    <col min="4" max="4" width="7.625" style="9" customWidth="1"/>
    <col min="5" max="5" width="7.625" style="8" customWidth="1"/>
    <col min="6" max="7" width="7.625" style="10" customWidth="1"/>
    <col min="8" max="8" width="1.625" style="15" customWidth="1"/>
    <col min="9" max="9" width="8.625" style="7" bestFit="1" customWidth="1"/>
    <col min="10" max="10" width="7.625" style="8" customWidth="1"/>
    <col min="11" max="11" width="7.625" style="9" customWidth="1"/>
    <col min="12" max="12" width="7.625" style="8" customWidth="1"/>
    <col min="13" max="13" width="10.125" style="8" customWidth="1"/>
    <col min="14" max="14" width="9" style="10" customWidth="1"/>
    <col min="15" max="15" width="7.625" style="10" customWidth="1"/>
    <col min="16" max="16" width="1.625" style="15" customWidth="1"/>
    <col min="17" max="17" width="7.625" style="12" customWidth="1"/>
    <col min="18" max="18" width="7.625" style="8" customWidth="1"/>
    <col min="19" max="19" width="8.625" style="8" bestFit="1" customWidth="1"/>
    <col min="20" max="20" width="1.625" style="16" customWidth="1"/>
    <col min="21" max="21" width="7.625" style="9" customWidth="1"/>
    <col min="22" max="22" width="8.5" style="8" customWidth="1"/>
    <col min="23" max="23" width="10.375" style="8" bestFit="1" customWidth="1"/>
    <col min="24" max="24" width="1.625" style="9" customWidth="1"/>
    <col min="25" max="25" width="7.625" style="951" customWidth="1"/>
    <col min="26" max="26" width="11.375" style="8" bestFit="1" customWidth="1"/>
    <col min="27" max="27" width="1.625" style="9" customWidth="1"/>
    <col min="28" max="28" width="7.625" style="951" customWidth="1"/>
    <col min="29" max="29" width="10.375" style="8" bestFit="1" customWidth="1"/>
    <col min="30" max="30" width="10.75" style="8" customWidth="1"/>
    <col min="31" max="31" width="1.625" style="9" customWidth="1"/>
    <col min="32" max="33" width="7.625" style="9" customWidth="1"/>
    <col min="34" max="34" width="7.625" style="951" customWidth="1"/>
    <col min="35" max="35" width="10.375" style="8" bestFit="1" customWidth="1"/>
    <col min="36" max="36" width="11.125" style="8" customWidth="1"/>
    <col min="37" max="37" width="9" style="57"/>
    <col min="38" max="38" width="7.625" style="58" customWidth="1"/>
    <col min="39" max="39" width="2.375" style="57" customWidth="1"/>
    <col min="40" max="40" width="10.75" style="61" bestFit="1" customWidth="1"/>
    <col min="41" max="42" width="9" style="61"/>
    <col min="43" max="43" width="12.375" style="61" bestFit="1" customWidth="1"/>
    <col min="44" max="16384" width="9" style="61"/>
  </cols>
  <sheetData>
    <row r="1" spans="1:44">
      <c r="A1" s="895" t="s">
        <v>0</v>
      </c>
      <c r="B1" s="898" t="s">
        <v>1</v>
      </c>
      <c r="C1" s="898"/>
      <c r="D1" s="898"/>
      <c r="E1" s="898"/>
      <c r="F1" s="898"/>
      <c r="G1" s="898"/>
      <c r="H1" s="898"/>
      <c r="I1" s="898"/>
      <c r="J1" s="898"/>
      <c r="K1" s="898"/>
      <c r="L1" s="898"/>
      <c r="M1" s="898"/>
      <c r="N1" s="898"/>
      <c r="O1" s="898"/>
      <c r="P1" s="1"/>
      <c r="Q1" s="899" t="s">
        <v>2</v>
      </c>
      <c r="R1" s="899"/>
      <c r="S1" s="899"/>
      <c r="T1" s="899"/>
      <c r="U1" s="899"/>
      <c r="V1" s="899"/>
      <c r="W1" s="899"/>
      <c r="X1" s="2"/>
      <c r="Y1" s="900" t="s">
        <v>3</v>
      </c>
      <c r="Z1" s="900"/>
      <c r="AA1" s="900"/>
      <c r="AB1" s="900"/>
      <c r="AC1" s="900"/>
      <c r="AD1" s="900"/>
      <c r="AE1" s="900"/>
      <c r="AF1" s="900"/>
      <c r="AG1" s="900"/>
      <c r="AH1" s="900"/>
      <c r="AI1" s="900"/>
      <c r="AJ1" s="119"/>
      <c r="AK1" s="3"/>
      <c r="AL1" s="901" t="s">
        <v>4</v>
      </c>
      <c r="AM1" s="3"/>
    </row>
    <row r="2" spans="1:44">
      <c r="A2" s="896"/>
      <c r="B2" s="902">
        <v>42551</v>
      </c>
      <c r="C2" s="902"/>
      <c r="D2" s="902"/>
      <c r="E2" s="902"/>
      <c r="F2" s="902"/>
      <c r="G2" s="902"/>
      <c r="H2" s="4"/>
      <c r="I2" s="902">
        <v>42916</v>
      </c>
      <c r="J2" s="902"/>
      <c r="K2" s="902"/>
      <c r="L2" s="902"/>
      <c r="M2" s="902"/>
      <c r="N2" s="902"/>
      <c r="O2" s="902"/>
      <c r="P2" s="4"/>
      <c r="Q2" s="903" t="s">
        <v>5</v>
      </c>
      <c r="R2" s="903"/>
      <c r="S2" s="903"/>
      <c r="T2" s="5"/>
      <c r="U2" s="903" t="s">
        <v>119</v>
      </c>
      <c r="V2" s="903"/>
      <c r="W2" s="903"/>
      <c r="X2" s="4"/>
      <c r="Y2" s="903" t="s">
        <v>7</v>
      </c>
      <c r="Z2" s="903"/>
      <c r="AA2" s="4"/>
      <c r="AB2" s="903" t="s">
        <v>8</v>
      </c>
      <c r="AC2" s="903"/>
      <c r="AD2" s="177"/>
      <c r="AE2" s="4"/>
      <c r="AF2" s="903" t="s">
        <v>9</v>
      </c>
      <c r="AG2" s="903"/>
      <c r="AH2" s="903"/>
      <c r="AI2" s="903"/>
      <c r="AJ2" s="177"/>
      <c r="AK2" s="6"/>
      <c r="AL2" s="901"/>
      <c r="AM2" s="6"/>
      <c r="AN2" s="61" t="s">
        <v>123</v>
      </c>
    </row>
    <row r="3" spans="1:44" ht="35.25" thickBot="1">
      <c r="A3" s="897"/>
      <c r="B3" s="7" t="s">
        <v>90</v>
      </c>
      <c r="C3" s="8" t="s">
        <v>14</v>
      </c>
      <c r="D3" s="9" t="s">
        <v>15</v>
      </c>
      <c r="E3" s="8" t="s">
        <v>14</v>
      </c>
      <c r="F3" s="10" t="s">
        <v>16</v>
      </c>
      <c r="G3" s="10" t="s">
        <v>17</v>
      </c>
      <c r="H3" s="11"/>
      <c r="I3" s="7" t="s">
        <v>90</v>
      </c>
      <c r="J3" s="8" t="s">
        <v>14</v>
      </c>
      <c r="K3" s="9" t="s">
        <v>15</v>
      </c>
      <c r="L3" s="8" t="s">
        <v>14</v>
      </c>
      <c r="M3" s="8" t="s">
        <v>120</v>
      </c>
      <c r="N3" s="10" t="s">
        <v>16</v>
      </c>
      <c r="O3" s="10" t="s">
        <v>17</v>
      </c>
      <c r="P3" s="11"/>
      <c r="Q3" s="12" t="s">
        <v>18</v>
      </c>
      <c r="R3" s="8" t="s">
        <v>19</v>
      </c>
      <c r="S3" s="8" t="s">
        <v>10</v>
      </c>
      <c r="T3" s="13"/>
      <c r="U3" s="9" t="s">
        <v>18</v>
      </c>
      <c r="V3" s="8" t="s">
        <v>19</v>
      </c>
      <c r="W3" s="8" t="s">
        <v>11</v>
      </c>
      <c r="X3" s="11"/>
      <c r="Y3" s="951" t="s">
        <v>77</v>
      </c>
      <c r="Z3" s="8" t="s">
        <v>12</v>
      </c>
      <c r="AA3" s="11"/>
      <c r="AB3" s="951" t="s">
        <v>20</v>
      </c>
      <c r="AC3" s="8" t="s">
        <v>12</v>
      </c>
      <c r="AD3" s="8" t="s">
        <v>122</v>
      </c>
      <c r="AE3" s="11"/>
      <c r="AF3" s="9" t="s">
        <v>16</v>
      </c>
      <c r="AG3" s="9" t="s">
        <v>21</v>
      </c>
      <c r="AH3" s="951" t="s">
        <v>22</v>
      </c>
      <c r="AI3" s="8" t="s">
        <v>12</v>
      </c>
      <c r="AJ3" s="8" t="s">
        <v>122</v>
      </c>
      <c r="AK3" s="14"/>
      <c r="AL3" s="901"/>
      <c r="AM3" s="14"/>
      <c r="AN3" s="61" t="s">
        <v>124</v>
      </c>
      <c r="AO3" s="61" t="s">
        <v>125</v>
      </c>
      <c r="AP3" s="61" t="s">
        <v>178</v>
      </c>
    </row>
    <row r="4" spans="1:44">
      <c r="A4" s="85" t="s">
        <v>89</v>
      </c>
      <c r="B4" s="88">
        <f>SUM(B5:B6,B12)</f>
        <v>5413.1624358578647</v>
      </c>
      <c r="C4" s="89">
        <f>B4/B$4</f>
        <v>1</v>
      </c>
      <c r="D4" s="379">
        <f>SUM(D5:D6,D12)</f>
        <v>114.91593472880001</v>
      </c>
      <c r="E4" s="87">
        <f>D4/D$4</f>
        <v>1</v>
      </c>
      <c r="F4" s="260">
        <f>(SUMPRODUCT($B5:$B6,F5:F6)+SUMPRODUCT($B12,F12))/$B4</f>
        <v>4.2691252048216798E-2</v>
      </c>
      <c r="G4" s="260">
        <f>D4/B4*366/182</f>
        <v>4.2691252048216791E-2</v>
      </c>
      <c r="H4" s="83"/>
      <c r="I4" s="950">
        <f>SUM(I5:I6,I12)</f>
        <v>5993.6183767887069</v>
      </c>
      <c r="J4" s="89">
        <f>I4/I$4</f>
        <v>1</v>
      </c>
      <c r="K4" s="644">
        <f>SUM(K5:K6,K12)</f>
        <v>118.71727195060001</v>
      </c>
      <c r="L4" s="87">
        <f>K4/K$4</f>
        <v>1</v>
      </c>
      <c r="M4" s="88">
        <f>SUM(M5:M6,M12)</f>
        <v>239.40223349154144</v>
      </c>
      <c r="N4" s="260">
        <f>(SUMPRODUCT($I5:$I6,N5:N6)+SUMPRODUCT($I12,N12))/$I4</f>
        <v>3.9942855624353187E-2</v>
      </c>
      <c r="O4" s="260">
        <f>M4/I4</f>
        <v>3.9942855624353187E-2</v>
      </c>
      <c r="P4" s="83"/>
      <c r="Q4" s="949">
        <f>I4-B4</f>
        <v>580.45594093084219</v>
      </c>
      <c r="R4" s="89">
        <f>Q4/B4</f>
        <v>0.10723046792126292</v>
      </c>
      <c r="S4" s="87">
        <f>Q4/Q$4</f>
        <v>1</v>
      </c>
      <c r="T4" s="84"/>
      <c r="U4" s="949">
        <f>M4-D4/'2016.06.30'!$D$1*'2016.06.30'!$E$1</f>
        <v>8.3075515643941458</v>
      </c>
      <c r="V4" s="89">
        <f>U4/D4</f>
        <v>7.2292424753798074E-2</v>
      </c>
      <c r="W4" s="87">
        <f t="shared" ref="W4:W13" si="0">U4/U$4</f>
        <v>1</v>
      </c>
      <c r="X4" s="31"/>
      <c r="Y4" s="952">
        <f>SUM(Y5:Y6,Y12)</f>
        <v>24.780390877163445</v>
      </c>
      <c r="Z4" s="87">
        <f>Y4/$U$4</f>
        <v>2.9828753616614634</v>
      </c>
      <c r="AA4" s="31"/>
      <c r="AB4" s="952">
        <f>SUM(AB5:AB6,AB12)</f>
        <v>-2.0169872522104404</v>
      </c>
      <c r="AC4" s="87">
        <f>AB4/$U$4</f>
        <v>-0.24278961575817021</v>
      </c>
      <c r="AD4" s="178">
        <f t="shared" ref="AD4:AD9" si="1">AB4/$I$4*10000</f>
        <v>-3.365224686345667</v>
      </c>
      <c r="AE4" s="31"/>
      <c r="AF4" s="88">
        <f>SUM(AF5:AF6,AF12)</f>
        <v>-14.45585206055884</v>
      </c>
      <c r="AG4" s="88">
        <f>SUM(AG5:AG6,AG12)</f>
        <v>0</v>
      </c>
      <c r="AH4" s="952">
        <f>SUM(AF4:AG4)</f>
        <v>-14.45585206055884</v>
      </c>
      <c r="AI4" s="87">
        <f>AH4/$U$4</f>
        <v>-1.740085745903291</v>
      </c>
      <c r="AJ4" s="280">
        <f>AH4/$I$4*10000</f>
        <v>-24.118739552290407</v>
      </c>
      <c r="AK4" s="17"/>
      <c r="AL4" s="179">
        <f>Y4+AB4+AH4-U4</f>
        <v>1.7763568394002505E-14</v>
      </c>
      <c r="AM4" s="17"/>
      <c r="AN4" s="184">
        <f t="shared" ref="AN4:AN17" si="2">B4*(I$4/B$4)</f>
        <v>5993.6183767887078</v>
      </c>
      <c r="AO4" s="186">
        <f t="shared" ref="AO4:AO17" si="3">J4-C4</f>
        <v>0</v>
      </c>
      <c r="AP4" s="183"/>
      <c r="AQ4" s="366">
        <f>O4-G4</f>
        <v>-2.7483964238636041E-3</v>
      </c>
      <c r="AR4" s="211"/>
    </row>
    <row r="5" spans="1:44">
      <c r="A5" s="481" t="s">
        <v>24</v>
      </c>
      <c r="B5" s="105">
        <f>'2016.06.30'!G32</f>
        <v>560.08057982086314</v>
      </c>
      <c r="C5" s="107">
        <f>B5/B$4</f>
        <v>0.10346642770421556</v>
      </c>
      <c r="D5" s="640">
        <f>'2016.06.30'!H32</f>
        <v>4.2982293080999998</v>
      </c>
      <c r="E5" s="104">
        <f>D5/D$4</f>
        <v>3.7403248890101798E-2</v>
      </c>
      <c r="F5" s="482">
        <f>G5</f>
        <v>1.54329434312195E-2</v>
      </c>
      <c r="G5" s="979">
        <f t="shared" ref="G5:G17" si="4">D5/B5*366/182</f>
        <v>1.54329434312195E-2</v>
      </c>
      <c r="I5" s="105">
        <f>'2017.06.30'!G32</f>
        <v>658.88284908867092</v>
      </c>
      <c r="J5" s="107">
        <f t="shared" ref="J5:J16" si="5">I5/I$4</f>
        <v>0.10993073093213698</v>
      </c>
      <c r="K5" s="645">
        <f>'2017.06.30'!H32</f>
        <v>4.9541583614999993</v>
      </c>
      <c r="L5" s="104">
        <f>K5/K$4</f>
        <v>4.1730729489484031E-2</v>
      </c>
      <c r="M5" s="483">
        <f>K5*365/'2017.06.30'!$D$1</f>
        <v>9.9904298450138107</v>
      </c>
      <c r="N5" s="482">
        <f>O5</f>
        <v>1.5162680071020215E-2</v>
      </c>
      <c r="O5" s="979">
        <f>M5/I5</f>
        <v>1.5162680071020215E-2</v>
      </c>
      <c r="Q5" s="109">
        <f>I5-B5</f>
        <v>98.802269267807787</v>
      </c>
      <c r="R5" s="104">
        <f t="shared" ref="R5:R17" si="6">Q5/B5</f>
        <v>0.17640724000715902</v>
      </c>
      <c r="S5" s="104">
        <f>Q5/Q$4</f>
        <v>0.17021493329771858</v>
      </c>
      <c r="U5" s="631">
        <f>M5-D5/'2016.06.30'!$D$1*'2016.06.30'!$E$1</f>
        <v>1.3467379397138117</v>
      </c>
      <c r="V5" s="107">
        <f>U5/D5</f>
        <v>0.313323892975158</v>
      </c>
      <c r="W5" s="104">
        <f t="shared" si="0"/>
        <v>0.16211009095458162</v>
      </c>
      <c r="Y5" s="951">
        <f>(I$4/B$4-1)*B5*G5</f>
        <v>0.9268671275725523</v>
      </c>
      <c r="Z5" s="104">
        <f>Y5/$U$4</f>
        <v>0.11156922956037613</v>
      </c>
      <c r="AB5" s="951">
        <f>((I5-B5)-(I$4/B$4-1)*B5)*G5</f>
        <v>0.59794270491364221</v>
      </c>
      <c r="AC5" s="104">
        <f>AB5/$U$4</f>
        <v>7.1975804216058342E-2</v>
      </c>
      <c r="AD5" s="484">
        <f t="shared" si="1"/>
        <v>0.99763226038760777</v>
      </c>
      <c r="AF5" s="111">
        <f>I5*(N5-F5)</f>
        <v>-0.17807189277238267</v>
      </c>
      <c r="AG5" s="111">
        <f>I5*((O5-N5)-(G5-F5))</f>
        <v>0</v>
      </c>
      <c r="AH5" s="951">
        <f>SUM(AF5:AG5)</f>
        <v>-0.17807189277238267</v>
      </c>
      <c r="AI5" s="104">
        <f>AH5/$U$4</f>
        <v>-2.1434942821852845E-2</v>
      </c>
      <c r="AJ5" s="178">
        <f t="shared" ref="AJ5:AJ17" si="7">AH5/$I$4*10000</f>
        <v>-0.29710248730882827</v>
      </c>
      <c r="AK5" s="17"/>
      <c r="AL5" s="179">
        <f>Y5+AB5+AH5-U5</f>
        <v>0</v>
      </c>
      <c r="AM5" s="170"/>
      <c r="AN5" s="185">
        <f t="shared" si="2"/>
        <v>620.1382824686666</v>
      </c>
      <c r="AO5" s="186">
        <f t="shared" si="3"/>
        <v>6.4643032279214224E-3</v>
      </c>
      <c r="AP5" s="209">
        <f t="shared" ref="AP5:AP17" si="8">O5-G5</f>
        <v>-2.7026336019928508E-4</v>
      </c>
      <c r="AQ5" s="366">
        <f t="shared" ref="AQ5:AQ34" si="9">O5-G5</f>
        <v>-2.7026336019928508E-4</v>
      </c>
      <c r="AR5" s="211"/>
    </row>
    <row r="6" spans="1:44">
      <c r="A6" s="478" t="s">
        <v>3412</v>
      </c>
      <c r="B6" s="25">
        <f>SUM(B7:B11)</f>
        <v>2678.4903605142154</v>
      </c>
      <c r="C6" s="26">
        <f>SUM(C7:C11)</f>
        <v>0.49481063837496592</v>
      </c>
      <c r="D6" s="641">
        <f>SUM(D7:D11)</f>
        <v>50.855605318900004</v>
      </c>
      <c r="E6" s="469">
        <f>SUM(E7:E11)</f>
        <v>0.44254615723153201</v>
      </c>
      <c r="F6" s="261">
        <f>SUMPRODUCT($B7:$B11,F7:F11)/$B6</f>
        <v>3.818197927875628E-2</v>
      </c>
      <c r="G6" s="260">
        <f t="shared" si="4"/>
        <v>3.818197927875628E-2</v>
      </c>
      <c r="H6" s="145"/>
      <c r="I6" s="25">
        <f>SUM(I7:I11)</f>
        <v>2966.5159112168926</v>
      </c>
      <c r="J6" s="26">
        <f>SUM(J7:J11)</f>
        <v>0.49494574474498126</v>
      </c>
      <c r="K6" s="646">
        <f>SUM(K7:K11)</f>
        <v>53.411162146700008</v>
      </c>
      <c r="L6" s="469">
        <f>SUM(L7:L11)</f>
        <v>0.44990220267970082</v>
      </c>
      <c r="M6" s="468">
        <f>K6*365/'2017.06.30'!$D$1</f>
        <v>107.70759217428456</v>
      </c>
      <c r="N6" s="978">
        <f>SUMPRODUCT($I7:$I11,N7:N11)/$I6</f>
        <v>3.6307774978392708E-2</v>
      </c>
      <c r="O6" s="979">
        <f t="shared" ref="O6:O10" si="10">M6/I6</f>
        <v>3.6307774978392715E-2</v>
      </c>
      <c r="P6" s="145"/>
      <c r="Q6" s="281">
        <f>I6-B6</f>
        <v>288.02555070267726</v>
      </c>
      <c r="R6" s="26">
        <f>Q6/B6</f>
        <v>0.10753279345286956</v>
      </c>
      <c r="S6" s="24">
        <f>Q6/Q$4</f>
        <v>0.49620570725968977</v>
      </c>
      <c r="T6" s="147"/>
      <c r="U6" s="281">
        <f>M6-D6/'2016.06.30'!$D$1*'2016.06.30'!$E$1</f>
        <v>5.437528730782347</v>
      </c>
      <c r="V6" s="26">
        <f>U6/D6</f>
        <v>0.10692093224896766</v>
      </c>
      <c r="W6" s="24">
        <f>U6/U$4</f>
        <v>0.65452843580139675</v>
      </c>
      <c r="X6" s="144"/>
      <c r="Y6" s="951">
        <f>SUM(Y7:Y11)</f>
        <v>10.966466757383996</v>
      </c>
      <c r="Z6" s="24">
        <f>Y6/$U$4</f>
        <v>1.3200600288038971</v>
      </c>
      <c r="AA6" s="144"/>
      <c r="AB6" s="951">
        <f>SUM(AB7:AB11)</f>
        <v>-0.26854921577859003</v>
      </c>
      <c r="AC6" s="24">
        <f>AB6/$U$4</f>
        <v>-3.2325916209726809E-2</v>
      </c>
      <c r="AD6" s="485">
        <f t="shared" si="1"/>
        <v>-0.44805858314001429</v>
      </c>
      <c r="AE6" s="144"/>
      <c r="AF6" s="25">
        <f>SUM(AF7:AF11)</f>
        <v>-5.2603888108230823</v>
      </c>
      <c r="AG6" s="25">
        <f>SUM(AG7:AG11)</f>
        <v>0</v>
      </c>
      <c r="AH6" s="951">
        <f>SUM(AF6:AG6)</f>
        <v>-5.2603888108230823</v>
      </c>
      <c r="AI6" s="24">
        <f>AH6/$U$4</f>
        <v>-0.63320567679277628</v>
      </c>
      <c r="AJ6" s="485">
        <f t="shared" ref="AJ6" si="11">AH6/$I$4*10000</f>
        <v>-8.7766495631333825</v>
      </c>
      <c r="AK6" s="17"/>
      <c r="AL6" s="180">
        <f t="shared" ref="AL6" si="12">Y6+AB6+AH6-U6</f>
        <v>-2.3092638912203256E-14</v>
      </c>
      <c r="AM6" s="148"/>
      <c r="AN6" s="473">
        <f t="shared" ref="AN6" si="13">B6*(I$4/B$4)</f>
        <v>2965.7061351947473</v>
      </c>
      <c r="AO6" s="474">
        <f t="shared" ref="AO6" si="14">J6-C6</f>
        <v>1.3510637001534764E-4</v>
      </c>
      <c r="AP6" s="475">
        <f t="shared" ref="AP6" si="15">O6-G6</f>
        <v>-1.8742043003635647E-3</v>
      </c>
      <c r="AQ6" s="476">
        <f t="shared" ref="AQ6" si="16">O6-G6</f>
        <v>-1.8742043003635647E-3</v>
      </c>
      <c r="AR6" s="211"/>
    </row>
    <row r="7" spans="1:44">
      <c r="A7" s="470" t="s">
        <v>3802</v>
      </c>
      <c r="B7" s="21">
        <f>'2016.06.30'!G33</f>
        <v>168.62610485947963</v>
      </c>
      <c r="C7" s="10">
        <f>B7/B$4</f>
        <v>3.1151125955960007E-2</v>
      </c>
      <c r="D7" s="642">
        <f>'2016.06.30'!H33</f>
        <v>2.7942640615000003</v>
      </c>
      <c r="E7" s="8">
        <f>D7/D$4</f>
        <v>2.4315723211880268E-2</v>
      </c>
      <c r="F7" s="162">
        <f t="shared" ref="F7:F22" si="17">G7</f>
        <v>3.3323632341271663E-2</v>
      </c>
      <c r="G7" s="260">
        <f t="shared" si="4"/>
        <v>3.3323632341271663E-2</v>
      </c>
      <c r="I7" s="21">
        <f>'2017.06.30'!G33</f>
        <v>138.7160001754834</v>
      </c>
      <c r="J7" s="10">
        <f t="shared" si="5"/>
        <v>2.3143949356649797E-2</v>
      </c>
      <c r="K7" s="647">
        <f>'2017.06.30'!H33</f>
        <v>1.7999364525999999</v>
      </c>
      <c r="L7" s="8">
        <f t="shared" ref="L7:L16" si="18">K7/K$4</f>
        <v>1.5161538190912774E-2</v>
      </c>
      <c r="M7" s="157">
        <f>K7*365/'2017.06.30'!$D$1</f>
        <v>3.629706106071823</v>
      </c>
      <c r="N7" s="978">
        <f>O7</f>
        <v>2.6166455935004211E-2</v>
      </c>
      <c r="O7" s="979">
        <f t="shared" si="10"/>
        <v>2.6166455935004211E-2</v>
      </c>
      <c r="Q7" s="12">
        <f t="shared" ref="Q7:Q17" si="19">I7-B7</f>
        <v>-29.910104683996224</v>
      </c>
      <c r="R7" s="8">
        <f t="shared" si="6"/>
        <v>-0.1773752925676666</v>
      </c>
      <c r="S7" s="8">
        <f>Q7/Q$4</f>
        <v>-5.1528639083323349E-2</v>
      </c>
      <c r="U7" s="632">
        <f>M7-D7/'2016.06.30'!$D$1*'2016.06.30'!$E$1</f>
        <v>-1.9895282154061995</v>
      </c>
      <c r="V7" s="10">
        <f t="shared" ref="V7:V17" si="20">U7/D7</f>
        <v>-0.71200436738186901</v>
      </c>
      <c r="W7" s="8">
        <f t="shared" si="0"/>
        <v>-0.23948430533169879</v>
      </c>
      <c r="Y7" s="951">
        <f>(I$4/B$4-1)*B7*G7</f>
        <v>0.60255312565130914</v>
      </c>
      <c r="Z7" s="8">
        <f>Y7/$U$4</f>
        <v>7.2530771669697389E-2</v>
      </c>
      <c r="AB7" s="951">
        <f>((I7-B7)-(I$4/B$4-1)*B7)*G7</f>
        <v>-1.5992664574297468</v>
      </c>
      <c r="AC7" s="8">
        <f>AB7/$U$4</f>
        <v>-0.19250755713442005</v>
      </c>
      <c r="AD7" s="178">
        <f t="shared" si="1"/>
        <v>-2.6682820908704743</v>
      </c>
      <c r="AF7" s="9">
        <f>I7*(N7-F7)</f>
        <v>-0.99281488362776149</v>
      </c>
      <c r="AG7" s="9">
        <f>I7*((O7-N7)-(G7-F7))</f>
        <v>0</v>
      </c>
      <c r="AH7" s="951">
        <f>SUM(AF7:AG7)</f>
        <v>-0.99281488362776149</v>
      </c>
      <c r="AI7" s="8">
        <f>AH7/$U$4</f>
        <v>-0.11950751986697607</v>
      </c>
      <c r="AJ7" s="178">
        <f t="shared" si="7"/>
        <v>-1.656453282832627</v>
      </c>
      <c r="AK7" s="17"/>
      <c r="AL7" s="179">
        <f t="shared" ref="AL7:AL30" si="21">Y7+AB7+AH7-U7</f>
        <v>0</v>
      </c>
      <c r="AM7" s="17"/>
      <c r="AN7" s="185">
        <f t="shared" si="2"/>
        <v>186.70796098730159</v>
      </c>
      <c r="AO7" s="186">
        <f t="shared" si="3"/>
        <v>-8.0071765993102104E-3</v>
      </c>
      <c r="AP7" s="209">
        <f t="shared" si="8"/>
        <v>-7.1571764062674514E-3</v>
      </c>
      <c r="AQ7" s="366">
        <f t="shared" si="9"/>
        <v>-7.1571764062674514E-3</v>
      </c>
      <c r="AR7" s="211"/>
    </row>
    <row r="8" spans="1:44">
      <c r="A8" s="470" t="s">
        <v>3803</v>
      </c>
      <c r="B8" s="21">
        <f>'2016.06.30'!G34</f>
        <v>281.47782398473794</v>
      </c>
      <c r="C8" s="10">
        <f t="shared" ref="C8:C16" si="22">B8/B$4</f>
        <v>5.199877655992232E-2</v>
      </c>
      <c r="D8" s="642">
        <f>'2016.06.30'!H34</f>
        <v>3.7183927486999999</v>
      </c>
      <c r="E8" s="8">
        <f t="shared" ref="E8:E16" si="23">D8/D$4</f>
        <v>3.2357503399988476E-2</v>
      </c>
      <c r="F8" s="162">
        <f t="shared" si="17"/>
        <v>2.6565669900099731E-2</v>
      </c>
      <c r="G8" s="260">
        <f t="shared" si="4"/>
        <v>2.6565669900099731E-2</v>
      </c>
      <c r="I8" s="21">
        <f>'2017.06.30'!G34</f>
        <v>303.32397871715716</v>
      </c>
      <c r="J8" s="10">
        <f t="shared" si="5"/>
        <v>5.0607823129318705E-2</v>
      </c>
      <c r="K8" s="647">
        <f>'2017.06.30'!H34</f>
        <v>5.2586275767000004</v>
      </c>
      <c r="L8" s="8">
        <f t="shared" si="18"/>
        <v>4.4295387607021432E-2</v>
      </c>
      <c r="M8" s="157">
        <f>K8*365/'2017.06.30'!$D$1</f>
        <v>10.604414726494475</v>
      </c>
      <c r="N8" s="162">
        <f t="shared" ref="N8" si="24">O8</f>
        <v>3.4960687154848562E-2</v>
      </c>
      <c r="O8" s="260">
        <f t="shared" si="10"/>
        <v>3.4960687154848562E-2</v>
      </c>
      <c r="Q8" s="12">
        <f t="shared" si="19"/>
        <v>21.846154732419222</v>
      </c>
      <c r="R8" s="8">
        <f t="shared" si="6"/>
        <v>7.761234765550748E-2</v>
      </c>
      <c r="S8" s="8">
        <f t="shared" ref="S8:S16" si="25">Q8/Q$4</f>
        <v>3.7636198015969756E-2</v>
      </c>
      <c r="U8" s="632">
        <f>M8-D8/'2016.06.30'!$D$1*'2016.06.30'!$E$1</f>
        <v>3.126767770317552</v>
      </c>
      <c r="V8" s="10">
        <f t="shared" si="20"/>
        <v>0.84089228374563496</v>
      </c>
      <c r="W8" s="8">
        <f t="shared" si="0"/>
        <v>0.37637657089229049</v>
      </c>
      <c r="Y8" s="951">
        <f>(I$4/B$4-1)*B8*G8</f>
        <v>0.80183158206085947</v>
      </c>
      <c r="Z8" s="8">
        <f t="shared" ref="Z8:Z18" si="26">Y8/$U$4</f>
        <v>9.6518399656702655E-2</v>
      </c>
      <c r="AB8" s="951">
        <f>((I8-B8)-(I$4/B$4-1)*B8)*G8</f>
        <v>-0.22147384685290883</v>
      </c>
      <c r="AC8" s="8">
        <f t="shared" ref="AC8:AC17" si="27">AB8/$U$4</f>
        <v>-2.6659340617533743E-2</v>
      </c>
      <c r="AD8" s="178">
        <f t="shared" si="1"/>
        <v>-0.36951609683826964</v>
      </c>
      <c r="AF8" s="9">
        <f>I8*(N8-F8)</f>
        <v>2.5464100351096013</v>
      </c>
      <c r="AG8" s="9">
        <f>I8*((O8-N8)-(G8-F8))</f>
        <v>0</v>
      </c>
      <c r="AH8" s="951">
        <f t="shared" ref="AH8:AH30" si="28">SUM(AF8:AG8)</f>
        <v>2.5464100351096013</v>
      </c>
      <c r="AI8" s="8">
        <f t="shared" ref="AI8:AI17" si="29">AH8/$U$4</f>
        <v>0.30651751185312159</v>
      </c>
      <c r="AJ8" s="178">
        <f t="shared" si="7"/>
        <v>4.2485354839590741</v>
      </c>
      <c r="AK8" s="17"/>
      <c r="AL8" s="179">
        <f t="shared" si="21"/>
        <v>0</v>
      </c>
      <c r="AM8" s="17"/>
      <c r="AN8" s="185">
        <f t="shared" si="2"/>
        <v>311.66082276008029</v>
      </c>
      <c r="AO8" s="186">
        <f t="shared" si="3"/>
        <v>-1.3909534306036156E-3</v>
      </c>
      <c r="AP8" s="209">
        <f t="shared" si="8"/>
        <v>8.3950172547488308E-3</v>
      </c>
      <c r="AQ8" s="366">
        <f t="shared" si="9"/>
        <v>8.3950172547488308E-3</v>
      </c>
      <c r="AR8" s="211"/>
    </row>
    <row r="9" spans="1:44">
      <c r="A9" s="470" t="s">
        <v>3804</v>
      </c>
      <c r="B9" s="21">
        <f>'2016.06.30'!G35</f>
        <v>892.09909667852787</v>
      </c>
      <c r="C9" s="10">
        <f t="shared" si="22"/>
        <v>0.16480183390934031</v>
      </c>
      <c r="D9" s="642">
        <f>'2016.06.30'!H35</f>
        <v>16.783707565200004</v>
      </c>
      <c r="E9" s="8">
        <f>D9/D$4</f>
        <v>0.14605204756685239</v>
      </c>
      <c r="F9" s="162">
        <f>G9</f>
        <v>3.7834195329796393E-2</v>
      </c>
      <c r="G9" s="260">
        <f t="shared" si="4"/>
        <v>3.7834195329796393E-2</v>
      </c>
      <c r="I9" s="21">
        <f>'2017.06.30'!G35</f>
        <v>1001.8445928175751</v>
      </c>
      <c r="J9" s="10">
        <f t="shared" si="5"/>
        <v>0.16715188219146324</v>
      </c>
      <c r="K9" s="647">
        <f>'2017.06.30'!H35</f>
        <v>20.4379061054</v>
      </c>
      <c r="L9" s="8">
        <f t="shared" si="18"/>
        <v>0.17215613001876012</v>
      </c>
      <c r="M9" s="157">
        <f>K9*365/'2017.06.30'!$D$1</f>
        <v>41.214562035751385</v>
      </c>
      <c r="N9" s="162">
        <f>O9</f>
        <v>4.113867792592469E-2</v>
      </c>
      <c r="O9" s="260">
        <f t="shared" si="10"/>
        <v>4.113867792592469E-2</v>
      </c>
      <c r="Q9" s="12">
        <f t="shared" si="19"/>
        <v>109.74549613904719</v>
      </c>
      <c r="R9" s="8">
        <f t="shared" si="6"/>
        <v>0.12301940058862597</v>
      </c>
      <c r="S9" s="8">
        <f t="shared" si="25"/>
        <v>0.18906774554336536</v>
      </c>
      <c r="U9" s="632">
        <f>M9-D9/'2016.06.30'!$D$1*'2016.06.30'!$E$1</f>
        <v>7.4627105584810423</v>
      </c>
      <c r="V9" s="10">
        <f t="shared" si="20"/>
        <v>0.44464016841871806</v>
      </c>
      <c r="W9" s="8">
        <f t="shared" si="0"/>
        <v>0.89830445235705059</v>
      </c>
      <c r="Y9" s="951">
        <f>(I$4/B$4-1)*B9*G9</f>
        <v>3.619226827116671</v>
      </c>
      <c r="Z9" s="8">
        <f>Y9/$U$4</f>
        <v>0.43565505420737216</v>
      </c>
      <c r="AB9" s="951">
        <f>((I9-B9)-(I$4/B$4-1)*B9)*G9</f>
        <v>0.53290571037345646</v>
      </c>
      <c r="AC9" s="8">
        <f t="shared" si="27"/>
        <v>6.4147144467627537E-2</v>
      </c>
      <c r="AD9" s="178">
        <f t="shared" si="1"/>
        <v>0.88912185740290584</v>
      </c>
      <c r="AF9" s="9">
        <f>I9*(N9-F9)</f>
        <v>3.310578020990917</v>
      </c>
      <c r="AG9" s="9">
        <f>I9*((O9-N9)-(G9-F9))</f>
        <v>0</v>
      </c>
      <c r="AH9" s="951">
        <f>SUM(AF9:AG9)</f>
        <v>3.310578020990917</v>
      </c>
      <c r="AI9" s="8">
        <f>AH9/$U$4</f>
        <v>0.39850225368205117</v>
      </c>
      <c r="AJ9" s="178">
        <f t="shared" si="7"/>
        <v>5.5235048561177775</v>
      </c>
      <c r="AK9" s="17"/>
      <c r="AL9" s="179">
        <f t="shared" si="21"/>
        <v>0</v>
      </c>
      <c r="AM9" s="17"/>
      <c r="AN9" s="185">
        <f t="shared" si="2"/>
        <v>987.75930024750244</v>
      </c>
      <c r="AO9" s="186">
        <f t="shared" si="3"/>
        <v>2.3500482821229296E-3</v>
      </c>
      <c r="AP9" s="209">
        <f t="shared" si="8"/>
        <v>3.304482596128297E-3</v>
      </c>
      <c r="AQ9" s="366">
        <f t="shared" si="9"/>
        <v>3.304482596128297E-3</v>
      </c>
      <c r="AR9" s="211"/>
    </row>
    <row r="10" spans="1:44" s="149" customFormat="1">
      <c r="A10" s="470" t="s">
        <v>3805</v>
      </c>
      <c r="B10" s="21">
        <f>'2016.06.30'!G36</f>
        <v>914.76715803359752</v>
      </c>
      <c r="C10" s="289">
        <f t="shared" si="22"/>
        <v>0.16898941586788491</v>
      </c>
      <c r="D10" s="642">
        <f>'2016.06.30'!H36</f>
        <v>16.378491565699999</v>
      </c>
      <c r="E10" s="143">
        <f t="shared" si="23"/>
        <v>0.14252585252300309</v>
      </c>
      <c r="F10" s="264">
        <f t="shared" si="17"/>
        <v>3.600584724313987E-2</v>
      </c>
      <c r="G10" s="260">
        <f t="shared" si="4"/>
        <v>3.600584724313987E-2</v>
      </c>
      <c r="H10" s="145"/>
      <c r="I10" s="174">
        <f>'2017.06.30'!G36</f>
        <v>1086.5358718850757</v>
      </c>
      <c r="J10" s="289">
        <f t="shared" si="5"/>
        <v>0.18128212434960295</v>
      </c>
      <c r="K10" s="647">
        <f>'2017.06.30'!H36</f>
        <v>18.232511329600001</v>
      </c>
      <c r="L10" s="143">
        <f t="shared" si="18"/>
        <v>0.15357926466830216</v>
      </c>
      <c r="M10" s="157">
        <f>K10*365/'2017.06.30'!$D$1</f>
        <v>36.767218979580115</v>
      </c>
      <c r="N10" s="264">
        <f>O10</f>
        <v>3.3838937057633592E-2</v>
      </c>
      <c r="O10" s="260">
        <f t="shared" si="10"/>
        <v>3.3838937057633592E-2</v>
      </c>
      <c r="P10" s="145"/>
      <c r="Q10" s="471">
        <f t="shared" si="19"/>
        <v>171.7687138514782</v>
      </c>
      <c r="R10" s="289">
        <f t="shared" si="6"/>
        <v>0.18777315335709668</v>
      </c>
      <c r="S10" s="143">
        <f t="shared" si="25"/>
        <v>0.29592033044923799</v>
      </c>
      <c r="T10" s="147"/>
      <c r="U10" s="632">
        <f>M10-D10/'2016.06.30'!$D$1*'2016.06.30'!$E$1</f>
        <v>3.8302524243812144</v>
      </c>
      <c r="V10" s="289">
        <f t="shared" si="20"/>
        <v>0.2338586803929226</v>
      </c>
      <c r="W10" s="143">
        <f t="shared" si="0"/>
        <v>0.46105671384545266</v>
      </c>
      <c r="X10" s="144"/>
      <c r="Y10" s="951">
        <f>(I$4/B$4-1)*B10*G10</f>
        <v>3.5318463356209682</v>
      </c>
      <c r="Z10" s="143">
        <f t="shared" si="26"/>
        <v>0.42513685389066125</v>
      </c>
      <c r="AA10" s="144"/>
      <c r="AB10" s="951">
        <f>((I10-B10)-(I$4/B$4-1)*B10)*G10</f>
        <v>2.6528317364659593</v>
      </c>
      <c r="AC10" s="143">
        <f t="shared" si="27"/>
        <v>0.31932774848318685</v>
      </c>
      <c r="AD10" s="472">
        <f t="shared" ref="AD10:AD17" si="30">AB10/$I$4*10000</f>
        <v>4.4260938379718926</v>
      </c>
      <c r="AE10" s="144"/>
      <c r="AF10" s="144">
        <f>I10*(N10-F10)</f>
        <v>-2.3544256477057148</v>
      </c>
      <c r="AG10" s="144">
        <f>I10*((O10-N10)-(G10-F10))</f>
        <v>0</v>
      </c>
      <c r="AH10" s="951">
        <f t="shared" si="28"/>
        <v>-2.3544256477057148</v>
      </c>
      <c r="AI10" s="143">
        <f t="shared" si="29"/>
        <v>-0.28340788852839566</v>
      </c>
      <c r="AJ10" s="472">
        <f t="shared" si="7"/>
        <v>-3.928220817033703</v>
      </c>
      <c r="AK10" s="148"/>
      <c r="AL10" s="180">
        <f t="shared" si="21"/>
        <v>0</v>
      </c>
      <c r="AM10" s="148"/>
      <c r="AN10" s="473">
        <f t="shared" si="2"/>
        <v>1012.8580684285441</v>
      </c>
      <c r="AO10" s="474">
        <f t="shared" si="3"/>
        <v>1.229270848171804E-2</v>
      </c>
      <c r="AP10" s="475">
        <f t="shared" si="8"/>
        <v>-2.1669101855062781E-3</v>
      </c>
      <c r="AQ10" s="476">
        <f t="shared" si="9"/>
        <v>-2.1669101855062781E-3</v>
      </c>
      <c r="AR10" s="477"/>
    </row>
    <row r="11" spans="1:44" s="149" customFormat="1">
      <c r="A11" s="470" t="s">
        <v>3806</v>
      </c>
      <c r="B11" s="21">
        <f>'2016.06.30'!G37</f>
        <v>421.52017695787248</v>
      </c>
      <c r="C11" s="289">
        <f>B11/B$4</f>
        <v>7.7869486081858355E-2</v>
      </c>
      <c r="D11" s="642">
        <f>'2016.06.30'!H37</f>
        <v>11.1807493778</v>
      </c>
      <c r="E11" s="143">
        <f>D11/D$4</f>
        <v>9.7295030529807813E-2</v>
      </c>
      <c r="F11" s="264">
        <f>G11</f>
        <v>5.334113374037882E-2</v>
      </c>
      <c r="G11" s="260">
        <f t="shared" si="4"/>
        <v>5.334113374037882E-2</v>
      </c>
      <c r="H11" s="145"/>
      <c r="I11" s="174">
        <f>'2017.06.30'!G37</f>
        <v>436.09546762160102</v>
      </c>
      <c r="J11" s="289">
        <f>I11/I$4</f>
        <v>7.2759965717946587E-2</v>
      </c>
      <c r="K11" s="648">
        <f>'2017.06.30'!H37</f>
        <v>7.6821806823999985</v>
      </c>
      <c r="L11" s="143">
        <f>K11/K$4</f>
        <v>6.4709882194704291E-2</v>
      </c>
      <c r="M11" s="157">
        <f>K11*365/'2017.06.30'!$D$1</f>
        <v>15.491690326386736</v>
      </c>
      <c r="N11" s="264">
        <f>O11</f>
        <v>3.5523621492505028E-2</v>
      </c>
      <c r="O11" s="260">
        <f t="shared" ref="O11:O32" si="31">M11/I11</f>
        <v>3.5523621492505028E-2</v>
      </c>
      <c r="P11" s="145"/>
      <c r="Q11" s="471">
        <f>I11-B11</f>
        <v>14.575290663728538</v>
      </c>
      <c r="R11" s="289">
        <f>Q11/B11</f>
        <v>3.4577919303694971E-2</v>
      </c>
      <c r="S11" s="143">
        <f>Q11/Q$4</f>
        <v>2.5110072334439411E-2</v>
      </c>
      <c r="T11" s="147"/>
      <c r="U11" s="632">
        <f>M11-D11/'2016.06.30'!$D$1*'2016.06.30'!$E$1</f>
        <v>-6.9926738069912862</v>
      </c>
      <c r="V11" s="289">
        <f>U11/D11</f>
        <v>-0.62542085245874746</v>
      </c>
      <c r="W11" s="143">
        <f t="shared" si="0"/>
        <v>-0.84172499596170114</v>
      </c>
      <c r="X11" s="144"/>
      <c r="Y11" s="951">
        <f>(I$4/B$4-1)*B11*G11</f>
        <v>2.4110088869341886</v>
      </c>
      <c r="Z11" s="143">
        <f>Y11/$U$4</f>
        <v>0.29021894937946363</v>
      </c>
      <c r="AA11" s="144"/>
      <c r="AB11" s="951">
        <f>((I11-B11)-(I$4/B$4-1)*B11)*G11</f>
        <v>-1.63354635833535</v>
      </c>
      <c r="AC11" s="143">
        <f>AB11/$U$4</f>
        <v>-0.19663391140858738</v>
      </c>
      <c r="AD11" s="472">
        <f>AB11/$I$4*10000</f>
        <v>-2.7254760908060685</v>
      </c>
      <c r="AE11" s="144"/>
      <c r="AF11" s="144">
        <f>I11*(N11-F11)</f>
        <v>-7.7701363355901245</v>
      </c>
      <c r="AG11" s="144">
        <f>I11*((O11-N11)-(G11-F11))</f>
        <v>0</v>
      </c>
      <c r="AH11" s="951">
        <f t="shared" ref="AH11" si="32">SUM(AF11:AG11)</f>
        <v>-7.7701363355901245</v>
      </c>
      <c r="AI11" s="143">
        <f>AH11/$U$4</f>
        <v>-0.93531003393257739</v>
      </c>
      <c r="AJ11" s="472">
        <f>AH11/$I$4*10000</f>
        <v>-12.964015803343905</v>
      </c>
      <c r="AK11" s="148"/>
      <c r="AL11" s="180">
        <f t="shared" ref="AL11" si="33">Y11+AB11+AH11-U11</f>
        <v>0</v>
      </c>
      <c r="AM11" s="148"/>
      <c r="AN11" s="473">
        <f>B11*(I$4/B$4)</f>
        <v>466.71998277131871</v>
      </c>
      <c r="AO11" s="474">
        <f>J11-C11</f>
        <v>-5.1095203639117681E-3</v>
      </c>
      <c r="AP11" s="475">
        <f>O11-G11</f>
        <v>-1.7817512247873792E-2</v>
      </c>
      <c r="AQ11" s="476">
        <f t="shared" si="9"/>
        <v>-1.7817512247873792E-2</v>
      </c>
      <c r="AR11" s="477"/>
    </row>
    <row r="12" spans="1:44">
      <c r="A12" s="479" t="s">
        <v>30</v>
      </c>
      <c r="B12" s="43">
        <f>SUM(B13:B17)</f>
        <v>2174.5914955227863</v>
      </c>
      <c r="C12" s="44">
        <f t="shared" si="22"/>
        <v>0.40172293392081859</v>
      </c>
      <c r="D12" s="643">
        <f>SUM(D13:D17)</f>
        <v>59.762100101800002</v>
      </c>
      <c r="E12" s="257">
        <f t="shared" si="23"/>
        <v>0.52005059387836605</v>
      </c>
      <c r="F12" s="241">
        <f>SUMPRODUCT($B13:$B17,F13:F17)/$B12</f>
        <v>5.5265978380667199E-2</v>
      </c>
      <c r="G12" s="260">
        <f t="shared" si="4"/>
        <v>5.5265978380667199E-2</v>
      </c>
      <c r="H12" s="45"/>
      <c r="I12" s="43">
        <f>SUM(I13:I17)</f>
        <v>2368.219616483143</v>
      </c>
      <c r="J12" s="44">
        <f t="shared" si="5"/>
        <v>0.39512352432288161</v>
      </c>
      <c r="K12" s="649">
        <f>SUM(K13:K17)</f>
        <v>60.351951442400001</v>
      </c>
      <c r="L12" s="257">
        <f t="shared" si="18"/>
        <v>0.50836706783081509</v>
      </c>
      <c r="M12" s="159">
        <f>SUM(M13:M17)</f>
        <v>121.70421147224309</v>
      </c>
      <c r="N12" s="241">
        <f>SUMPRODUCT($I13:$I17,N13:N17)/$I12</f>
        <v>5.1390593433634529E-2</v>
      </c>
      <c r="O12" s="260">
        <f t="shared" si="31"/>
        <v>5.1390593433634529E-2</v>
      </c>
      <c r="P12" s="45"/>
      <c r="Q12" s="380">
        <f t="shared" si="19"/>
        <v>193.62812096035668</v>
      </c>
      <c r="R12" s="44">
        <f t="shared" si="6"/>
        <v>8.9041146973586963E-2</v>
      </c>
      <c r="S12" s="42">
        <f t="shared" si="25"/>
        <v>0.33357935944259082</v>
      </c>
      <c r="T12" s="47"/>
      <c r="U12" s="380">
        <f>M12-D12/'2016.06.30'!$D$1*'2016.06.30'!$E$1</f>
        <v>1.5232848938980368</v>
      </c>
      <c r="V12" s="44">
        <f t="shared" si="20"/>
        <v>2.5489145985553414E-2</v>
      </c>
      <c r="W12" s="42">
        <f t="shared" si="0"/>
        <v>0.1833614732440276</v>
      </c>
      <c r="X12" s="43"/>
      <c r="Y12" s="951">
        <f>SUM(Y13:Y17)</f>
        <v>12.887056992206896</v>
      </c>
      <c r="Z12" s="42">
        <f>Y12/$U$4</f>
        <v>1.5512461032971903</v>
      </c>
      <c r="AA12" s="43"/>
      <c r="AB12" s="951">
        <f>SUM(AB13:AB17)</f>
        <v>-2.3463807413454925</v>
      </c>
      <c r="AC12" s="42">
        <f t="shared" si="27"/>
        <v>-0.28243950376450172</v>
      </c>
      <c r="AD12" s="178">
        <f t="shared" si="30"/>
        <v>-3.9147983635932606</v>
      </c>
      <c r="AE12" s="43"/>
      <c r="AF12" s="43">
        <f>SUM(AF13:AF17)</f>
        <v>-9.0173913569633743</v>
      </c>
      <c r="AG12" s="43">
        <f>SUM(AG13:AG17)</f>
        <v>0</v>
      </c>
      <c r="AH12" s="951">
        <f>SUM(AF12:AG12)</f>
        <v>-9.0173913569633743</v>
      </c>
      <c r="AI12" s="42">
        <f>AH12/$U$4</f>
        <v>-1.085445126288662</v>
      </c>
      <c r="AJ12" s="178">
        <f t="shared" si="7"/>
        <v>-15.044987501848192</v>
      </c>
      <c r="AK12" s="17"/>
      <c r="AL12" s="179">
        <f t="shared" si="21"/>
        <v>-8.8817841970012523E-15</v>
      </c>
      <c r="AM12" s="17"/>
      <c r="AN12" s="185">
        <f t="shared" si="2"/>
        <v>2407.7739591252939</v>
      </c>
      <c r="AO12" s="186">
        <f t="shared" si="3"/>
        <v>-6.5994095979369782E-3</v>
      </c>
      <c r="AP12" s="209">
        <f t="shared" si="8"/>
        <v>-3.8753849470326701E-3</v>
      </c>
      <c r="AQ12" s="366">
        <f t="shared" si="9"/>
        <v>-3.8753849470326701E-3</v>
      </c>
      <c r="AR12" s="211"/>
    </row>
    <row r="13" spans="1:44">
      <c r="A13" s="82" t="s">
        <v>114</v>
      </c>
      <c r="B13" s="21">
        <f>'2016.06.30'!G21</f>
        <v>1315.0749652502298</v>
      </c>
      <c r="C13" s="10">
        <f t="shared" si="22"/>
        <v>0.24294023703018988</v>
      </c>
      <c r="D13" s="642">
        <f>'2016.06.30'!H21</f>
        <v>36.976438515657506</v>
      </c>
      <c r="E13" s="8">
        <f>D13/D$4</f>
        <v>0.32176946219792218</v>
      </c>
      <c r="F13" s="162">
        <f>G13</f>
        <v>5.6543705480964074E-2</v>
      </c>
      <c r="G13" s="260">
        <f t="shared" si="4"/>
        <v>5.6543705480964074E-2</v>
      </c>
      <c r="I13" s="21">
        <f>'2017.06.30'!G21</f>
        <v>1500.4208291889347</v>
      </c>
      <c r="J13" s="10">
        <f t="shared" si="5"/>
        <v>0.25033639695839932</v>
      </c>
      <c r="K13" s="647">
        <f>'2017.06.30'!H21</f>
        <v>40.059266382012609</v>
      </c>
      <c r="L13" s="8">
        <f t="shared" si="18"/>
        <v>0.33743418900900835</v>
      </c>
      <c r="M13" s="157">
        <f>K13*365/'2017.06.30'!$D$1</f>
        <v>80.782498505163545</v>
      </c>
      <c r="N13" s="162">
        <f>O13</f>
        <v>5.3839894070806263E-2</v>
      </c>
      <c r="O13" s="260">
        <f t="shared" si="31"/>
        <v>5.3839894070806263E-2</v>
      </c>
      <c r="P13" s="10">
        <f>L13/J13*365/'2017.06.30'!$D$1</f>
        <v>2.7181872797870574</v>
      </c>
      <c r="Q13" s="12">
        <f t="shared" si="19"/>
        <v>185.34586393870495</v>
      </c>
      <c r="R13" s="8">
        <f t="shared" si="6"/>
        <v>0.14093939040459014</v>
      </c>
      <c r="S13" s="8">
        <f>Q13/Q$4</f>
        <v>0.319310822525956</v>
      </c>
      <c r="U13" s="632">
        <f>M13-D13/'2016.06.30'!$D$1*'2016.06.30'!$E$1</f>
        <v>6.4232869846654808</v>
      </c>
      <c r="V13" s="10">
        <f t="shared" si="20"/>
        <v>0.17371297081371342</v>
      </c>
      <c r="W13" s="8">
        <f t="shared" si="0"/>
        <v>0.77318653214208721</v>
      </c>
      <c r="Y13" s="951">
        <f t="shared" ref="Y13:Y18" si="34">(I$4/B$4-1)*B13*G13</f>
        <v>7.9735730455991769</v>
      </c>
      <c r="Z13" s="8">
        <f t="shared" si="26"/>
        <v>0.95979820092524148</v>
      </c>
      <c r="AB13" s="951">
        <f t="shared" ref="AB13:AB17" si="35">((I13-B13)-(I$4/B$4-1)*B13)*G13</f>
        <v>2.5065688970657956</v>
      </c>
      <c r="AC13" s="8">
        <f t="shared" si="27"/>
        <v>0.30172173806405916</v>
      </c>
      <c r="AD13" s="178">
        <f t="shared" si="30"/>
        <v>4.1820628867078096</v>
      </c>
      <c r="AF13" s="9">
        <f t="shared" ref="AF13:AF17" si="36">I13*(N13-F13)</f>
        <v>-4.0568549579994855</v>
      </c>
      <c r="AG13" s="9">
        <f t="shared" ref="AG13:AG17" si="37">I13*((O13-N13)-(G13-F13))</f>
        <v>0</v>
      </c>
      <c r="AH13" s="951">
        <f>SUM(AF13:AG13)</f>
        <v>-4.0568549579994855</v>
      </c>
      <c r="AI13" s="8">
        <f t="shared" si="29"/>
        <v>-0.48833340684721277</v>
      </c>
      <c r="AJ13" s="178">
        <f t="shared" si="7"/>
        <v>-6.7686240647391518</v>
      </c>
      <c r="AK13" s="17"/>
      <c r="AL13" s="179">
        <f t="shared" si="21"/>
        <v>0</v>
      </c>
      <c r="AM13" s="17"/>
      <c r="AN13" s="185">
        <f t="shared" si="2"/>
        <v>1456.0910691255506</v>
      </c>
      <c r="AO13" s="186">
        <f t="shared" si="3"/>
        <v>7.3961599282094392E-3</v>
      </c>
      <c r="AP13" s="209">
        <f t="shared" si="8"/>
        <v>-2.7038114101578109E-3</v>
      </c>
      <c r="AQ13" s="366">
        <f t="shared" si="9"/>
        <v>-2.7038114101578109E-3</v>
      </c>
      <c r="AR13" s="211"/>
    </row>
    <row r="14" spans="1:44">
      <c r="A14" s="82" t="s">
        <v>33</v>
      </c>
      <c r="B14" s="21">
        <f>'2016.06.30'!G22</f>
        <v>355.63191929273933</v>
      </c>
      <c r="C14" s="10">
        <f t="shared" si="22"/>
        <v>6.569762564983507E-2</v>
      </c>
      <c r="D14" s="642">
        <f>'2016.06.30'!H22</f>
        <v>9.1347374433227042</v>
      </c>
      <c r="E14" s="8">
        <f t="shared" si="23"/>
        <v>7.9490607328570717E-2</v>
      </c>
      <c r="F14" s="162">
        <f t="shared" si="17"/>
        <v>5.1654127822172845E-2</v>
      </c>
      <c r="G14" s="260">
        <f t="shared" si="4"/>
        <v>5.1654127822172845E-2</v>
      </c>
      <c r="I14" s="21">
        <f>'2017.06.30'!G22</f>
        <v>469.58877961458643</v>
      </c>
      <c r="J14" s="10">
        <f t="shared" si="5"/>
        <v>7.8348127974438242E-2</v>
      </c>
      <c r="K14" s="647">
        <f>'2017.06.30'!H22</f>
        <v>11.061171669037325</v>
      </c>
      <c r="L14" s="8">
        <f t="shared" si="18"/>
        <v>9.3172387532961851E-2</v>
      </c>
      <c r="M14" s="157">
        <f>K14*365/'2017.06.30'!$D$1</f>
        <v>22.305677675130518</v>
      </c>
      <c r="N14" s="162">
        <f t="shared" ref="N14:N17" si="38">O14</f>
        <v>4.7500448569997425E-2</v>
      </c>
      <c r="O14" s="260">
        <f t="shared" si="31"/>
        <v>4.7500448569997425E-2</v>
      </c>
      <c r="P14" s="10">
        <f>L14/J14*365/'2017.06.30'!$D$1</f>
        <v>2.3981309271772271</v>
      </c>
      <c r="Q14" s="12">
        <f t="shared" si="19"/>
        <v>113.9568603218471</v>
      </c>
      <c r="R14" s="8">
        <f t="shared" si="6"/>
        <v>0.32043484889792251</v>
      </c>
      <c r="S14" s="8">
        <f t="shared" si="25"/>
        <v>0.19632301486845213</v>
      </c>
      <c r="U14" s="632">
        <f>M14-D14/'2016.06.30'!$D$1*'2016.06.30'!$E$1</f>
        <v>3.935821058338707</v>
      </c>
      <c r="V14" s="10">
        <f t="shared" si="20"/>
        <v>0.43086307436408117</v>
      </c>
      <c r="W14" s="8">
        <f t="shared" ref="W14:W16" si="39">U14/U$4</f>
        <v>0.47376426469713273</v>
      </c>
      <c r="Y14" s="951">
        <f t="shared" si="34"/>
        <v>1.9698083206650956</v>
      </c>
      <c r="Z14" s="8">
        <f t="shared" si="26"/>
        <v>0.23711057408389977</v>
      </c>
      <c r="AB14" s="951">
        <f t="shared" si="35"/>
        <v>3.9165339086130917</v>
      </c>
      <c r="AC14" s="8">
        <f t="shared" si="27"/>
        <v>0.47144262400960701</v>
      </c>
      <c r="AD14" s="178">
        <f t="shared" si="30"/>
        <v>6.5345066408974697</v>
      </c>
      <c r="AF14" s="9">
        <f t="shared" si="36"/>
        <v>-1.9505211709394834</v>
      </c>
      <c r="AG14" s="9">
        <f t="shared" si="37"/>
        <v>0</v>
      </c>
      <c r="AH14" s="951">
        <f t="shared" si="28"/>
        <v>-1.9505211709394834</v>
      </c>
      <c r="AI14" s="8">
        <f t="shared" si="29"/>
        <v>-0.23478893339637444</v>
      </c>
      <c r="AJ14" s="178">
        <f t="shared" si="7"/>
        <v>-3.2543299361420872</v>
      </c>
      <c r="AK14" s="17"/>
      <c r="AL14" s="179">
        <f t="shared" si="21"/>
        <v>0</v>
      </c>
      <c r="AM14" s="17"/>
      <c r="AN14" s="185">
        <f t="shared" si="2"/>
        <v>393.76649640623663</v>
      </c>
      <c r="AO14" s="186">
        <f t="shared" si="3"/>
        <v>1.2650502324603172E-2</v>
      </c>
      <c r="AP14" s="209">
        <f t="shared" si="8"/>
        <v>-4.1536792521754198E-3</v>
      </c>
      <c r="AQ14" s="366">
        <f t="shared" si="9"/>
        <v>-4.1536792521754198E-3</v>
      </c>
      <c r="AR14" s="211"/>
    </row>
    <row r="15" spans="1:44">
      <c r="A15" s="82" t="s">
        <v>115</v>
      </c>
      <c r="B15" s="21">
        <f>'2016.06.30'!G25</f>
        <v>44.10848146259341</v>
      </c>
      <c r="C15" s="10">
        <f>B15/B$4</f>
        <v>8.1483757388121324E-3</v>
      </c>
      <c r="D15" s="642">
        <f>'2016.06.30'!H25</f>
        <v>0.8644916238</v>
      </c>
      <c r="E15" s="8">
        <f>D15/D$4</f>
        <v>7.5228176652801723E-3</v>
      </c>
      <c r="F15" s="162">
        <f t="shared" ref="F15" si="40">G15</f>
        <v>3.9413806549386247E-2</v>
      </c>
      <c r="G15" s="260">
        <f t="shared" si="4"/>
        <v>3.9413806549386247E-2</v>
      </c>
      <c r="I15" s="21">
        <f>'2017.06.30'!G25</f>
        <v>64.527456593522103</v>
      </c>
      <c r="J15" s="10">
        <f>I15/I$4</f>
        <v>1.0766026886766016E-2</v>
      </c>
      <c r="K15" s="647">
        <f>'2017.06.30'!H25</f>
        <v>0.99224702870000003</v>
      </c>
      <c r="L15" s="8">
        <f>K15/K$4</f>
        <v>8.3580679744130956E-3</v>
      </c>
      <c r="M15" s="157">
        <f>K15*365/'2017.06.30'!$D$1</f>
        <v>2.0009401407486189</v>
      </c>
      <c r="N15" s="162">
        <f>O15</f>
        <v>3.1009127685802711E-2</v>
      </c>
      <c r="O15" s="260">
        <f t="shared" si="31"/>
        <v>3.1009127685802711E-2</v>
      </c>
      <c r="P15" s="10">
        <f>L15/J15*365/'2017.06.30'!$D$1</f>
        <v>1.5655420183775142</v>
      </c>
      <c r="Q15" s="12">
        <f>I15-B15</f>
        <v>20.418975130928693</v>
      </c>
      <c r="R15" s="8">
        <f>Q15/B15</f>
        <v>0.4629262775288509</v>
      </c>
      <c r="S15" s="8">
        <f>Q15/Q$4</f>
        <v>3.5177476344171815E-2</v>
      </c>
      <c r="U15" s="632">
        <f>M15-D15/'2016.06.30'!$D$1*'2016.06.30'!$E$1</f>
        <v>0.2624569851947729</v>
      </c>
      <c r="V15" s="10">
        <f>U15/D15</f>
        <v>0.30359690940798784</v>
      </c>
      <c r="W15" s="8">
        <f>U15/U$4</f>
        <v>3.1592579734281E-2</v>
      </c>
      <c r="Y15" s="951">
        <f>(I$4/B$4-1)*B15*G15</f>
        <v>0.18641836224327277</v>
      </c>
      <c r="Z15" s="8">
        <f>Y15/$U$4</f>
        <v>2.2439627464035838E-2</v>
      </c>
      <c r="AB15" s="951">
        <f>((I15-B15)-(I$4/B$4-1)*B15)*G15</f>
        <v>0.61837117350387949</v>
      </c>
      <c r="AC15" s="8">
        <f>AB15/$U$4</f>
        <v>7.4434828205484166E-2</v>
      </c>
      <c r="AD15" s="178">
        <f>AB15/$I$4*10000</f>
        <v>1.0317159595923318</v>
      </c>
      <c r="AF15" s="9">
        <f>I15*(N15-F15)</f>
        <v>-0.54233255055237939</v>
      </c>
      <c r="AG15" s="9">
        <f>I15*((O15-N15)-(G15-F15))</f>
        <v>0</v>
      </c>
      <c r="AH15" s="951">
        <f>SUM(AF15:AG15)</f>
        <v>-0.54233255055237939</v>
      </c>
      <c r="AI15" s="8">
        <f>AH15/$U$4</f>
        <v>-6.5281875935239014E-2</v>
      </c>
      <c r="AJ15" s="178">
        <f>AH15/$I$4*10000</f>
        <v>-0.90484998619974399</v>
      </c>
      <c r="AK15" s="17"/>
      <c r="AL15" s="179">
        <f>Y15+AB15+AH15-U15</f>
        <v>0</v>
      </c>
      <c r="AM15" s="17"/>
      <c r="AN15" s="185">
        <f>B15*(I$4/B$4)</f>
        <v>48.838254569123656</v>
      </c>
      <c r="AO15" s="186">
        <f>J15-C15</f>
        <v>2.6176511479538839E-3</v>
      </c>
      <c r="AP15" s="209">
        <f>O15-G15</f>
        <v>-8.4046788635835368E-3</v>
      </c>
      <c r="AQ15" s="366">
        <f t="shared" si="9"/>
        <v>-8.4046788635835368E-3</v>
      </c>
      <c r="AR15" s="211"/>
    </row>
    <row r="16" spans="1:44">
      <c r="A16" s="82" t="s">
        <v>212</v>
      </c>
      <c r="B16" s="21">
        <f>'2016.06.30'!G23</f>
        <v>209.0764694121799</v>
      </c>
      <c r="C16" s="10">
        <f t="shared" si="22"/>
        <v>3.8623719847609927E-2</v>
      </c>
      <c r="D16" s="642">
        <f>'2016.06.30'!H23</f>
        <v>8.2507969322197958</v>
      </c>
      <c r="E16" s="8">
        <f t="shared" si="23"/>
        <v>7.1798545186022814E-2</v>
      </c>
      <c r="F16" s="162">
        <f t="shared" si="17"/>
        <v>7.9359776876112009E-2</v>
      </c>
      <c r="G16" s="260">
        <f t="shared" si="4"/>
        <v>7.9359776876112009E-2</v>
      </c>
      <c r="I16" s="21">
        <f>'2017.06.30'!G23</f>
        <v>161.54001139228262</v>
      </c>
      <c r="J16" s="10">
        <f t="shared" si="5"/>
        <v>2.6952001485091782E-2</v>
      </c>
      <c r="K16" s="647">
        <f>'2017.06.30'!H23</f>
        <v>5.5492217597500684</v>
      </c>
      <c r="L16" s="8">
        <f t="shared" si="18"/>
        <v>4.6743171137382439E-2</v>
      </c>
      <c r="M16" s="157">
        <f>K16*365/'2017.06.30'!$D$1</f>
        <v>11.190419570766712</v>
      </c>
      <c r="N16" s="162">
        <f t="shared" si="38"/>
        <v>6.9273361282561605E-2</v>
      </c>
      <c r="O16" s="260">
        <f t="shared" si="31"/>
        <v>6.9273361282561605E-2</v>
      </c>
      <c r="P16" s="10">
        <f>L16/J16*365/'2017.06.30'!$D$1</f>
        <v>3.4973688696102663</v>
      </c>
      <c r="Q16" s="12">
        <f t="shared" si="19"/>
        <v>-47.536458019897282</v>
      </c>
      <c r="R16" s="8">
        <f t="shared" si="6"/>
        <v>-0.2273639790912215</v>
      </c>
      <c r="S16" s="8">
        <f t="shared" si="25"/>
        <v>-8.1895032280427577E-2</v>
      </c>
      <c r="U16" s="632">
        <f>M16-D16/'2016.06.30'!$D$1*'2016.06.30'!$E$1</f>
        <v>-5.4018423918291401</v>
      </c>
      <c r="V16" s="10">
        <f t="shared" si="20"/>
        <v>-0.6547055316238195</v>
      </c>
      <c r="W16" s="8">
        <f t="shared" si="39"/>
        <v>-0.65023278519043248</v>
      </c>
      <c r="Y16" s="951">
        <f t="shared" si="34"/>
        <v>1.7791960141213272</v>
      </c>
      <c r="Z16" s="8">
        <f t="shared" si="26"/>
        <v>0.21416611143852474</v>
      </c>
      <c r="AB16" s="951">
        <f t="shared" si="35"/>
        <v>-5.5516787160610406</v>
      </c>
      <c r="AC16" s="8">
        <f t="shared" si="27"/>
        <v>-0.66826894458956199</v>
      </c>
      <c r="AD16" s="178">
        <f t="shared" si="30"/>
        <v>-9.2626496501025954</v>
      </c>
      <c r="AF16" s="9">
        <f t="shared" si="36"/>
        <v>-1.6293596898894294</v>
      </c>
      <c r="AG16" s="9">
        <f t="shared" si="37"/>
        <v>0</v>
      </c>
      <c r="AH16" s="951">
        <f t="shared" si="28"/>
        <v>-1.6293596898894294</v>
      </c>
      <c r="AI16" s="8">
        <f t="shared" si="29"/>
        <v>-0.19612995203939557</v>
      </c>
      <c r="AJ16" s="178">
        <f t="shared" si="7"/>
        <v>-2.7184908805662342</v>
      </c>
      <c r="AK16" s="17"/>
      <c r="AL16" s="179">
        <f t="shared" si="21"/>
        <v>0</v>
      </c>
      <c r="AM16" s="17"/>
      <c r="AN16" s="185">
        <f t="shared" si="2"/>
        <v>231.49583705857358</v>
      </c>
      <c r="AO16" s="186">
        <f t="shared" si="3"/>
        <v>-1.1671718362518145E-2</v>
      </c>
      <c r="AP16" s="209">
        <f t="shared" si="8"/>
        <v>-1.0086415593550405E-2</v>
      </c>
      <c r="AQ16" s="366">
        <f t="shared" si="9"/>
        <v>-1.0086415593550405E-2</v>
      </c>
      <c r="AR16" s="211"/>
    </row>
    <row r="17" spans="1:44">
      <c r="A17" s="82" t="s">
        <v>111</v>
      </c>
      <c r="B17" s="21">
        <f>'2016.06.30'!G24</f>
        <v>250.6996601050441</v>
      </c>
      <c r="C17" s="10">
        <f t="shared" ref="C17" si="41">B17/B$4</f>
        <v>4.6312975654371591E-2</v>
      </c>
      <c r="D17" s="642">
        <f>'2016.06.30'!H24</f>
        <v>4.5356355867999998</v>
      </c>
      <c r="E17" s="8">
        <f t="shared" ref="E17" si="42">D17/D$4</f>
        <v>3.9469161500570275E-2</v>
      </c>
      <c r="F17" s="162">
        <f t="shared" ref="F17" si="43">G17</f>
        <v>3.6382631388824839E-2</v>
      </c>
      <c r="G17" s="260">
        <f t="shared" si="4"/>
        <v>3.6382631388824839E-2</v>
      </c>
      <c r="I17" s="21">
        <f>'2017.06.30'!G24</f>
        <v>172.14253969381721</v>
      </c>
      <c r="J17" s="10">
        <f t="shared" ref="J17" si="44">I17/I$4</f>
        <v>2.8720971018186291E-2</v>
      </c>
      <c r="K17" s="647">
        <f>'2017.06.30'!H24</f>
        <v>2.6900446029000009</v>
      </c>
      <c r="L17" s="8">
        <f t="shared" ref="L17" si="45">K17/K$4</f>
        <v>2.2659252177049418E-2</v>
      </c>
      <c r="M17" s="157">
        <f>K17*365/'2017.06.30'!$D$1</f>
        <v>5.4246755804337035</v>
      </c>
      <c r="N17" s="162">
        <f t="shared" si="38"/>
        <v>3.1512696339221838E-2</v>
      </c>
      <c r="O17" s="260">
        <f t="shared" si="31"/>
        <v>3.1512696339221838E-2</v>
      </c>
      <c r="P17" s="10">
        <f>L17/J17*365/'2017.06.30'!$D$1</f>
        <v>1.5909654322204769</v>
      </c>
      <c r="Q17" s="12">
        <f t="shared" si="19"/>
        <v>-78.55712041122689</v>
      </c>
      <c r="R17" s="8">
        <f t="shared" si="6"/>
        <v>-0.31335152340578026</v>
      </c>
      <c r="S17" s="8">
        <f t="shared" ref="S17" si="46">Q17/Q$4</f>
        <v>-0.13533692201556172</v>
      </c>
      <c r="U17" s="632">
        <f>M17-D17/'2016.06.30'!$D$1*'2016.06.30'!$E$1</f>
        <v>-3.6964377424717902</v>
      </c>
      <c r="V17" s="10">
        <f t="shared" si="20"/>
        <v>-0.81497679249838417</v>
      </c>
      <c r="W17" s="8">
        <f t="shared" ref="W17" si="47">U17/U$4</f>
        <v>-0.44494911813904153</v>
      </c>
      <c r="Y17" s="951">
        <f t="shared" si="34"/>
        <v>0.97806124957802243</v>
      </c>
      <c r="Z17" s="8">
        <f t="shared" si="26"/>
        <v>0.11773158938548829</v>
      </c>
      <c r="AB17" s="951">
        <f t="shared" si="35"/>
        <v>-3.8361760044672186</v>
      </c>
      <c r="AC17" s="8">
        <f t="shared" si="27"/>
        <v>-0.46176974945409005</v>
      </c>
      <c r="AD17" s="178">
        <f t="shared" si="30"/>
        <v>-6.4004342006882755</v>
      </c>
      <c r="AF17" s="9">
        <f t="shared" si="36"/>
        <v>-0.83832298758259627</v>
      </c>
      <c r="AG17" s="9">
        <f t="shared" si="37"/>
        <v>0</v>
      </c>
      <c r="AH17" s="951">
        <f t="shared" ref="AH17" si="48">SUM(AF17:AG17)</f>
        <v>-0.83832298758259627</v>
      </c>
      <c r="AI17" s="8">
        <f t="shared" si="29"/>
        <v>-0.10091095807044005</v>
      </c>
      <c r="AJ17" s="178">
        <f t="shared" si="7"/>
        <v>-1.398692634200974</v>
      </c>
      <c r="AK17" s="17"/>
      <c r="AL17" s="179">
        <f t="shared" ref="AL17" si="49">Y17+AB17+AH17-U17</f>
        <v>0</v>
      </c>
      <c r="AM17" s="17"/>
      <c r="AN17" s="185">
        <f t="shared" si="2"/>
        <v>277.58230196580956</v>
      </c>
      <c r="AO17" s="186">
        <f t="shared" si="3"/>
        <v>-1.75920046361853E-2</v>
      </c>
      <c r="AP17" s="209">
        <f t="shared" si="8"/>
        <v>-4.8699350496030011E-3</v>
      </c>
      <c r="AQ17" s="366">
        <f t="shared" si="9"/>
        <v>-4.8699350496030011E-3</v>
      </c>
      <c r="AR17" s="211"/>
    </row>
    <row r="18" spans="1:44">
      <c r="A18" s="19"/>
      <c r="B18" s="21"/>
      <c r="C18" s="10"/>
      <c r="D18" s="21"/>
      <c r="F18" s="162"/>
      <c r="G18" s="162"/>
      <c r="I18" s="157"/>
      <c r="K18" s="650"/>
      <c r="M18" s="157"/>
      <c r="N18" s="162"/>
      <c r="O18" s="162"/>
      <c r="U18" s="632"/>
      <c r="V18" s="10"/>
      <c r="Y18" s="951">
        <f t="shared" si="34"/>
        <v>0</v>
      </c>
      <c r="Z18" s="8">
        <f t="shared" si="26"/>
        <v>0</v>
      </c>
      <c r="AK18" s="17"/>
      <c r="AL18" s="179"/>
      <c r="AM18" s="17"/>
    </row>
    <row r="19" spans="1:44">
      <c r="A19" s="91" t="s">
        <v>113</v>
      </c>
      <c r="B19" s="88">
        <f>SUM(B20,B24,B34)</f>
        <v>5030.1940274967264</v>
      </c>
      <c r="C19" s="89">
        <f t="shared" ref="C19:C34" si="50">B19/B$19</f>
        <v>1</v>
      </c>
      <c r="D19" s="379">
        <f>SUM(D20,D24,D34)</f>
        <v>60.606757155300002</v>
      </c>
      <c r="E19" s="87">
        <f t="shared" ref="E19:E31" si="51">D19/D$19</f>
        <v>1</v>
      </c>
      <c r="F19" s="260">
        <f>($B20*F20+$B24*F24+$B34*F34)/$B19</f>
        <v>2.1773238535272663E-2</v>
      </c>
      <c r="G19" s="260">
        <f>D19/B19/182*366</f>
        <v>2.4229586764397872E-2</v>
      </c>
      <c r="H19" s="30"/>
      <c r="I19" s="379">
        <f>SUM(I20,I24,I34)</f>
        <v>5591.1211965240627</v>
      </c>
      <c r="J19" s="87">
        <f t="shared" ref="J19:J34" si="52">I19/I$19</f>
        <v>1</v>
      </c>
      <c r="K19" s="644">
        <f>SUM(K20,K24,K34)</f>
        <v>67.283992149300005</v>
      </c>
      <c r="L19" s="87">
        <f>K19/K$19</f>
        <v>1</v>
      </c>
      <c r="M19" s="88">
        <f>SUM(M20,M24,M34)</f>
        <v>135.68318858836741</v>
      </c>
      <c r="N19" s="260">
        <f>($I20*N20+$I24*N24+$I34*N34)/$I19</f>
        <v>1.64339528716143E-2</v>
      </c>
      <c r="O19" s="260">
        <f>M19/I19</f>
        <v>2.4267617141391987E-2</v>
      </c>
      <c r="P19" s="30">
        <f>($I20*P20+$I24*P24+$I34*P34)/$I19</f>
        <v>0</v>
      </c>
      <c r="Q19" s="90">
        <f t="shared" ref="Q19:Q34" si="53">I19-B19</f>
        <v>560.92716902733628</v>
      </c>
      <c r="R19" s="89">
        <f t="shared" ref="R19:R34" si="54">Q19/B19</f>
        <v>0.11151203431937623</v>
      </c>
      <c r="S19" s="87">
        <f t="shared" ref="S19:S34" si="55">Q19/Q$19</f>
        <v>1</v>
      </c>
      <c r="T19" s="84"/>
      <c r="U19" s="805">
        <f>M19-D19/'2016.06.30'!$D$1*'2016.06.30'!$E$1</f>
        <v>13.803665957379494</v>
      </c>
      <c r="V19" s="89">
        <f t="shared" ref="V19:V34" si="56">U19/D19</f>
        <v>0.22775787066133066</v>
      </c>
      <c r="W19" s="87">
        <f t="shared" ref="W19:W34" si="57">U19/U$19</f>
        <v>1</v>
      </c>
      <c r="X19" s="31"/>
      <c r="Y19" s="952">
        <f>SUM(Y20,Y24,Y34)</f>
        <v>13.069198241741001</v>
      </c>
      <c r="Z19" s="87">
        <f>Y19/$U$19</f>
        <v>0.94679183646530918</v>
      </c>
      <c r="AA19" s="31"/>
      <c r="AB19" s="952">
        <f>SUM(AB20,AB24,AB34)</f>
        <v>-1.7380851314320644</v>
      </c>
      <c r="AC19" s="87">
        <f>AB19/$U$19</f>
        <v>-0.12591474879199591</v>
      </c>
      <c r="AD19" s="178">
        <f>-AB19/$I$4*10000</f>
        <v>2.8998928896826182</v>
      </c>
      <c r="AE19" s="31"/>
      <c r="AF19" s="88">
        <f>SUM(AF20,AF24,AF34)</f>
        <v>2.4725528470705318</v>
      </c>
      <c r="AG19" s="88">
        <f>SUM(AG20,AG24,,AG34)</f>
        <v>0</v>
      </c>
      <c r="AH19" s="952">
        <f>SUM(AF19:AG19)</f>
        <v>2.4725528470705318</v>
      </c>
      <c r="AI19" s="87">
        <f>AH19/$U$19</f>
        <v>0.1791229123266849</v>
      </c>
      <c r="AJ19" s="280">
        <f>-AH19/$I$4*10000</f>
        <v>-4.1253091065088618</v>
      </c>
      <c r="AK19" s="115"/>
      <c r="AL19" s="179">
        <f>Y19+AB19+AH19-U19</f>
        <v>-2.6645352591003757E-14</v>
      </c>
      <c r="AM19" s="17"/>
      <c r="AN19" s="185">
        <f t="shared" ref="AN19:AN30" si="58">B19*(I$4/B$4)</f>
        <v>5569.5840867999432</v>
      </c>
      <c r="AO19" s="186">
        <f t="shared" ref="AO19:AO34" si="59">J19-C19</f>
        <v>0</v>
      </c>
      <c r="AP19" s="209">
        <f t="shared" ref="AP19:AP30" si="60">O19-G19</f>
        <v>3.8030376994114407E-5</v>
      </c>
      <c r="AQ19" s="366">
        <f t="shared" si="9"/>
        <v>3.8030376994114407E-5</v>
      </c>
      <c r="AR19" s="211"/>
    </row>
    <row r="20" spans="1:44">
      <c r="A20" s="478" t="s">
        <v>36</v>
      </c>
      <c r="B20" s="25">
        <f>SUM(B21:B23)</f>
        <v>1402.8548728877113</v>
      </c>
      <c r="C20" s="26">
        <f t="shared" si="50"/>
        <v>0.27888683124731101</v>
      </c>
      <c r="D20" s="25">
        <f>SUM(D21:D23)</f>
        <v>20.441984777800002</v>
      </c>
      <c r="E20" s="24">
        <f t="shared" si="51"/>
        <v>0.33728887235162641</v>
      </c>
      <c r="F20" s="261">
        <f>SUMPRODUCT($B21:$B22,F21:F22)/$B20</f>
        <v>2.0495846801441803E-2</v>
      </c>
      <c r="G20" s="260">
        <f t="shared" ref="G20:G34" si="61">D20/B20/182*366</f>
        <v>2.9303534916865846E-2</v>
      </c>
      <c r="H20" s="25"/>
      <c r="I20" s="25">
        <f>SUM(I21:I23)</f>
        <v>1595.472637775428</v>
      </c>
      <c r="J20" s="261">
        <f t="shared" si="52"/>
        <v>0.28535826387868596</v>
      </c>
      <c r="K20" s="646">
        <f>SUM(K21:K23)</f>
        <v>28.122507041800002</v>
      </c>
      <c r="L20" s="24">
        <f>K20/K$19</f>
        <v>0.41796727785410659</v>
      </c>
      <c r="M20" s="158">
        <f>SUM(M21:M23)</f>
        <v>56.711132984845307</v>
      </c>
      <c r="N20" s="261">
        <f>SUMPRODUCT($I21:$I22,N21:N22)/$I20</f>
        <v>8.0930041254995092E-3</v>
      </c>
      <c r="O20" s="260">
        <f t="shared" si="31"/>
        <v>3.5545036399945912E-2</v>
      </c>
      <c r="P20" s="27"/>
      <c r="Q20" s="28">
        <f t="shared" si="53"/>
        <v>192.6177648877167</v>
      </c>
      <c r="R20" s="24">
        <f t="shared" si="54"/>
        <v>0.1373041278968665</v>
      </c>
      <c r="S20" s="24">
        <f t="shared" si="55"/>
        <v>0.34339175480075496</v>
      </c>
      <c r="T20" s="29"/>
      <c r="U20" s="281">
        <f>M20-D20/'2016.06.30'!$D$1*'2016.06.30'!$E$1</f>
        <v>15.602526233884866</v>
      </c>
      <c r="V20" s="26">
        <f t="shared" si="56"/>
        <v>0.76325887155679772</v>
      </c>
      <c r="W20" s="24">
        <f t="shared" si="57"/>
        <v>1.1303175752049908</v>
      </c>
      <c r="X20" s="25"/>
      <c r="Y20" s="951">
        <f>SUM(Y21:Y23)</f>
        <v>4.4080951374966801</v>
      </c>
      <c r="Z20" s="24">
        <f>Y20/$U$19</f>
        <v>0.31934235087310958</v>
      </c>
      <c r="AA20" s="25"/>
      <c r="AB20" s="951">
        <f>SUM(AB21:AB23)</f>
        <v>1.5620462040149299</v>
      </c>
      <c r="AC20" s="24">
        <f>AB20/$U$19</f>
        <v>0.11316169261397216</v>
      </c>
      <c r="AD20" s="178">
        <f t="shared" ref="AD20:AD34" si="62">-AB20/$I$4*10000</f>
        <v>-2.6061822855859758</v>
      </c>
      <c r="AE20" s="25">
        <f t="shared" ref="AE20" si="63">SUM(AE21:AE22)</f>
        <v>0</v>
      </c>
      <c r="AF20" s="25">
        <f>SUM(AF21:AF23)</f>
        <v>9.6323848923732456</v>
      </c>
      <c r="AG20" s="25">
        <f>SUM(AG21:AG22)</f>
        <v>0</v>
      </c>
      <c r="AH20" s="951">
        <f t="shared" si="28"/>
        <v>9.6323848923732456</v>
      </c>
      <c r="AI20" s="24">
        <f>AH20/$U$19</f>
        <v>0.69781353171790828</v>
      </c>
      <c r="AJ20" s="178">
        <f t="shared" ref="AJ20:AJ34" si="64">-AH20/$I$4*10000</f>
        <v>-16.071068070793885</v>
      </c>
      <c r="AK20" s="17"/>
      <c r="AL20" s="179">
        <f t="shared" si="21"/>
        <v>0</v>
      </c>
      <c r="AM20" s="17"/>
      <c r="AN20" s="185">
        <f t="shared" si="58"/>
        <v>1553.2836573330844</v>
      </c>
      <c r="AO20" s="186">
        <f t="shared" si="59"/>
        <v>6.4714326313749515E-3</v>
      </c>
      <c r="AP20" s="209">
        <f t="shared" si="60"/>
        <v>6.2415014830800655E-3</v>
      </c>
      <c r="AQ20" s="366">
        <f>O20-G20</f>
        <v>6.2415014830800655E-3</v>
      </c>
      <c r="AR20" s="211"/>
    </row>
    <row r="21" spans="1:44">
      <c r="A21" s="82" t="s">
        <v>37</v>
      </c>
      <c r="B21" s="21">
        <f>'2016.06.30'!G42</f>
        <v>798.83732075544003</v>
      </c>
      <c r="C21" s="10">
        <f t="shared" si="50"/>
        <v>0.15880845080502412</v>
      </c>
      <c r="D21" s="21">
        <f>'2016.06.30'!H42</f>
        <v>12.048164178100002</v>
      </c>
      <c r="E21" s="8">
        <f t="shared" si="51"/>
        <v>0.19879242420490406</v>
      </c>
      <c r="F21" s="162">
        <f t="shared" si="17"/>
        <v>3.0329987264288139E-2</v>
      </c>
      <c r="G21" s="260">
        <f t="shared" si="61"/>
        <v>3.0329987264288139E-2</v>
      </c>
      <c r="H21" s="9"/>
      <c r="I21" s="21">
        <f>'2017.06.30'!G42</f>
        <v>254.67044243339328</v>
      </c>
      <c r="J21" s="162">
        <f t="shared" si="52"/>
        <v>4.5549082819331309E-2</v>
      </c>
      <c r="K21" s="647">
        <f>'2017.06.30'!H42</f>
        <v>3.3144161313999998</v>
      </c>
      <c r="L21" s="8">
        <f t="shared" ref="L21:L27" si="65">K21/K$19</f>
        <v>4.9260099252812863E-2</v>
      </c>
      <c r="M21" s="157">
        <f>K21*365/'2017.06.30'!$D$1</f>
        <v>6.6837673368011048</v>
      </c>
      <c r="N21" s="162">
        <f t="shared" ref="N21:N22" si="66">O21</f>
        <v>2.6244770586398864E-2</v>
      </c>
      <c r="O21" s="260">
        <f t="shared" si="31"/>
        <v>2.6244770586398864E-2</v>
      </c>
      <c r="Q21" s="12">
        <f t="shared" si="53"/>
        <v>-544.16687832204673</v>
      </c>
      <c r="R21" s="8">
        <f t="shared" si="54"/>
        <v>-0.68119861726971143</v>
      </c>
      <c r="S21" s="8">
        <f t="shared" si="55"/>
        <v>-0.97012037991607292</v>
      </c>
      <c r="U21" s="632">
        <f>M21-D21/'2016.06.30'!$D$1*'2016.06.30'!$E$1</f>
        <v>-17.544958427949446</v>
      </c>
      <c r="V21" s="10">
        <f t="shared" si="56"/>
        <v>-1.4562350054824942</v>
      </c>
      <c r="W21" s="8">
        <f t="shared" si="57"/>
        <v>-1.2710361495360472</v>
      </c>
      <c r="Y21" s="951">
        <f>(I$4/B$4-1)*B21*G21</f>
        <v>2.5980576008901628</v>
      </c>
      <c r="Z21" s="8">
        <f>Y21/$U$19</f>
        <v>0.18821504438835185</v>
      </c>
      <c r="AB21" s="951">
        <f>((I21-B21)-(I$4/B$4-1)*B21)*G21</f>
        <v>-19.102632090045276</v>
      </c>
      <c r="AC21" s="8">
        <f>AB21/$U$19</f>
        <v>-1.3838810754351045</v>
      </c>
      <c r="AD21" s="178">
        <f t="shared" si="62"/>
        <v>31.871618927263413</v>
      </c>
      <c r="AF21" s="9">
        <f>I21*(N21-F21)</f>
        <v>-1.0403839387943388</v>
      </c>
      <c r="AG21" s="9">
        <f>I21*((O21-N21)-(G21-F21))</f>
        <v>0</v>
      </c>
      <c r="AH21" s="951">
        <f t="shared" si="28"/>
        <v>-1.0403839387943388</v>
      </c>
      <c r="AI21" s="8">
        <f>AH21/$U$19</f>
        <v>-7.5370118489294896E-2</v>
      </c>
      <c r="AJ21" s="178">
        <f t="shared" si="64"/>
        <v>1.735819455611989</v>
      </c>
      <c r="AK21" s="17"/>
      <c r="AL21" s="179">
        <f t="shared" si="21"/>
        <v>0</v>
      </c>
      <c r="AM21" s="17"/>
      <c r="AN21" s="185">
        <f t="shared" si="58"/>
        <v>884.49702045301399</v>
      </c>
      <c r="AO21" s="186">
        <f t="shared" si="59"/>
        <v>-0.1132593679856928</v>
      </c>
      <c r="AP21" s="209">
        <f t="shared" si="60"/>
        <v>-4.0852166778892751E-3</v>
      </c>
      <c r="AQ21" s="366">
        <f>O21-G21</f>
        <v>-4.0852166778892751E-3</v>
      </c>
      <c r="AR21" s="211"/>
    </row>
    <row r="22" spans="1:44">
      <c r="A22" s="82" t="s">
        <v>38</v>
      </c>
      <c r="B22" s="21">
        <f>'2016.06.30'!G43</f>
        <v>202.36599429224157</v>
      </c>
      <c r="C22" s="10">
        <f t="shared" si="50"/>
        <v>4.0230256166271364E-2</v>
      </c>
      <c r="D22" s="21">
        <f>'2016.06.30'!H43</f>
        <v>2.2496258159</v>
      </c>
      <c r="E22" s="8">
        <f t="shared" si="51"/>
        <v>3.7118399358268127E-2</v>
      </c>
      <c r="F22" s="162">
        <f t="shared" si="17"/>
        <v>2.23554002263785E-2</v>
      </c>
      <c r="G22" s="260">
        <f t="shared" si="61"/>
        <v>2.23554002263785E-2</v>
      </c>
      <c r="H22" s="9"/>
      <c r="I22" s="21">
        <f>'2017.06.30'!G43</f>
        <v>225.06149695025405</v>
      </c>
      <c r="J22" s="162">
        <f t="shared" si="52"/>
        <v>4.0253374777526239E-2</v>
      </c>
      <c r="K22" s="647">
        <f>'2017.06.30'!H43</f>
        <v>3.0886034899000001</v>
      </c>
      <c r="L22" s="8">
        <f t="shared" si="65"/>
        <v>4.5903986836074391E-2</v>
      </c>
      <c r="M22" s="157">
        <f>K22*365/'2017.06.30'!$D$1</f>
        <v>6.2283993028370173</v>
      </c>
      <c r="N22" s="162">
        <f t="shared" si="66"/>
        <v>2.7674210770106525E-2</v>
      </c>
      <c r="O22" s="260">
        <f t="shared" si="31"/>
        <v>2.7674210770106525E-2</v>
      </c>
      <c r="Q22" s="12">
        <f t="shared" si="53"/>
        <v>22.695502658012487</v>
      </c>
      <c r="R22" s="8">
        <f t="shared" si="54"/>
        <v>0.11215077284791915</v>
      </c>
      <c r="S22" s="8">
        <f t="shared" si="55"/>
        <v>4.0460694206285529E-2</v>
      </c>
      <c r="U22" s="632">
        <f>M22-D22/'2016.06.30'!$D$1*'2016.06.30'!$E$1</f>
        <v>1.7044265082249295</v>
      </c>
      <c r="V22" s="10">
        <f t="shared" si="56"/>
        <v>0.75764889261952462</v>
      </c>
      <c r="W22" s="8">
        <f t="shared" si="57"/>
        <v>0.12347636587900307</v>
      </c>
      <c r="Y22" s="951">
        <f>(I$4/B$4-1)*B22*G22</f>
        <v>0.48510771962931798</v>
      </c>
      <c r="Z22" s="8">
        <f t="shared" ref="Z22:Z33" si="67">Y22/$U$19</f>
        <v>3.5143397495067424E-2</v>
      </c>
      <c r="AB22" s="951">
        <f>((I22-B22)-(I$4/B$4-1)*B22)*G22</f>
        <v>2.2259325629388194E-2</v>
      </c>
      <c r="AC22" s="8">
        <f t="shared" ref="AC22:AC30" si="68">AB22/$U$19</f>
        <v>1.6125662340798874E-3</v>
      </c>
      <c r="AD22" s="178">
        <f t="shared" si="62"/>
        <v>-3.7138376569971772E-2</v>
      </c>
      <c r="AF22" s="9">
        <f>I22*(N22-F22)</f>
        <v>1.1970594629662239</v>
      </c>
      <c r="AG22" s="9">
        <f>I22*((O22-N22)-(G22-F22))</f>
        <v>0</v>
      </c>
      <c r="AH22" s="951">
        <f t="shared" si="28"/>
        <v>1.1970594629662239</v>
      </c>
      <c r="AI22" s="8">
        <f t="shared" ref="AI22:AI34" si="69">AH22/$U$19</f>
        <v>8.6720402149855796E-2</v>
      </c>
      <c r="AJ22" s="178">
        <f t="shared" si="64"/>
        <v>-1.9972233594351578</v>
      </c>
      <c r="AK22" s="17"/>
      <c r="AL22" s="179">
        <f t="shared" si="21"/>
        <v>0</v>
      </c>
      <c r="AM22" s="17"/>
      <c r="AN22" s="185">
        <f t="shared" si="58"/>
        <v>224.06579455155025</v>
      </c>
      <c r="AO22" s="186">
        <f t="shared" si="59"/>
        <v>2.3118611254875632E-5</v>
      </c>
      <c r="AP22" s="209">
        <f t="shared" si="60"/>
        <v>5.3188105437280246E-3</v>
      </c>
      <c r="AQ22" s="366">
        <f t="shared" si="9"/>
        <v>5.3188105437280246E-3</v>
      </c>
      <c r="AR22" s="211"/>
    </row>
    <row r="23" spans="1:44">
      <c r="A23" s="82" t="s">
        <v>4384</v>
      </c>
      <c r="B23" s="21">
        <f>'2016.06.30'!G45</f>
        <v>401.65155784002962</v>
      </c>
      <c r="C23" s="10">
        <f t="shared" ref="C23" si="70">B23/B$19</f>
        <v>7.9848124276015522E-2</v>
      </c>
      <c r="D23" s="21">
        <f>'2016.06.30'!H45</f>
        <v>6.1441947837999997</v>
      </c>
      <c r="E23" s="8">
        <f t="shared" ref="E23" si="71">D23/D$19</f>
        <v>0.1013780487884542</v>
      </c>
      <c r="F23" s="162">
        <f t="shared" ref="F23" si="72">G23</f>
        <v>3.0762754308845307E-2</v>
      </c>
      <c r="G23" s="260">
        <f t="shared" ref="G23" si="73">D23/B23/182*366</f>
        <v>3.0762754308845307E-2</v>
      </c>
      <c r="H23" s="9"/>
      <c r="I23" s="21">
        <f>'2017.06.30'!G45</f>
        <v>1115.7406983917806</v>
      </c>
      <c r="J23" s="162">
        <f t="shared" ref="J23" si="74">I23/I$19</f>
        <v>0.19955580628182842</v>
      </c>
      <c r="K23" s="647">
        <f>'2017.06.30'!H45</f>
        <v>21.719487420500002</v>
      </c>
      <c r="L23" s="8">
        <f t="shared" ref="L23" si="75">K23/K$19</f>
        <v>0.32280319176521932</v>
      </c>
      <c r="M23" s="157">
        <f>K23*365/'2017.06.30'!$D$1</f>
        <v>43.798966345207184</v>
      </c>
      <c r="N23" s="162">
        <f t="shared" ref="N23" si="76">O23</f>
        <v>3.9255506596056457E-2</v>
      </c>
      <c r="O23" s="260">
        <f t="shared" ref="O23" si="77">M23/I23</f>
        <v>3.9255506596056457E-2</v>
      </c>
      <c r="Q23" s="12">
        <f t="shared" ref="Q23" si="78">I23-B23</f>
        <v>714.08914055175092</v>
      </c>
      <c r="R23" s="8">
        <f t="shared" ref="R23" si="79">Q23/B23</f>
        <v>1.7778821633156952</v>
      </c>
      <c r="S23" s="8">
        <f t="shared" ref="S23" si="80">Q23/Q$19</f>
        <v>1.2730514405105424</v>
      </c>
      <c r="U23" s="632">
        <f>M23-D23/'2016.06.30'!$D$1*'2016.06.30'!$E$1</f>
        <v>31.443058153609385</v>
      </c>
      <c r="V23" s="10">
        <f t="shared" ref="V23" si="81">U23/D23</f>
        <v>5.117523005050761</v>
      </c>
      <c r="W23" s="8">
        <f t="shared" ref="W23" si="82">U23/U$19</f>
        <v>2.2778773588620349</v>
      </c>
      <c r="Y23" s="951">
        <f>(I$4/B$4-1)*B23*G23</f>
        <v>1.3249298169771988</v>
      </c>
      <c r="Z23" s="8">
        <f>Y23/$U$19</f>
        <v>9.5983908989690253E-2</v>
      </c>
      <c r="AB23" s="951">
        <f>((I23-B23)-(I$4/B$4-1)*B23)*G23</f>
        <v>20.642418968430817</v>
      </c>
      <c r="AC23" s="8">
        <f>AB23/$U$19</f>
        <v>1.4954302018149968</v>
      </c>
      <c r="AD23" s="178">
        <f t="shared" ref="AD23" si="83">-AB23/$I$4*10000</f>
        <v>-34.440662836279415</v>
      </c>
      <c r="AF23" s="9">
        <f>I23*(N23-F23)</f>
        <v>9.4757093682013611</v>
      </c>
      <c r="AG23" s="9">
        <f>I23*((O23-N23)-(G23-F23))</f>
        <v>0</v>
      </c>
      <c r="AH23" s="951">
        <f t="shared" ref="AH23" si="84">SUM(AF23:AG23)</f>
        <v>9.4757093682013611</v>
      </c>
      <c r="AI23" s="8">
        <f>AH23/$U$19</f>
        <v>0.68646324805734737</v>
      </c>
      <c r="AJ23" s="178">
        <f t="shared" ref="AJ23" si="85">-AH23/$I$4*10000</f>
        <v>-15.809664166970716</v>
      </c>
      <c r="AK23" s="17"/>
      <c r="AL23" s="179">
        <f t="shared" ref="AL23" si="86">Y23+AB23+AH23-U23</f>
        <v>0</v>
      </c>
      <c r="AM23" s="17"/>
      <c r="AN23" s="185">
        <f t="shared" ref="AN23" si="87">B23*(I$4/B$4)</f>
        <v>444.72084232852023</v>
      </c>
      <c r="AO23" s="186">
        <f t="shared" ref="AO23" si="88">J23-C23</f>
        <v>0.1197076820058129</v>
      </c>
      <c r="AP23" s="209">
        <f t="shared" ref="AP23" si="89">O23-G23</f>
        <v>8.4927522872111499E-3</v>
      </c>
      <c r="AQ23" s="366">
        <f>O23-G23</f>
        <v>8.4927522872111499E-3</v>
      </c>
      <c r="AR23" s="211"/>
    </row>
    <row r="24" spans="1:44">
      <c r="A24" s="479" t="s">
        <v>39</v>
      </c>
      <c r="B24" s="43">
        <f>SUM(B25,B28,B31)</f>
        <v>3551.3950394711728</v>
      </c>
      <c r="C24" s="44">
        <f t="shared" si="50"/>
        <v>0.7060155175045052</v>
      </c>
      <c r="D24" s="43">
        <f>SUM(D25,D28,D31)</f>
        <v>37.8356472336</v>
      </c>
      <c r="E24" s="42">
        <f t="shared" si="51"/>
        <v>0.62428100445382939</v>
      </c>
      <c r="F24" s="241">
        <f>($B25*F25+$B28*F28+B31*F31)/$B24</f>
        <v>2.1424558508635033E-2</v>
      </c>
      <c r="G24" s="260">
        <f t="shared" si="61"/>
        <v>2.1424558508635037E-2</v>
      </c>
      <c r="H24" s="43" t="e">
        <f>($B25*H25+$B28*H28+#REF!*#REF!)/$B24</f>
        <v>#REF!</v>
      </c>
      <c r="I24" s="43">
        <f>SUM(I25,I28,I31)</f>
        <v>3919.8902196483955</v>
      </c>
      <c r="J24" s="241">
        <f t="shared" si="52"/>
        <v>0.70109197813228363</v>
      </c>
      <c r="K24" s="649">
        <f>SUM(K25,K28,K31)</f>
        <v>36.859539958500001</v>
      </c>
      <c r="L24" s="42">
        <f t="shared" si="65"/>
        <v>0.54782034747151176</v>
      </c>
      <c r="M24" s="43">
        <f>SUM(M25,M28,M31)</f>
        <v>74.330011518522099</v>
      </c>
      <c r="N24" s="241">
        <f>($I25*N25+$I28*N28+I31*N31)/$I24</f>
        <v>1.8962268674246011E-2</v>
      </c>
      <c r="O24" s="260">
        <f t="shared" si="31"/>
        <v>1.8962268674246014E-2</v>
      </c>
      <c r="P24" s="45"/>
      <c r="Q24" s="46">
        <f t="shared" si="53"/>
        <v>368.49518017722266</v>
      </c>
      <c r="R24" s="42">
        <f t="shared" si="54"/>
        <v>0.10376068448642484</v>
      </c>
      <c r="S24" s="42">
        <f t="shared" si="55"/>
        <v>0.65693943977825819</v>
      </c>
      <c r="T24" s="47"/>
      <c r="U24" s="380">
        <f>M24-D24/'2016.06.30'!$D$1*'2016.06.30'!$E$1</f>
        <v>-1.7570592919042696</v>
      </c>
      <c r="V24" s="44">
        <f t="shared" si="56"/>
        <v>-4.6439255579693389E-2</v>
      </c>
      <c r="W24" s="42">
        <f t="shared" si="57"/>
        <v>-0.12728932280231969</v>
      </c>
      <c r="X24" s="43"/>
      <c r="Y24" s="951">
        <f>SUM(Y25,Y28,Y31)</f>
        <v>8.1588522057602937</v>
      </c>
      <c r="Z24" s="42">
        <f>Y24/$U$19</f>
        <v>0.59106415867724904</v>
      </c>
      <c r="AA24" s="43"/>
      <c r="AB24" s="951">
        <f>SUM(AB25,AB28,AB31)</f>
        <v>-2.7864227199799085</v>
      </c>
      <c r="AC24" s="42">
        <f t="shared" si="68"/>
        <v>-0.20186106564613557</v>
      </c>
      <c r="AD24" s="178">
        <f t="shared" si="62"/>
        <v>4.6489825424501472</v>
      </c>
      <c r="AE24" s="43"/>
      <c r="AF24" s="43">
        <f>SUM(AF25,AF28,AF31)</f>
        <v>-7.1294887776846743</v>
      </c>
      <c r="AG24" s="43">
        <f>SUM(AG25,AG28,AG31)</f>
        <v>0</v>
      </c>
      <c r="AH24" s="951">
        <f>SUM(AH25,AH28,AH31)</f>
        <v>-7.1294887776846743</v>
      </c>
      <c r="AI24" s="42">
        <f t="shared" si="69"/>
        <v>-0.51649241583343464</v>
      </c>
      <c r="AJ24" s="178">
        <f t="shared" si="64"/>
        <v>11.895133005622807</v>
      </c>
      <c r="AK24" s="17"/>
      <c r="AL24" s="179">
        <f>Y24+AB24+AH24-U24</f>
        <v>-1.9539925233402755E-14</v>
      </c>
      <c r="AM24" s="17"/>
      <c r="AN24" s="185">
        <f t="shared" si="58"/>
        <v>3932.2127913269192</v>
      </c>
      <c r="AO24" s="186">
        <f t="shared" si="59"/>
        <v>-4.9235393722215637E-3</v>
      </c>
      <c r="AP24" s="209">
        <f t="shared" si="60"/>
        <v>-2.4622898343890226E-3</v>
      </c>
      <c r="AQ24" s="366">
        <f t="shared" si="9"/>
        <v>-2.4622898343890226E-3</v>
      </c>
      <c r="AR24" s="211"/>
    </row>
    <row r="25" spans="1:44">
      <c r="A25" s="176" t="s">
        <v>40</v>
      </c>
      <c r="B25" s="128">
        <f>B26+B27</f>
        <v>1473.7653621626832</v>
      </c>
      <c r="C25" s="288">
        <f t="shared" si="50"/>
        <v>0.29298380024837767</v>
      </c>
      <c r="D25" s="128">
        <f>SUM(D26:D27)</f>
        <v>16.496833754500003</v>
      </c>
      <c r="E25" s="127">
        <f t="shared" si="51"/>
        <v>0.27219462859938498</v>
      </c>
      <c r="F25" s="263">
        <f>SUMPRODUCT($B26:$B27,F26:F27)/$B25</f>
        <v>2.2510334581163836E-2</v>
      </c>
      <c r="G25" s="260">
        <f t="shared" si="61"/>
        <v>2.2510334581163836E-2</v>
      </c>
      <c r="H25" s="128"/>
      <c r="I25" s="128">
        <f>SUM(I26:I27)</f>
        <v>1621.7217021591546</v>
      </c>
      <c r="J25" s="263">
        <f t="shared" si="52"/>
        <v>0.29005304037540103</v>
      </c>
      <c r="K25" s="651">
        <f>SUM(K26:K27)</f>
        <v>16.145037955899998</v>
      </c>
      <c r="L25" s="127">
        <f>K25/K$19</f>
        <v>0.23995362700945153</v>
      </c>
      <c r="M25" s="161">
        <f>SUM(M26:M27)</f>
        <v>32.557673225986186</v>
      </c>
      <c r="N25" s="263">
        <f>SUMPRODUCT($I26:$I27,N26:N27)/$I25</f>
        <v>2.0075992806064695E-2</v>
      </c>
      <c r="O25" s="260">
        <f t="shared" si="31"/>
        <v>2.0075992806064698E-2</v>
      </c>
      <c r="P25" s="129"/>
      <c r="Q25" s="130">
        <f t="shared" si="53"/>
        <v>147.95633999647134</v>
      </c>
      <c r="R25" s="127">
        <f t="shared" si="54"/>
        <v>0.10039341661507921</v>
      </c>
      <c r="S25" s="127">
        <f t="shared" si="55"/>
        <v>0.26377103511144212</v>
      </c>
      <c r="T25" s="131"/>
      <c r="U25" s="633">
        <f>M25-D25/'2016.06.30'!$D$1*'2016.06.30'!$E$1</f>
        <v>-0.61727817042591226</v>
      </c>
      <c r="V25" s="288">
        <f t="shared" si="56"/>
        <v>-3.7417978480720961E-2</v>
      </c>
      <c r="W25" s="127">
        <f t="shared" si="57"/>
        <v>-4.4718422796656637E-2</v>
      </c>
      <c r="X25" s="128"/>
      <c r="Y25" s="951">
        <f>SUM(Y26:Y27)</f>
        <v>3.5573655615024262</v>
      </c>
      <c r="Z25" s="127">
        <f>Y25/$U$19</f>
        <v>0.2577116522876044</v>
      </c>
      <c r="AA25" s="128"/>
      <c r="AB25" s="951">
        <f>SUM(AB26:AB27)</f>
        <v>-3.0807361106074067</v>
      </c>
      <c r="AC25" s="127">
        <f>AB25/$U$19</f>
        <v>-0.22318245892935659</v>
      </c>
      <c r="AD25" s="178">
        <f t="shared" si="62"/>
        <v>5.1400271370931359</v>
      </c>
      <c r="AE25" s="128"/>
      <c r="AF25" s="128">
        <f>SUM(AF26:AF27)</f>
        <v>-1.0939076213209342</v>
      </c>
      <c r="AG25" s="128">
        <f>SUM(AG26:AG27)</f>
        <v>0</v>
      </c>
      <c r="AH25" s="951">
        <f t="shared" si="28"/>
        <v>-1.0939076213209342</v>
      </c>
      <c r="AI25" s="127">
        <f t="shared" si="69"/>
        <v>-7.9247616154904624E-2</v>
      </c>
      <c r="AJ25" s="178">
        <f t="shared" si="64"/>
        <v>1.8251205741714807</v>
      </c>
      <c r="AK25" s="17"/>
      <c r="AL25" s="179">
        <f t="shared" si="21"/>
        <v>-2.4424906541753444E-15</v>
      </c>
      <c r="AM25" s="17"/>
      <c r="AN25" s="185">
        <f t="shared" si="58"/>
        <v>1631.7979115535375</v>
      </c>
      <c r="AO25" s="186">
        <f t="shared" si="59"/>
        <v>-2.9307598729766404E-3</v>
      </c>
      <c r="AP25" s="209">
        <f t="shared" si="60"/>
        <v>-2.4343417750991372E-3</v>
      </c>
      <c r="AQ25" s="366">
        <f t="shared" si="9"/>
        <v>-2.4343417750991372E-3</v>
      </c>
      <c r="AR25" s="211"/>
    </row>
    <row r="26" spans="1:44" s="149" customFormat="1">
      <c r="A26" s="173" t="s">
        <v>41</v>
      </c>
      <c r="B26" s="174">
        <f>'2016.06.30'!G5</f>
        <v>582.67659066763372</v>
      </c>
      <c r="C26" s="289">
        <f t="shared" si="50"/>
        <v>0.11583580821783974</v>
      </c>
      <c r="D26" s="174">
        <f>'2016.06.30'!H5</f>
        <v>1.4903467576760003</v>
      </c>
      <c r="E26" s="143">
        <f t="shared" si="51"/>
        <v>2.459043888220426E-2</v>
      </c>
      <c r="F26" s="264">
        <f t="shared" ref="F26:F27" si="90">G26</f>
        <v>5.1436268424916139E-3</v>
      </c>
      <c r="G26" s="260">
        <f t="shared" si="61"/>
        <v>5.1436268424916139E-3</v>
      </c>
      <c r="H26" s="144"/>
      <c r="I26" s="174">
        <f>'2017.06.30'!G5</f>
        <v>740.5346114992301</v>
      </c>
      <c r="J26" s="264">
        <f t="shared" si="52"/>
        <v>0.13244832037617288</v>
      </c>
      <c r="K26" s="648">
        <f>'2017.06.30'!H5</f>
        <v>1.6715025943999999</v>
      </c>
      <c r="L26" s="143">
        <f t="shared" si="65"/>
        <v>2.4842500288791047E-2</v>
      </c>
      <c r="M26" s="157">
        <f>K26*365/'2017.06.30'!$D$1</f>
        <v>3.3707096516906074</v>
      </c>
      <c r="N26" s="264">
        <f t="shared" ref="N26:N27" si="91">O26</f>
        <v>4.5517246585767609E-3</v>
      </c>
      <c r="O26" s="260">
        <f t="shared" si="31"/>
        <v>4.5517246585767609E-3</v>
      </c>
      <c r="P26" s="145"/>
      <c r="Q26" s="146">
        <f t="shared" si="53"/>
        <v>157.85802083159638</v>
      </c>
      <c r="R26" s="143">
        <f t="shared" si="54"/>
        <v>0.27091876241453577</v>
      </c>
      <c r="S26" s="143">
        <f t="shared" si="55"/>
        <v>0.28142338176509918</v>
      </c>
      <c r="T26" s="147"/>
      <c r="U26" s="471">
        <f>M26-D26/'2016.06.30'!$D$1*'2016.06.30'!$E$1</f>
        <v>0.37363869944106831</v>
      </c>
      <c r="V26" s="289">
        <f t="shared" si="56"/>
        <v>0.25070588271934025</v>
      </c>
      <c r="W26" s="143">
        <f t="shared" si="57"/>
        <v>2.7068077465415598E-2</v>
      </c>
      <c r="X26" s="144"/>
      <c r="Y26" s="951">
        <f>(I$4/B$4-1)*B26*G26</f>
        <v>0.32137732060294338</v>
      </c>
      <c r="Z26" s="143">
        <f t="shared" si="67"/>
        <v>2.3282026788770109E-2</v>
      </c>
      <c r="AA26" s="144"/>
      <c r="AB26" s="951">
        <f>((I26-B26)-(I$4/B$4-1)*B26)*G26</f>
        <v>0.49058543264905607</v>
      </c>
      <c r="AC26" s="143">
        <f>AB26/$U$19</f>
        <v>3.5540227803526871E-2</v>
      </c>
      <c r="AD26" s="178">
        <f t="shared" si="62"/>
        <v>-0.81851296130052342</v>
      </c>
      <c r="AE26" s="144"/>
      <c r="AF26" s="144">
        <f>I26*(N26-F26)</f>
        <v>-0.43832405381093154</v>
      </c>
      <c r="AG26" s="144">
        <f>I26*((O26-N26)-(G26-F26))</f>
        <v>0</v>
      </c>
      <c r="AH26" s="951">
        <f t="shared" si="28"/>
        <v>-0.43832405381093154</v>
      </c>
      <c r="AI26" s="143">
        <f t="shared" si="69"/>
        <v>-3.175417712688141E-2</v>
      </c>
      <c r="AJ26" s="178">
        <f t="shared" si="64"/>
        <v>0.73131792225613657</v>
      </c>
      <c r="AK26" s="148"/>
      <c r="AL26" s="180">
        <f t="shared" si="21"/>
        <v>0</v>
      </c>
      <c r="AM26" s="148"/>
      <c r="AN26" s="185">
        <f t="shared" si="58"/>
        <v>645.15727413169031</v>
      </c>
      <c r="AO26" s="186">
        <f t="shared" si="59"/>
        <v>1.6612512158333134E-2</v>
      </c>
      <c r="AP26" s="209">
        <f t="shared" si="60"/>
        <v>-5.9190218391485302E-4</v>
      </c>
      <c r="AQ26" s="366">
        <f>O26-G26</f>
        <v>-5.9190218391485302E-4</v>
      </c>
      <c r="AR26" s="211"/>
    </row>
    <row r="27" spans="1:44" s="149" customFormat="1">
      <c r="A27" s="173" t="s">
        <v>42</v>
      </c>
      <c r="B27" s="174">
        <f>'2016.06.30'!G6</f>
        <v>891.08877149504963</v>
      </c>
      <c r="C27" s="289">
        <f t="shared" si="50"/>
        <v>0.17714799203053794</v>
      </c>
      <c r="D27" s="174">
        <f>'2016.06.30'!H6</f>
        <v>15.006486996824002</v>
      </c>
      <c r="E27" s="143">
        <f t="shared" si="51"/>
        <v>0.24760418971718071</v>
      </c>
      <c r="F27" s="264">
        <f t="shared" si="90"/>
        <v>3.3866300877667614E-2</v>
      </c>
      <c r="G27" s="260">
        <f t="shared" si="61"/>
        <v>3.3866300877667614E-2</v>
      </c>
      <c r="H27" s="144"/>
      <c r="I27" s="174">
        <f>'2017.06.30'!G6</f>
        <v>881.18709065992459</v>
      </c>
      <c r="J27" s="264">
        <f t="shared" si="52"/>
        <v>0.15760471999922818</v>
      </c>
      <c r="K27" s="648">
        <f>'2017.06.30'!H6</f>
        <v>14.473535361499998</v>
      </c>
      <c r="L27" s="143">
        <f t="shared" si="65"/>
        <v>0.21511112672066049</v>
      </c>
      <c r="M27" s="157">
        <f>K27*365/'2017.06.30'!$D$1</f>
        <v>29.186963574295575</v>
      </c>
      <c r="N27" s="264">
        <f t="shared" si="91"/>
        <v>3.3122323152098537E-2</v>
      </c>
      <c r="O27" s="260">
        <f t="shared" si="31"/>
        <v>3.3122323152098537E-2</v>
      </c>
      <c r="P27" s="145"/>
      <c r="Q27" s="146">
        <f t="shared" si="53"/>
        <v>-9.9016808351250347</v>
      </c>
      <c r="R27" s="143">
        <f t="shared" si="54"/>
        <v>-1.1111890478108266E-2</v>
      </c>
      <c r="S27" s="143">
        <f t="shared" si="55"/>
        <v>-1.7652346653657072E-2</v>
      </c>
      <c r="T27" s="147"/>
      <c r="U27" s="471">
        <f>M27-D27/'2016.06.30'!$D$1*'2016.06.30'!$E$1</f>
        <v>-0.9909168698669788</v>
      </c>
      <c r="V27" s="289">
        <f t="shared" si="56"/>
        <v>-6.6032567787297464E-2</v>
      </c>
      <c r="W27" s="143">
        <f t="shared" si="57"/>
        <v>-7.1786500262072103E-2</v>
      </c>
      <c r="X27" s="144"/>
      <c r="Y27" s="951">
        <f>(I$4/B$4-1)*B27*G27</f>
        <v>3.2359882408994829</v>
      </c>
      <c r="Z27" s="143">
        <f t="shared" si="67"/>
        <v>0.23442962549883431</v>
      </c>
      <c r="AA27" s="144"/>
      <c r="AB27" s="951">
        <f>((I27-B27)-(I$4/B$4-1)*B27)*G27</f>
        <v>-3.5713215432564627</v>
      </c>
      <c r="AC27" s="143">
        <f t="shared" si="68"/>
        <v>-0.25872268673288346</v>
      </c>
      <c r="AD27" s="178">
        <f t="shared" si="62"/>
        <v>5.9585400983936587</v>
      </c>
      <c r="AE27" s="144"/>
      <c r="AF27" s="144">
        <f>I27*(N27-F27)</f>
        <v>-0.65558356751000268</v>
      </c>
      <c r="AG27" s="144">
        <f>I27*((O27-N27)-(G27-F27))</f>
        <v>0</v>
      </c>
      <c r="AH27" s="951">
        <f t="shared" si="28"/>
        <v>-0.65558356751000268</v>
      </c>
      <c r="AI27" s="143">
        <f t="shared" si="69"/>
        <v>-4.7493439028023214E-2</v>
      </c>
      <c r="AJ27" s="178">
        <f t="shared" si="64"/>
        <v>1.0938026519153439</v>
      </c>
      <c r="AK27" s="148"/>
      <c r="AL27" s="180">
        <f t="shared" si="21"/>
        <v>-3.6637359812630166E-15</v>
      </c>
      <c r="AM27" s="148"/>
      <c r="AN27" s="185">
        <f t="shared" si="58"/>
        <v>986.64063742184726</v>
      </c>
      <c r="AO27" s="186">
        <f t="shared" si="59"/>
        <v>-1.9543272031309761E-2</v>
      </c>
      <c r="AP27" s="209">
        <f t="shared" si="60"/>
        <v>-7.4397772556907688E-4</v>
      </c>
      <c r="AQ27" s="366">
        <f>O27-G27</f>
        <v>-7.4397772556907688E-4</v>
      </c>
      <c r="AR27" s="211"/>
    </row>
    <row r="28" spans="1:44">
      <c r="A28" s="175" t="s">
        <v>43</v>
      </c>
      <c r="B28" s="101">
        <f>SUM(B29:B30)</f>
        <v>1767.3922590117866</v>
      </c>
      <c r="C28" s="97">
        <f t="shared" si="50"/>
        <v>0.35135667716804325</v>
      </c>
      <c r="D28" s="101">
        <f>SUM(D29:D30)</f>
        <v>15.548329911900002</v>
      </c>
      <c r="E28" s="94">
        <f t="shared" si="51"/>
        <v>0.25654449506444704</v>
      </c>
      <c r="F28" s="265">
        <f>SUMPRODUCT($B29:$B30,F29:F30)/$B28</f>
        <v>1.769133050834196E-2</v>
      </c>
      <c r="G28" s="260">
        <f t="shared" si="61"/>
        <v>1.769133050834196E-2</v>
      </c>
      <c r="H28" s="101"/>
      <c r="I28" s="101">
        <f>SUM(I29:I30)</f>
        <v>1869.1489832903458</v>
      </c>
      <c r="J28" s="265">
        <f t="shared" si="52"/>
        <v>0.33430664755619582</v>
      </c>
      <c r="K28" s="652">
        <f>SUM(K29:K30)</f>
        <v>13.7908988967</v>
      </c>
      <c r="L28" s="94">
        <f t="shared" ref="L28:L34" si="92">K28/K$19</f>
        <v>0.20496552680909072</v>
      </c>
      <c r="M28" s="160">
        <f>SUM(M29:M30)</f>
        <v>27.810376228151931</v>
      </c>
      <c r="N28" s="265">
        <f>SUMPRODUCT($I29:$I30,N29:N30)/$I28</f>
        <v>1.4878630048631058E-2</v>
      </c>
      <c r="O28" s="260">
        <f t="shared" si="31"/>
        <v>1.4878630048631058E-2</v>
      </c>
      <c r="P28" s="98"/>
      <c r="Q28" s="99">
        <f t="shared" si="53"/>
        <v>101.7567242785592</v>
      </c>
      <c r="R28" s="94">
        <f t="shared" si="54"/>
        <v>5.7574499243000586E-2</v>
      </c>
      <c r="S28" s="94">
        <f t="shared" si="55"/>
        <v>0.18140808628508451</v>
      </c>
      <c r="T28" s="100"/>
      <c r="U28" s="634">
        <f>M28-D28/'2016.06.30'!$D$1*'2016.06.30'!$E$1</f>
        <v>-3.4571443639107109</v>
      </c>
      <c r="V28" s="97">
        <f t="shared" si="56"/>
        <v>-0.22234827685671668</v>
      </c>
      <c r="W28" s="94">
        <f t="shared" si="57"/>
        <v>-0.25045117540406053</v>
      </c>
      <c r="X28" s="101"/>
      <c r="Y28" s="951">
        <f>SUM(Y29:Y30)</f>
        <v>3.3528308638246029</v>
      </c>
      <c r="Z28" s="94">
        <f t="shared" si="67"/>
        <v>0.24289423361713317</v>
      </c>
      <c r="AA28" s="101"/>
      <c r="AB28" s="951">
        <f>SUM(AB29:AB30)</f>
        <v>-2.9154552656097259</v>
      </c>
      <c r="AC28" s="94">
        <f t="shared" si="68"/>
        <v>-0.21120876690377399</v>
      </c>
      <c r="AD28" s="178">
        <f t="shared" si="62"/>
        <v>4.864265761230838</v>
      </c>
      <c r="AE28" s="101"/>
      <c r="AF28" s="101">
        <f>SUM(AF29:AF30)</f>
        <v>-3.8945199621255862</v>
      </c>
      <c r="AG28" s="101">
        <f>SUM(AG29:AG30)</f>
        <v>0</v>
      </c>
      <c r="AH28" s="951">
        <f t="shared" si="28"/>
        <v>-3.8945199621255862</v>
      </c>
      <c r="AI28" s="94">
        <f t="shared" si="69"/>
        <v>-0.28213664211741957</v>
      </c>
      <c r="AJ28" s="178">
        <f t="shared" si="64"/>
        <v>6.4977776650041124</v>
      </c>
      <c r="AK28" s="17"/>
      <c r="AL28" s="179">
        <f t="shared" si="21"/>
        <v>0</v>
      </c>
      <c r="AM28" s="17"/>
      <c r="AN28" s="185">
        <f t="shared" si="58"/>
        <v>1956.9105579460386</v>
      </c>
      <c r="AO28" s="186">
        <f t="shared" si="59"/>
        <v>-1.7050029611847428E-2</v>
      </c>
      <c r="AP28" s="209">
        <f t="shared" si="60"/>
        <v>-2.8127004597109026E-3</v>
      </c>
      <c r="AQ28" s="366">
        <f t="shared" si="9"/>
        <v>-2.8127004597109026E-3</v>
      </c>
      <c r="AR28" s="211"/>
    </row>
    <row r="29" spans="1:44">
      <c r="A29" s="173" t="s">
        <v>44</v>
      </c>
      <c r="B29" s="174">
        <f>'2016.06.30'!G7</f>
        <v>711.0903210713484</v>
      </c>
      <c r="C29" s="289">
        <f t="shared" si="50"/>
        <v>0.14136439214556942</v>
      </c>
      <c r="D29" s="174">
        <f>'2016.06.30'!H7</f>
        <v>1.1017260083999998</v>
      </c>
      <c r="E29" s="143">
        <f t="shared" si="51"/>
        <v>1.8178270214605188E-2</v>
      </c>
      <c r="F29" s="264">
        <f t="shared" ref="F29:F30" si="93">G29</f>
        <v>3.1157207887110095E-3</v>
      </c>
      <c r="G29" s="260">
        <f t="shared" si="61"/>
        <v>3.1157207887110095E-3</v>
      </c>
      <c r="H29" s="144"/>
      <c r="I29" s="174">
        <f>'2017.06.30'!G7</f>
        <v>807.91300701448915</v>
      </c>
      <c r="J29" s="264">
        <f t="shared" si="52"/>
        <v>0.1444992835277403</v>
      </c>
      <c r="K29" s="648">
        <f>'2017.06.30'!H7</f>
        <v>1.2424432240000001</v>
      </c>
      <c r="L29" s="143">
        <f t="shared" si="92"/>
        <v>1.84656585364774E-2</v>
      </c>
      <c r="M29" s="157">
        <f>K29*365/'2017.06.30'!$D$1</f>
        <v>2.5054794296132599</v>
      </c>
      <c r="N29" s="264">
        <f t="shared" ref="N29:N30" si="94">O29</f>
        <v>3.1011747649315E-3</v>
      </c>
      <c r="O29" s="260">
        <f t="shared" si="31"/>
        <v>3.1011747649315E-3</v>
      </c>
      <c r="P29" s="145"/>
      <c r="Q29" s="146">
        <f t="shared" si="53"/>
        <v>96.822685943140755</v>
      </c>
      <c r="R29" s="143">
        <f t="shared" si="54"/>
        <v>0.13616088290621789</v>
      </c>
      <c r="S29" s="143">
        <f t="shared" si="55"/>
        <v>0.17261186708255558</v>
      </c>
      <c r="T29" s="147"/>
      <c r="U29" s="471">
        <f>M29-D29/'2016.06.30'!$D$1*'2016.06.30'!$E$1</f>
        <v>0.28992053360007342</v>
      </c>
      <c r="V29" s="289">
        <f t="shared" si="56"/>
        <v>0.2631512112717711</v>
      </c>
      <c r="W29" s="143">
        <f t="shared" si="57"/>
        <v>2.1003154849968009E-2</v>
      </c>
      <c r="X29" s="144"/>
      <c r="Y29" s="951">
        <f>(I$4/B$4-1)*B29*G29</f>
        <v>0.23757541712661087</v>
      </c>
      <c r="Z29" s="143">
        <f t="shared" si="67"/>
        <v>1.7211037840248671E-2</v>
      </c>
      <c r="AA29" s="144"/>
      <c r="AB29" s="951">
        <f>((I29-B29)-(I$4/B$4-1)*B29)*G29</f>
        <v>6.4097038285269997E-2</v>
      </c>
      <c r="AC29" s="143">
        <f t="shared" si="68"/>
        <v>4.6434793831709228E-3</v>
      </c>
      <c r="AD29" s="178">
        <f t="shared" si="62"/>
        <v>-0.1069421412172262</v>
      </c>
      <c r="AE29" s="144"/>
      <c r="AF29" s="144">
        <f>I29*(N29-F29)</f>
        <v>-1.1751921811807738E-2</v>
      </c>
      <c r="AG29" s="144">
        <f>I29*((O29-N29)-(G29-F29))</f>
        <v>0</v>
      </c>
      <c r="AH29" s="951">
        <f t="shared" si="28"/>
        <v>-1.1751921811807738E-2</v>
      </c>
      <c r="AI29" s="143">
        <f t="shared" si="69"/>
        <v>-8.5136237345160572E-4</v>
      </c>
      <c r="AJ29" s="178">
        <f t="shared" si="64"/>
        <v>1.9607390849772862E-2</v>
      </c>
      <c r="AK29" s="17"/>
      <c r="AL29" s="179">
        <f t="shared" si="21"/>
        <v>0</v>
      </c>
      <c r="AM29" s="17"/>
      <c r="AN29" s="185">
        <f t="shared" si="58"/>
        <v>787.34086893411029</v>
      </c>
      <c r="AO29" s="186">
        <f t="shared" si="59"/>
        <v>3.134891382170879E-3</v>
      </c>
      <c r="AP29" s="209">
        <f t="shared" si="60"/>
        <v>-1.4546023779509441E-5</v>
      </c>
      <c r="AQ29" s="366">
        <f t="shared" si="9"/>
        <v>-1.4546023779509441E-5</v>
      </c>
      <c r="AR29" s="211"/>
    </row>
    <row r="30" spans="1:44">
      <c r="A30" s="173" t="s">
        <v>45</v>
      </c>
      <c r="B30" s="174">
        <f>'2016.06.30'!G8</f>
        <v>1056.3019379404382</v>
      </c>
      <c r="C30" s="289">
        <f t="shared" si="50"/>
        <v>0.20999228502247383</v>
      </c>
      <c r="D30" s="174">
        <f>'2016.06.30'!H8</f>
        <v>14.446603903500002</v>
      </c>
      <c r="E30" s="143">
        <f t="shared" si="51"/>
        <v>0.23836622484984185</v>
      </c>
      <c r="F30" s="264">
        <f t="shared" si="93"/>
        <v>2.7503463406206123E-2</v>
      </c>
      <c r="G30" s="260">
        <f t="shared" si="61"/>
        <v>2.7503463406206123E-2</v>
      </c>
      <c r="H30" s="144"/>
      <c r="I30" s="174">
        <f>'2017.06.30'!G8</f>
        <v>1061.2359762758565</v>
      </c>
      <c r="J30" s="264">
        <f t="shared" si="52"/>
        <v>0.18980736402845549</v>
      </c>
      <c r="K30" s="648">
        <f>'2017.06.30'!H8</f>
        <v>12.548455672699999</v>
      </c>
      <c r="L30" s="143">
        <f>K30/K$19</f>
        <v>0.18649986827261331</v>
      </c>
      <c r="M30" s="157">
        <f>K30*365/'2017.06.30'!$D$1</f>
        <v>25.304896798538671</v>
      </c>
      <c r="N30" s="264">
        <f t="shared" si="94"/>
        <v>2.3844740815647719E-2</v>
      </c>
      <c r="O30" s="260">
        <f t="shared" si="31"/>
        <v>2.3844740815647719E-2</v>
      </c>
      <c r="P30" s="145"/>
      <c r="Q30" s="146">
        <f t="shared" si="53"/>
        <v>4.9340383354183359</v>
      </c>
      <c r="R30" s="143">
        <f t="shared" si="54"/>
        <v>4.6710492125373272E-3</v>
      </c>
      <c r="S30" s="143">
        <f>Q30/Q$19</f>
        <v>8.7962192025287326E-3</v>
      </c>
      <c r="T30" s="147"/>
      <c r="U30" s="471">
        <f>M30-D30/'2016.06.30'!$D$1*'2016.06.30'!$E$1</f>
        <v>-3.7470648975107821</v>
      </c>
      <c r="V30" s="289">
        <f t="shared" si="56"/>
        <v>-0.2593734086253292</v>
      </c>
      <c r="W30" s="143">
        <f t="shared" si="57"/>
        <v>-0.27145433025402838</v>
      </c>
      <c r="X30" s="144"/>
      <c r="Y30" s="951">
        <f>(I$4/B$4-1)*B30*G30</f>
        <v>3.1152554466979923</v>
      </c>
      <c r="Z30" s="143">
        <f>Y30/$U$19</f>
        <v>0.2256831957768845</v>
      </c>
      <c r="AA30" s="144"/>
      <c r="AB30" s="951">
        <f>((I30-B30)-(I$4/B$4-1)*B30)*G30</f>
        <v>-2.9795523038949958</v>
      </c>
      <c r="AC30" s="143">
        <f t="shared" si="68"/>
        <v>-0.21585224628694491</v>
      </c>
      <c r="AD30" s="178">
        <f t="shared" si="62"/>
        <v>4.9712079024480644</v>
      </c>
      <c r="AE30" s="144"/>
      <c r="AF30" s="144">
        <f>I30*(N30-F30)</f>
        <v>-3.8827680403137785</v>
      </c>
      <c r="AG30" s="144">
        <f>I30*((O30-N30)-(G30-F30))</f>
        <v>0</v>
      </c>
      <c r="AH30" s="951">
        <f t="shared" si="28"/>
        <v>-3.8827680403137785</v>
      </c>
      <c r="AI30" s="143">
        <f t="shared" si="69"/>
        <v>-0.281285279743968</v>
      </c>
      <c r="AJ30" s="178">
        <f t="shared" si="64"/>
        <v>6.4781702741543397</v>
      </c>
      <c r="AK30" s="17"/>
      <c r="AL30" s="179">
        <f t="shared" si="21"/>
        <v>0</v>
      </c>
      <c r="AM30" s="17"/>
      <c r="AN30" s="185">
        <f t="shared" si="58"/>
        <v>1169.5696890119282</v>
      </c>
      <c r="AO30" s="186">
        <f t="shared" si="59"/>
        <v>-2.0184920994018335E-2</v>
      </c>
      <c r="AP30" s="209">
        <f t="shared" si="60"/>
        <v>-3.6587225905584039E-3</v>
      </c>
      <c r="AQ30" s="366">
        <f>O30-G30</f>
        <v>-3.6587225905584039E-3</v>
      </c>
      <c r="AR30" s="211"/>
    </row>
    <row r="31" spans="1:44" s="149" customFormat="1">
      <c r="A31" s="137" t="s">
        <v>2649</v>
      </c>
      <c r="B31" s="150">
        <f>'2016.06.30'!G9</f>
        <v>310.23741829670331</v>
      </c>
      <c r="C31" s="282">
        <f t="shared" si="50"/>
        <v>6.1675040088084394E-2</v>
      </c>
      <c r="D31" s="150">
        <f>'2016.06.30'!H9</f>
        <v>5.7904835671999999</v>
      </c>
      <c r="E31" s="138">
        <f t="shared" si="51"/>
        <v>9.554188078999748E-2</v>
      </c>
      <c r="F31" s="262">
        <f>G31</f>
        <v>3.7534475647341303E-2</v>
      </c>
      <c r="G31" s="260">
        <f t="shared" si="61"/>
        <v>3.7534475647341303E-2</v>
      </c>
      <c r="H31" s="139"/>
      <c r="I31" s="150">
        <f>'2017.06.30'!G9</f>
        <v>429.01953419889503</v>
      </c>
      <c r="J31" s="262">
        <f t="shared" si="52"/>
        <v>7.6732290200686698E-2</v>
      </c>
      <c r="K31" s="653">
        <f>'2017.06.30'!H9</f>
        <v>6.9236031059000007</v>
      </c>
      <c r="L31" s="138">
        <f t="shared" si="92"/>
        <v>0.10290119365296953</v>
      </c>
      <c r="M31" s="157">
        <f>K31*365/'2017.06.30'!$D$1</f>
        <v>13.961962064383981</v>
      </c>
      <c r="N31" s="262">
        <f>O31</f>
        <v>3.2543884255655277E-2</v>
      </c>
      <c r="O31" s="260">
        <f t="shared" si="31"/>
        <v>3.2543884255655277E-2</v>
      </c>
      <c r="P31" s="140"/>
      <c r="Q31" s="141">
        <f t="shared" ref="Q31" si="95">I31-B31</f>
        <v>118.78211590219172</v>
      </c>
      <c r="R31" s="138">
        <f t="shared" ref="R31" si="96">Q31/B31</f>
        <v>0.38287488515840945</v>
      </c>
      <c r="S31" s="138">
        <f>Q31/Q$19</f>
        <v>0.2117603183817309</v>
      </c>
      <c r="T31" s="142"/>
      <c r="U31" s="635">
        <f>M31-D31/'2016.06.30'!$D$1*'2016.06.30'!$E$1</f>
        <v>2.317363242432334</v>
      </c>
      <c r="V31" s="282">
        <f t="shared" ref="V31" si="97">U31/D31</f>
        <v>0.40020202381005976</v>
      </c>
      <c r="W31" s="138">
        <f t="shared" si="57"/>
        <v>0.16788027539839609</v>
      </c>
      <c r="X31" s="139"/>
      <c r="Y31" s="951">
        <f>(I$4/B$4-1)*B31*G31</f>
        <v>1.2486557804332632</v>
      </c>
      <c r="Z31" s="138">
        <f t="shared" ref="Z31" si="98">Y31/$U$19</f>
        <v>9.0458272772511339E-2</v>
      </c>
      <c r="AA31" s="139"/>
      <c r="AB31" s="951">
        <f>((I31-B31)-(I$4/B$4-1)*B31)*G31</f>
        <v>3.2097686562372241</v>
      </c>
      <c r="AC31" s="138">
        <f t="shared" ref="AC31" si="99">AB31/$U$19</f>
        <v>0.23253016018699504</v>
      </c>
      <c r="AD31" s="178">
        <f t="shared" ref="AD31" si="100">-AB31/$I$4*10000</f>
        <v>-5.3553103558738275</v>
      </c>
      <c r="AE31" s="139"/>
      <c r="AF31" s="139">
        <f>I31*(N31-F31)</f>
        <v>-2.1410611942381546</v>
      </c>
      <c r="AG31" s="139">
        <f>I31*((O31-N31)-(G31-F31))</f>
        <v>0</v>
      </c>
      <c r="AH31" s="951">
        <f t="shared" ref="AH31" si="101">SUM(AF31:AG31)</f>
        <v>-2.1410611942381546</v>
      </c>
      <c r="AI31" s="138">
        <f t="shared" ref="AI31" si="102">AH31/$U$19</f>
        <v>-0.1551081575611104</v>
      </c>
      <c r="AJ31" s="178">
        <f t="shared" ref="AJ31" si="103">-AH31/$I$4*10000</f>
        <v>3.5722347664472158</v>
      </c>
      <c r="AK31" s="148"/>
      <c r="AL31" s="180"/>
      <c r="AM31" s="148"/>
      <c r="AN31" s="185"/>
      <c r="AO31" s="186"/>
      <c r="AP31" s="209"/>
      <c r="AQ31" s="366">
        <f t="shared" si="9"/>
        <v>-4.9905913916860264E-3</v>
      </c>
      <c r="AR31" s="211"/>
    </row>
    <row r="32" spans="1:44">
      <c r="A32" s="218" t="s">
        <v>195</v>
      </c>
      <c r="B32" s="286">
        <f>B26+B29</f>
        <v>1293.7669117389821</v>
      </c>
      <c r="C32" s="290">
        <f t="shared" si="50"/>
        <v>0.25720020036340918</v>
      </c>
      <c r="D32" s="219">
        <f>D26+D29</f>
        <v>2.5920727660759999</v>
      </c>
      <c r="E32" s="220">
        <f t="shared" ref="E32:E33" si="104">D32/D$19</f>
        <v>4.2768709096809444E-2</v>
      </c>
      <c r="F32" s="266">
        <f t="shared" ref="F32:F33" si="105">G32</f>
        <v>4.0290332060326913E-3</v>
      </c>
      <c r="G32" s="260">
        <f t="shared" si="61"/>
        <v>4.0290332060326913E-3</v>
      </c>
      <c r="H32" s="223"/>
      <c r="I32" s="286">
        <f>I26+I29</f>
        <v>1548.4476185137191</v>
      </c>
      <c r="J32" s="266">
        <f t="shared" si="52"/>
        <v>0.27694760390391315</v>
      </c>
      <c r="K32" s="654">
        <f>K26+K29</f>
        <v>2.9139458184000002</v>
      </c>
      <c r="L32" s="220">
        <f t="shared" si="92"/>
        <v>4.330815882526845E-2</v>
      </c>
      <c r="M32" s="157">
        <f>K32*365/'2017.06.30'!$D$1</f>
        <v>5.8761890813038677</v>
      </c>
      <c r="N32" s="266">
        <f t="shared" ref="N32" si="106">O32</f>
        <v>3.7948904509563846E-3</v>
      </c>
      <c r="O32" s="260">
        <f t="shared" si="31"/>
        <v>3.7948904509563846E-3</v>
      </c>
      <c r="P32" s="221"/>
      <c r="Q32" s="400">
        <f>I32-B32</f>
        <v>254.68070677473702</v>
      </c>
      <c r="R32" s="290">
        <f>Q32/B32</f>
        <v>0.19685207935362542</v>
      </c>
      <c r="S32" s="220">
        <f t="shared" ref="S32:S33" si="107">Q32/Q$19</f>
        <v>0.45403524884765456</v>
      </c>
      <c r="T32" s="222"/>
      <c r="U32" s="400">
        <f>M32-D32/'2016.06.30'!$D$1*'2016.06.30'!$E$1</f>
        <v>0.66355923304114217</v>
      </c>
      <c r="V32" s="290">
        <f t="shared" si="56"/>
        <v>0.2559956038756076</v>
      </c>
      <c r="W32" s="220">
        <f t="shared" si="57"/>
        <v>4.8071232315383641E-2</v>
      </c>
      <c r="X32" s="223"/>
      <c r="Y32" s="951">
        <f>Y26+Y29</f>
        <v>0.55895273772955423</v>
      </c>
      <c r="Z32" s="220">
        <f>Y32/$U$19</f>
        <v>4.0493064629018784E-2</v>
      </c>
      <c r="AA32" s="223"/>
      <c r="AB32" s="951">
        <f>AB26+AB29</f>
        <v>0.5546824709343261</v>
      </c>
      <c r="AC32" s="220">
        <f>AB32/$U$19</f>
        <v>4.0183707186697795E-2</v>
      </c>
      <c r="AD32" s="178">
        <f t="shared" si="62"/>
        <v>-0.92545510251774976</v>
      </c>
      <c r="AE32" s="223"/>
      <c r="AF32" s="223">
        <f>AF26+AF29</f>
        <v>-0.45007597562273927</v>
      </c>
      <c r="AG32" s="223">
        <f>AG26+AG29</f>
        <v>0</v>
      </c>
      <c r="AH32" s="951">
        <f t="shared" ref="AH32" si="108">SUM(AF32:AG32)</f>
        <v>-0.45007597562273927</v>
      </c>
      <c r="AI32" s="220">
        <f t="shared" ref="AI32:AI33" si="109">AH32/$U$19</f>
        <v>-3.2605539500333021E-2</v>
      </c>
      <c r="AJ32" s="178">
        <f t="shared" si="64"/>
        <v>0.75092531310590949</v>
      </c>
      <c r="AK32" s="17"/>
      <c r="AL32" s="179"/>
      <c r="AM32" s="17"/>
      <c r="AN32" s="185"/>
      <c r="AO32" s="186">
        <f t="shared" si="59"/>
        <v>1.9747403540503972E-2</v>
      </c>
      <c r="AP32" s="209"/>
      <c r="AQ32" s="366">
        <f t="shared" si="9"/>
        <v>-2.3414275507630672E-4</v>
      </c>
      <c r="AR32" s="211"/>
    </row>
    <row r="33" spans="1:44">
      <c r="A33" s="212" t="s">
        <v>2651</v>
      </c>
      <c r="B33" s="287">
        <f>B27+B30+B31</f>
        <v>2257.6281277321909</v>
      </c>
      <c r="C33" s="291">
        <f t="shared" si="50"/>
        <v>0.44881531714109613</v>
      </c>
      <c r="D33" s="287">
        <f>D27+D30+D31</f>
        <v>35.243574467524006</v>
      </c>
      <c r="E33" s="213">
        <f t="shared" si="104"/>
        <v>0.58151229535702009</v>
      </c>
      <c r="F33" s="267">
        <f t="shared" si="105"/>
        <v>3.1393319427392902E-2</v>
      </c>
      <c r="G33" s="260">
        <f t="shared" si="61"/>
        <v>3.1393319427392902E-2</v>
      </c>
      <c r="H33" s="217"/>
      <c r="I33" s="287">
        <f>I27+I30+I31</f>
        <v>2371.4426011346764</v>
      </c>
      <c r="J33" s="267">
        <f t="shared" si="52"/>
        <v>0.42414437422837042</v>
      </c>
      <c r="K33" s="655">
        <f>K27+K30+K31</f>
        <v>33.945594140099999</v>
      </c>
      <c r="L33" s="213">
        <f t="shared" si="92"/>
        <v>0.50451218864624336</v>
      </c>
      <c r="M33" s="157">
        <f>K33*365/'2017.06.30'!$D$1</f>
        <v>68.453822437218221</v>
      </c>
      <c r="N33" s="267">
        <f>O33</f>
        <v>2.8865898927709559E-2</v>
      </c>
      <c r="O33" s="260">
        <f>M33/I33</f>
        <v>2.8865898927709559E-2</v>
      </c>
      <c r="P33" s="214"/>
      <c r="Q33" s="215">
        <f t="shared" si="53"/>
        <v>113.81447340248542</v>
      </c>
      <c r="R33" s="213">
        <f t="shared" si="54"/>
        <v>5.0413295265245101E-2</v>
      </c>
      <c r="S33" s="213">
        <f t="shared" si="107"/>
        <v>0.20290419093060327</v>
      </c>
      <c r="T33" s="216"/>
      <c r="U33" s="636">
        <f>M33-D33/'2016.06.30'!$D$1*'2016.06.30'!$E$1</f>
        <v>-2.4206185249454393</v>
      </c>
      <c r="V33" s="291">
        <f t="shared" si="56"/>
        <v>-6.8682548848045283E-2</v>
      </c>
      <c r="W33" s="213">
        <f t="shared" si="57"/>
        <v>-0.17536055511770532</v>
      </c>
      <c r="X33" s="217"/>
      <c r="Y33" s="951">
        <f>Y27+Y30+Y31</f>
        <v>7.5998994680307383</v>
      </c>
      <c r="Z33" s="213">
        <f t="shared" si="67"/>
        <v>0.55057109404823013</v>
      </c>
      <c r="AA33" s="217"/>
      <c r="AB33" s="951">
        <f>AB27+AB30+AB31</f>
        <v>-3.3411051909142344</v>
      </c>
      <c r="AC33" s="213">
        <f t="shared" ref="AC33" si="110">AB33/$U$19</f>
        <v>-0.24204477283283335</v>
      </c>
      <c r="AD33" s="178">
        <f t="shared" si="62"/>
        <v>5.5744376449678956</v>
      </c>
      <c r="AE33" s="217"/>
      <c r="AF33" s="217">
        <f>AF27+AF30</f>
        <v>-4.5383516078237811</v>
      </c>
      <c r="AG33" s="217">
        <f>AG27+AG30</f>
        <v>0</v>
      </c>
      <c r="AH33" s="951">
        <f>SUM(AF33:AG33)</f>
        <v>-4.5383516078237811</v>
      </c>
      <c r="AI33" s="213">
        <f t="shared" si="109"/>
        <v>-0.32877871877199122</v>
      </c>
      <c r="AJ33" s="178">
        <f t="shared" si="64"/>
        <v>7.5719729260696829</v>
      </c>
      <c r="AK33" s="17"/>
      <c r="AL33" s="179"/>
      <c r="AM33" s="17"/>
      <c r="AN33" s="185"/>
      <c r="AO33" s="186">
        <f t="shared" si="59"/>
        <v>-2.4670942912725702E-2</v>
      </c>
      <c r="AP33" s="209"/>
      <c r="AQ33" s="366">
        <f t="shared" si="9"/>
        <v>-2.5274204996833423E-3</v>
      </c>
      <c r="AR33" s="211"/>
    </row>
    <row r="34" spans="1:44" s="149" customFormat="1">
      <c r="A34" s="576" t="s">
        <v>105</v>
      </c>
      <c r="B34" s="151">
        <f>'2016.06.30'!G44</f>
        <v>75.944115137841905</v>
      </c>
      <c r="C34" s="292">
        <f t="shared" si="50"/>
        <v>1.5097651248183653E-2</v>
      </c>
      <c r="D34" s="151">
        <f>'2016.06.30'!H44</f>
        <v>2.3291251438999998</v>
      </c>
      <c r="E34" s="132">
        <f>D34/D$19</f>
        <v>3.8430123194544162E-2</v>
      </c>
      <c r="F34" s="268">
        <f>G34</f>
        <v>6.1674891610755019E-2</v>
      </c>
      <c r="G34" s="260">
        <f t="shared" si="61"/>
        <v>6.1674891610755019E-2</v>
      </c>
      <c r="H34" s="133">
        <f>($B35*H35+$B39*H39+$B42*H42)/$B34</f>
        <v>0</v>
      </c>
      <c r="I34" s="151">
        <f>'2017.06.30'!G44</f>
        <v>75.758339100238601</v>
      </c>
      <c r="J34" s="268">
        <f t="shared" si="52"/>
        <v>1.3549757989030306E-2</v>
      </c>
      <c r="K34" s="656">
        <f>'2017.06.30'!H44</f>
        <v>2.3019451490000002</v>
      </c>
      <c r="L34" s="132">
        <f t="shared" si="92"/>
        <v>3.4212374674381575E-2</v>
      </c>
      <c r="M34" s="157">
        <f>K34*365/'2017.06.30'!$D$1</f>
        <v>4.6420440850000002</v>
      </c>
      <c r="N34" s="268">
        <f>O34</f>
        <v>6.127436451395725E-2</v>
      </c>
      <c r="O34" s="260">
        <f>M34/I34</f>
        <v>6.127436451395725E-2</v>
      </c>
      <c r="P34" s="134"/>
      <c r="Q34" s="135">
        <f t="shared" si="53"/>
        <v>-0.18577603760330419</v>
      </c>
      <c r="R34" s="132">
        <f t="shared" si="54"/>
        <v>-2.4462203195877983E-3</v>
      </c>
      <c r="S34" s="132">
        <f t="shared" si="55"/>
        <v>-3.3119457901360907E-4</v>
      </c>
      <c r="T34" s="136"/>
      <c r="U34" s="637">
        <f>M34-D34/'2016.06.30'!$D$1*'2016.06.30'!$E$1</f>
        <v>-4.1800984601098712E-2</v>
      </c>
      <c r="V34" s="292">
        <f t="shared" si="56"/>
        <v>-1.7947075411802529E-2</v>
      </c>
      <c r="W34" s="132">
        <f t="shared" si="57"/>
        <v>-3.028252402670737E-3</v>
      </c>
      <c r="X34" s="133"/>
      <c r="Y34" s="951">
        <f>(I$4/B$4-1)*B34*G34</f>
        <v>0.50225089848402649</v>
      </c>
      <c r="Z34" s="132">
        <f>Y34/$U$19</f>
        <v>3.6385326914950535E-2</v>
      </c>
      <c r="AA34" s="133"/>
      <c r="AB34" s="951">
        <f>((I34-B34)-(I$4/B$4-1)*B34)*G34</f>
        <v>-0.51370861546708579</v>
      </c>
      <c r="AC34" s="132">
        <f>AB34/$U$19</f>
        <v>-3.7215375759832491E-2</v>
      </c>
      <c r="AD34" s="178">
        <f t="shared" si="62"/>
        <v>0.85709263281844683</v>
      </c>
      <c r="AE34" s="133"/>
      <c r="AF34" s="133">
        <f>I34*(N34-F34)</f>
        <v>-3.034326761803947E-2</v>
      </c>
      <c r="AG34" s="133">
        <f>I34*((O34-N34)-(G34-F34))</f>
        <v>0</v>
      </c>
      <c r="AH34" s="951">
        <f>SUM(AF34:AG34)</f>
        <v>-3.034326761803947E-2</v>
      </c>
      <c r="AI34" s="132">
        <f t="shared" si="69"/>
        <v>-2.1982035577887801E-3</v>
      </c>
      <c r="AJ34" s="178">
        <f t="shared" si="64"/>
        <v>5.0625958662214574E-2</v>
      </c>
      <c r="AK34" s="148"/>
      <c r="AL34" s="180">
        <f>Y34+AB34+AH34-U34</f>
        <v>-6.9388939039072284E-17</v>
      </c>
      <c r="AM34" s="148"/>
      <c r="AN34" s="185">
        <f>B34*(I$4/B$4)</f>
        <v>84.08763813993896</v>
      </c>
      <c r="AO34" s="186">
        <f t="shared" si="59"/>
        <v>-1.5478932591533462E-3</v>
      </c>
      <c r="AP34" s="209">
        <f>O34-G34</f>
        <v>-4.0052709679776893E-4</v>
      </c>
      <c r="AQ34" s="366">
        <f t="shared" si="9"/>
        <v>-4.0052709679776893E-4</v>
      </c>
      <c r="AR34" s="211"/>
    </row>
    <row r="35" spans="1:44">
      <c r="A35" s="19"/>
      <c r="B35" s="21"/>
      <c r="D35" s="21"/>
      <c r="I35" s="20"/>
      <c r="K35" s="647"/>
      <c r="M35" s="157"/>
      <c r="U35" s="632"/>
      <c r="V35" s="10"/>
      <c r="AK35" s="17"/>
      <c r="AL35" s="179"/>
      <c r="AM35" s="17"/>
    </row>
    <row r="36" spans="1:44">
      <c r="A36" s="49" t="s">
        <v>48</v>
      </c>
      <c r="B36" s="52">
        <f>B4-B19</f>
        <v>382.96840836113824</v>
      </c>
      <c r="C36" s="51"/>
      <c r="D36" s="205">
        <f>D4-D19</f>
        <v>54.309177573500008</v>
      </c>
      <c r="E36" s="51"/>
      <c r="F36" s="53"/>
      <c r="G36" s="112"/>
      <c r="H36" s="54"/>
      <c r="I36" s="50">
        <f>I4-I19</f>
        <v>402.49718026464416</v>
      </c>
      <c r="J36" s="51"/>
      <c r="K36" s="657">
        <f>K4-K19</f>
        <v>51.433279801300003</v>
      </c>
      <c r="L36" s="51"/>
      <c r="M36" s="206">
        <f>M4-M19</f>
        <v>103.71904490317402</v>
      </c>
      <c r="N36" s="53"/>
      <c r="O36" s="112"/>
      <c r="Q36" s="55">
        <f>I36-B36</f>
        <v>19.528771903505913</v>
      </c>
      <c r="R36" s="51">
        <f>Q36/B36</f>
        <v>5.0993166739462047E-2</v>
      </c>
      <c r="S36" s="51"/>
      <c r="U36" s="638">
        <f>M36-D36/91*366</f>
        <v>-114.71127368914469</v>
      </c>
      <c r="V36" s="53">
        <f>U36/D36</f>
        <v>-2.1121894827793839</v>
      </c>
      <c r="W36" s="51"/>
      <c r="Y36" s="952">
        <f>Y4-Y19</f>
        <v>11.711192635422444</v>
      </c>
      <c r="Z36" s="53">
        <f>Y36/D36</f>
        <v>0.21563929263286954</v>
      </c>
      <c r="AB36" s="952">
        <f>AB4-AB19</f>
        <v>-0.27890212077837595</v>
      </c>
      <c r="AC36" s="53">
        <f>AB36/D36</f>
        <v>-5.1354510091949053E-3</v>
      </c>
      <c r="AD36" s="51"/>
      <c r="AF36" s="52">
        <f>AF4-AF19</f>
        <v>-16.928404907629371</v>
      </c>
      <c r="AG36" s="52">
        <f>AG4-AG19</f>
        <v>0</v>
      </c>
      <c r="AH36" s="952">
        <f>AH4-AH19</f>
        <v>-16.928404907629371</v>
      </c>
      <c r="AI36" s="181">
        <f>AH36/D36</f>
        <v>-0.31170431341404686</v>
      </c>
      <c r="AJ36" s="51"/>
      <c r="AK36" s="17"/>
      <c r="AL36" s="179">
        <f>Z36+AC36+AI36-V36</f>
        <v>2.0109890109890118</v>
      </c>
      <c r="AM36" s="17"/>
    </row>
    <row r="37" spans="1:44">
      <c r="A37" s="163" t="s">
        <v>121</v>
      </c>
      <c r="B37" s="164"/>
      <c r="C37" s="165"/>
      <c r="D37" s="166"/>
      <c r="E37" s="165"/>
      <c r="F37" s="167"/>
      <c r="G37" s="169">
        <f>D36*366/182/B4</f>
        <v>2.017585110188019E-2</v>
      </c>
      <c r="I37" s="164"/>
      <c r="J37" s="165"/>
      <c r="K37" s="166"/>
      <c r="L37" s="165"/>
      <c r="M37" s="165"/>
      <c r="N37" s="167"/>
      <c r="O37" s="169">
        <f>M36/I4</f>
        <v>1.7304913056333956E-2</v>
      </c>
      <c r="Q37" s="168"/>
      <c r="R37" s="165"/>
      <c r="S37" s="165"/>
      <c r="U37" s="178">
        <f>(O37-G37)*10000</f>
        <v>-28.709380455462334</v>
      </c>
      <c r="V37" s="165"/>
      <c r="W37" s="165"/>
      <c r="Y37" s="953">
        <f>(D36+Y36)/I4</f>
        <v>1.101511074922578E-2</v>
      </c>
      <c r="Z37" s="169"/>
      <c r="AB37" s="953">
        <f>(D36+AB36)/I4</f>
        <v>9.0146339082853421E-3</v>
      </c>
      <c r="AC37" s="169"/>
      <c r="AD37" s="182">
        <f>AB36/$I$4*10000</f>
        <v>-0.46533179666304958</v>
      </c>
      <c r="AF37" s="166"/>
      <c r="AG37" s="166"/>
      <c r="AH37" s="953">
        <f>(D36+AH36)/I4</f>
        <v>6.2367622220717211E-3</v>
      </c>
      <c r="AI37" s="165"/>
      <c r="AJ37" s="182">
        <f>AH36/$I$4*10000</f>
        <v>-28.244048658799269</v>
      </c>
      <c r="AL37" s="179">
        <f>AD37+AJ37-U37</f>
        <v>0</v>
      </c>
    </row>
    <row r="38" spans="1:44">
      <c r="A38" s="751" t="s">
        <v>2560</v>
      </c>
      <c r="B38" s="752"/>
      <c r="C38" s="753"/>
      <c r="D38" s="754"/>
      <c r="E38" s="753"/>
      <c r="F38" s="755"/>
      <c r="G38" s="756">
        <f>G4-G19</f>
        <v>1.8461665283818918E-2</v>
      </c>
      <c r="H38" s="757"/>
      <c r="I38" s="752"/>
      <c r="J38" s="753"/>
      <c r="K38" s="754"/>
      <c r="L38" s="753"/>
      <c r="M38" s="753"/>
      <c r="N38" s="755"/>
      <c r="O38" s="756">
        <f>O4-O19</f>
        <v>1.56752384829612E-2</v>
      </c>
      <c r="P38" s="757"/>
      <c r="Q38" s="758"/>
      <c r="R38" s="753"/>
      <c r="S38" s="753"/>
      <c r="T38" s="759"/>
      <c r="U38" s="760"/>
      <c r="V38" s="753"/>
      <c r="W38" s="753"/>
      <c r="X38" s="754"/>
      <c r="Y38" s="954"/>
      <c r="Z38" s="756"/>
      <c r="AA38" s="754"/>
      <c r="AB38" s="954"/>
      <c r="AC38" s="756"/>
      <c r="AD38" s="760"/>
      <c r="AE38" s="754"/>
      <c r="AF38" s="754"/>
      <c r="AG38" s="754"/>
      <c r="AH38" s="954"/>
      <c r="AI38" s="753"/>
      <c r="AJ38" s="761"/>
      <c r="AL38" s="179"/>
    </row>
    <row r="39" spans="1:44">
      <c r="B39" s="10">
        <f>B32/B24</f>
        <v>0.36429822572811638</v>
      </c>
      <c r="D39" s="7"/>
      <c r="G39" s="12"/>
      <c r="I39" s="10">
        <f>I32/I24</f>
        <v>0.39502321028077442</v>
      </c>
      <c r="J39" s="7"/>
      <c r="K39" s="7"/>
      <c r="L39" s="7"/>
      <c r="M39" s="7"/>
      <c r="O39" s="162">
        <f>M36/D36-1</f>
        <v>0.90978853919863822</v>
      </c>
      <c r="U39" s="162"/>
      <c r="Y39" s="955">
        <f>D36+Y36</f>
        <v>66.020370208922458</v>
      </c>
      <c r="Z39" s="162"/>
      <c r="AI39" s="171"/>
      <c r="AJ39" s="171"/>
    </row>
    <row r="40" spans="1:44">
      <c r="D40" s="7"/>
      <c r="G40" s="12"/>
      <c r="I40" s="162">
        <f>I39-B39</f>
        <v>3.0724984552658041E-2</v>
      </c>
      <c r="K40" s="7"/>
      <c r="M40" s="171"/>
      <c r="O40" s="162">
        <f>O37-G37</f>
        <v>-2.8709380455462334E-3</v>
      </c>
      <c r="U40" s="171"/>
      <c r="Y40" s="955"/>
      <c r="Z40" s="162"/>
      <c r="AI40" s="171"/>
      <c r="AJ40" s="171"/>
      <c r="AL40" s="338"/>
    </row>
    <row r="41" spans="1:44">
      <c r="A41" s="187" t="s">
        <v>177</v>
      </c>
      <c r="M41" s="172"/>
      <c r="O41" s="162">
        <f>O38-G38</f>
        <v>-2.7864268008577185E-3</v>
      </c>
      <c r="Y41" s="955">
        <f>M36-Y39</f>
        <v>37.698674694251565</v>
      </c>
      <c r="AD41" s="224"/>
      <c r="AI41" s="172"/>
      <c r="AJ41" s="172"/>
    </row>
    <row r="42" spans="1:44">
      <c r="B42" s="162"/>
      <c r="D42" s="7"/>
      <c r="G42" s="162"/>
      <c r="I42" s="162"/>
      <c r="K42" s="7"/>
      <c r="M42" s="162"/>
      <c r="O42" s="162"/>
    </row>
  </sheetData>
  <mergeCells count="12">
    <mergeCell ref="A1:A3"/>
    <mergeCell ref="B1:O1"/>
    <mergeCell ref="Q1:W1"/>
    <mergeCell ref="Y1:AI1"/>
    <mergeCell ref="AL1:AL3"/>
    <mergeCell ref="B2:G2"/>
    <mergeCell ref="I2:O2"/>
    <mergeCell ref="Q2:S2"/>
    <mergeCell ref="U2:W2"/>
    <mergeCell ref="Y2:Z2"/>
    <mergeCell ref="AB2:AC2"/>
    <mergeCell ref="AF2:AI2"/>
  </mergeCells>
  <phoneticPr fontId="1" type="noConversion"/>
  <conditionalFormatting sqref="AI39:AI1048576 S1:S3 W1:W3 AJ34:AJ1048576 AI34:AI36 S5:S18 W5:W18 W20:W1048576 S20:S1048576 Z1:Z1048576 AC1:AD1048576 AI1:AJ33">
    <cfRule type="iconSet" priority="1">
      <iconSet iconSet="3Arrows">
        <cfvo type="percent" val="0"/>
        <cfvo type="num" val="-0.1"/>
        <cfvo type="num" val="0.1"/>
      </iconSet>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J30"/>
  <sheetViews>
    <sheetView zoomScale="80" zoomScaleNormal="80" workbookViewId="0">
      <pane xSplit="1" ySplit="3" topLeftCell="K13" activePane="bottomRight" state="frozenSplit"/>
      <selection pane="topRight" activeCell="B1" sqref="B1"/>
      <selection pane="bottomLeft" activeCell="A4" sqref="A4"/>
      <selection pane="bottomRight" activeCell="AH33" sqref="AH33"/>
    </sheetView>
  </sheetViews>
  <sheetFormatPr defaultColWidth="9" defaultRowHeight="21"/>
  <cols>
    <col min="1" max="1" width="24.625" style="56" customWidth="1"/>
    <col min="2" max="2" width="7.625" style="7" customWidth="1"/>
    <col min="3" max="3" width="7.625" style="8" customWidth="1"/>
    <col min="4" max="4" width="7.625" style="9" customWidth="1"/>
    <col min="5" max="5" width="7.625" style="8" customWidth="1"/>
    <col min="6" max="7" width="7.625" style="10" customWidth="1"/>
    <col min="8" max="8" width="1.625" style="15" customWidth="1"/>
    <col min="9" max="9" width="7.625" style="7" customWidth="1"/>
    <col min="10" max="10" width="7.625" style="8" customWidth="1"/>
    <col min="11" max="11" width="7.625" style="9" customWidth="1"/>
    <col min="12" max="12" width="7.625" style="8" customWidth="1"/>
    <col min="13" max="14" width="7.625" style="10" customWidth="1"/>
    <col min="15" max="15" width="1.625" style="15" customWidth="1"/>
    <col min="16" max="16" width="7.625" style="12" customWidth="1"/>
    <col min="17" max="18" width="7.625" style="8" customWidth="1"/>
    <col min="19" max="19" width="1.625" style="16" customWidth="1"/>
    <col min="20" max="20" width="7.625" style="9" customWidth="1"/>
    <col min="21" max="22" width="7.625" style="8" customWidth="1"/>
    <col min="23" max="23" width="1.625" style="9" customWidth="1"/>
    <col min="24" max="24" width="7.625" style="9" customWidth="1"/>
    <col min="25" max="25" width="7.625" style="8" customWidth="1"/>
    <col min="26" max="26" width="1.625" style="9" customWidth="1"/>
    <col min="27" max="27" width="7.625" style="9" customWidth="1"/>
    <col min="28" max="28" width="8.625" style="8" customWidth="1"/>
    <col min="29" max="29" width="1.625" style="9" customWidth="1"/>
    <col min="30" max="32" width="7.625" style="9" customWidth="1"/>
    <col min="33" max="33" width="7.625" style="8" customWidth="1"/>
    <col min="34" max="34" width="9" style="57"/>
    <col min="35" max="35" width="7.625" style="116" hidden="1" customWidth="1"/>
    <col min="36" max="36" width="9" style="57"/>
    <col min="37" max="16384" width="9" style="61"/>
  </cols>
  <sheetData>
    <row r="1" spans="1:36">
      <c r="A1" s="895" t="s">
        <v>0</v>
      </c>
      <c r="B1" s="898" t="s">
        <v>1</v>
      </c>
      <c r="C1" s="898"/>
      <c r="D1" s="898"/>
      <c r="E1" s="898"/>
      <c r="F1" s="898"/>
      <c r="G1" s="898"/>
      <c r="H1" s="898"/>
      <c r="I1" s="898"/>
      <c r="J1" s="898"/>
      <c r="K1" s="898"/>
      <c r="L1" s="898"/>
      <c r="M1" s="898"/>
      <c r="N1" s="898"/>
      <c r="O1" s="1"/>
      <c r="P1" s="899" t="s">
        <v>2</v>
      </c>
      <c r="Q1" s="899"/>
      <c r="R1" s="899"/>
      <c r="S1" s="899"/>
      <c r="T1" s="899"/>
      <c r="U1" s="899"/>
      <c r="V1" s="899"/>
      <c r="W1" s="2"/>
      <c r="X1" s="900" t="s">
        <v>3</v>
      </c>
      <c r="Y1" s="900"/>
      <c r="Z1" s="900"/>
      <c r="AA1" s="900"/>
      <c r="AB1" s="900"/>
      <c r="AC1" s="900"/>
      <c r="AD1" s="900"/>
      <c r="AE1" s="900"/>
      <c r="AF1" s="900"/>
      <c r="AG1" s="900"/>
      <c r="AH1" s="3"/>
      <c r="AI1" s="901" t="s">
        <v>4</v>
      </c>
      <c r="AJ1" s="3"/>
    </row>
    <row r="2" spans="1:36">
      <c r="A2" s="896"/>
      <c r="B2" s="902">
        <v>41639</v>
      </c>
      <c r="C2" s="902"/>
      <c r="D2" s="902"/>
      <c r="E2" s="902"/>
      <c r="F2" s="902"/>
      <c r="G2" s="902"/>
      <c r="H2" s="4"/>
      <c r="I2" s="902">
        <v>41790</v>
      </c>
      <c r="J2" s="902"/>
      <c r="K2" s="902"/>
      <c r="L2" s="902"/>
      <c r="M2" s="902"/>
      <c r="N2" s="902"/>
      <c r="O2" s="4"/>
      <c r="P2" s="903" t="s">
        <v>5</v>
      </c>
      <c r="Q2" s="903"/>
      <c r="R2" s="903"/>
      <c r="S2" s="5"/>
      <c r="T2" s="903" t="s">
        <v>6</v>
      </c>
      <c r="U2" s="903"/>
      <c r="V2" s="903"/>
      <c r="W2" s="4"/>
      <c r="X2" s="903" t="s">
        <v>7</v>
      </c>
      <c r="Y2" s="903"/>
      <c r="Z2" s="4"/>
      <c r="AA2" s="903" t="s">
        <v>8</v>
      </c>
      <c r="AB2" s="903"/>
      <c r="AC2" s="4"/>
      <c r="AD2" s="903" t="s">
        <v>9</v>
      </c>
      <c r="AE2" s="903"/>
      <c r="AF2" s="903"/>
      <c r="AG2" s="903"/>
      <c r="AH2" s="6"/>
      <c r="AI2" s="901"/>
      <c r="AJ2" s="6"/>
    </row>
    <row r="3" spans="1:36" ht="35.25" thickBot="1">
      <c r="A3" s="897"/>
      <c r="B3" s="7" t="s">
        <v>13</v>
      </c>
      <c r="C3" s="8" t="s">
        <v>14</v>
      </c>
      <c r="D3" s="9" t="s">
        <v>15</v>
      </c>
      <c r="E3" s="8" t="s">
        <v>14</v>
      </c>
      <c r="F3" s="10" t="s">
        <v>16</v>
      </c>
      <c r="G3" s="10" t="s">
        <v>17</v>
      </c>
      <c r="H3" s="11"/>
      <c r="I3" s="7" t="s">
        <v>13</v>
      </c>
      <c r="J3" s="8" t="s">
        <v>14</v>
      </c>
      <c r="K3" s="9" t="s">
        <v>15</v>
      </c>
      <c r="L3" s="8" t="s">
        <v>14</v>
      </c>
      <c r="M3" s="10" t="s">
        <v>16</v>
      </c>
      <c r="N3" s="10" t="s">
        <v>17</v>
      </c>
      <c r="O3" s="11"/>
      <c r="P3" s="12" t="s">
        <v>18</v>
      </c>
      <c r="Q3" s="8" t="s">
        <v>19</v>
      </c>
      <c r="R3" s="8" t="s">
        <v>10</v>
      </c>
      <c r="S3" s="13"/>
      <c r="T3" s="9" t="s">
        <v>18</v>
      </c>
      <c r="U3" s="8" t="s">
        <v>19</v>
      </c>
      <c r="V3" s="8" t="s">
        <v>11</v>
      </c>
      <c r="W3" s="11"/>
      <c r="X3" s="9" t="s">
        <v>77</v>
      </c>
      <c r="Y3" s="8" t="s">
        <v>12</v>
      </c>
      <c r="Z3" s="11"/>
      <c r="AA3" s="9" t="s">
        <v>20</v>
      </c>
      <c r="AB3" s="8" t="s">
        <v>12</v>
      </c>
      <c r="AC3" s="11"/>
      <c r="AD3" s="9" t="s">
        <v>16</v>
      </c>
      <c r="AE3" s="9" t="s">
        <v>21</v>
      </c>
      <c r="AF3" s="9" t="s">
        <v>22</v>
      </c>
      <c r="AG3" s="8" t="s">
        <v>12</v>
      </c>
      <c r="AH3" s="14"/>
      <c r="AI3" s="901"/>
      <c r="AJ3" s="14"/>
    </row>
    <row r="4" spans="1:36">
      <c r="A4" s="85" t="s">
        <v>23</v>
      </c>
      <c r="B4" s="86">
        <f>SUM(B5:B6,B10:B11,B15)</f>
        <v>3353.9950651745453</v>
      </c>
      <c r="C4" s="87">
        <f>B4/B$4</f>
        <v>1</v>
      </c>
      <c r="D4" s="88">
        <f>SUM(D5:D6,D10:D11,D15)</f>
        <v>176.80452582068347</v>
      </c>
      <c r="E4" s="87">
        <f>D4/D$4</f>
        <v>1</v>
      </c>
      <c r="F4" s="89">
        <f>(SUMPRODUCT($B5:$B6,F5:F6)+SUMPRODUCT($B10:$B11,F10:F11)+$B15*F15)/$B4</f>
        <v>5.2714605234961014E-2</v>
      </c>
      <c r="G4" s="89">
        <f>(SUMPRODUCT($B5:$B6,G5:G6)+SUMPRODUCT($B10:$B11,G10:G11)+$B15*G15)/$B4</f>
        <v>5.2714605234961014E-2</v>
      </c>
      <c r="H4" s="83"/>
      <c r="I4" s="86">
        <f>SUM(I5:I6,I10:I11,I15)</f>
        <v>3615.336005138573</v>
      </c>
      <c r="J4" s="87">
        <f>I4/I$4</f>
        <v>1</v>
      </c>
      <c r="K4" s="88">
        <f>SUM(K5:K6,K10:K11,K15)</f>
        <v>202.1830389192651</v>
      </c>
      <c r="L4" s="87">
        <f>K4/K$4</f>
        <v>1</v>
      </c>
      <c r="M4" s="89">
        <f>(SUMPRODUCT($B5:$B6,M5:M6)+SUMPRODUCT($B10:$B11,M10:M11)+$B15*M15)/$B4</f>
        <v>5.643042744575115E-2</v>
      </c>
      <c r="N4" s="89">
        <f>(SUMPRODUCT($B5:$B6,N5:N6)+SUMPRODUCT($B10:$B11,N10:N11)+$B15*N15)/$B4</f>
        <v>5.643042744575115E-2</v>
      </c>
      <c r="O4" s="83"/>
      <c r="P4" s="90">
        <f>I4-B4</f>
        <v>261.34093996402771</v>
      </c>
      <c r="Q4" s="87">
        <f>P4/B4</f>
        <v>7.7919297698915146E-2</v>
      </c>
      <c r="R4" s="87">
        <f>P4/P$4</f>
        <v>1</v>
      </c>
      <c r="S4" s="84"/>
      <c r="T4" s="88">
        <f>K4-D4</f>
        <v>25.378513098581635</v>
      </c>
      <c r="U4" s="87">
        <f>T4/D4</f>
        <v>0.14353995171096876</v>
      </c>
      <c r="V4" s="87">
        <f>T4/T$4</f>
        <v>1</v>
      </c>
      <c r="W4" s="31"/>
      <c r="X4" s="88">
        <f>SUM(X5:X6,X10:X11,X15)</f>
        <v>13.776484481937366</v>
      </c>
      <c r="Y4" s="87">
        <f t="shared" ref="Y4:Y28" si="0">X4/$X$30</f>
        <v>1.8150039036889305</v>
      </c>
      <c r="Z4" s="31"/>
      <c r="AA4" s="88">
        <f>SUM(AA5:AA6,AA10:AA11,AA15)</f>
        <v>-4.9191079214512282E-2</v>
      </c>
      <c r="AB4" s="87">
        <f t="shared" ref="AB4:AB28" si="1">AA4/$X$30</f>
        <v>-6.4807535564004506E-3</v>
      </c>
      <c r="AC4" s="31"/>
      <c r="AD4" s="88">
        <f>SUM(AD5:AD6,AD10:AD11,AD15)</f>
        <v>11.651219695858726</v>
      </c>
      <c r="AE4" s="88">
        <f>SUM(AE5:AE6,AE10:AE11,AE15)</f>
        <v>0</v>
      </c>
      <c r="AF4" s="88">
        <f>SUM(AD4:AE4)</f>
        <v>11.651219695858726</v>
      </c>
      <c r="AG4" s="87">
        <f>AF4/$X$30</f>
        <v>1.5350076616750248</v>
      </c>
      <c r="AH4" s="17"/>
      <c r="AI4" s="18">
        <f t="shared" ref="AI4:AI28" si="2">X4+AA4+AF4-T4</f>
        <v>-5.6843418860808015E-14</v>
      </c>
      <c r="AJ4" s="17"/>
    </row>
    <row r="5" spans="1:36">
      <c r="A5" s="19" t="s">
        <v>24</v>
      </c>
      <c r="B5" s="117">
        <v>502.051920187419</v>
      </c>
      <c r="C5" s="8">
        <f>B5/B$4</f>
        <v>0.14968773371206248</v>
      </c>
      <c r="D5" s="21">
        <v>7.8523621119999758</v>
      </c>
      <c r="E5" s="8">
        <f>D5/D$4</f>
        <v>4.441267595131531E-2</v>
      </c>
      <c r="F5" s="10">
        <f>G5</f>
        <v>1.56405379528648E-2</v>
      </c>
      <c r="G5" s="10">
        <f>D5/B5</f>
        <v>1.56405379528648E-2</v>
      </c>
      <c r="I5" s="20">
        <v>574.01478998436403</v>
      </c>
      <c r="J5" s="8">
        <f>I5/I$4</f>
        <v>0.15877218304702567</v>
      </c>
      <c r="K5" s="21">
        <v>8.3799348928278263</v>
      </c>
      <c r="L5" s="8">
        <f>K5/K$4</f>
        <v>4.1447269452577908E-2</v>
      </c>
      <c r="M5" s="10">
        <f>N5</f>
        <v>1.4598813548090098E-2</v>
      </c>
      <c r="N5" s="10">
        <f>K5/I5</f>
        <v>1.4598813548090098E-2</v>
      </c>
      <c r="P5" s="12">
        <f>I5-B5</f>
        <v>71.962869796945029</v>
      </c>
      <c r="Q5" s="8">
        <f>P5/B5</f>
        <v>0.14333750535219716</v>
      </c>
      <c r="R5" s="8">
        <f>P5/P$4</f>
        <v>0.27536010931486798</v>
      </c>
      <c r="T5" s="9">
        <f>K5-D5</f>
        <v>0.52757278082785053</v>
      </c>
      <c r="U5" s="8">
        <f>T5/D5</f>
        <v>6.7186506850163474E-2</v>
      </c>
      <c r="V5" s="8">
        <f>T5/T$4</f>
        <v>2.0788167485562253E-2</v>
      </c>
      <c r="X5" s="9">
        <f>(I$4/B$4-1)*B5*G5</f>
        <v>0.61185054104460834</v>
      </c>
      <c r="Y5" s="8">
        <f t="shared" si="0"/>
        <v>8.0609180224908789E-2</v>
      </c>
      <c r="AA5" s="9">
        <f>((I5-B5)-(I$4/B$4-1)*B5)*G5</f>
        <v>0.51368745521157844</v>
      </c>
      <c r="AB5" s="8">
        <f t="shared" si="1"/>
        <v>6.7676535164501797E-2</v>
      </c>
      <c r="AD5" s="9">
        <f>I5*(M5-F5)</f>
        <v>-0.59796521542833747</v>
      </c>
      <c r="AE5" s="9">
        <f>I5*((N5-M5)-(G5-F5))</f>
        <v>0</v>
      </c>
      <c r="AF5" s="9">
        <f>SUM(AD5:AE5)</f>
        <v>-0.59796521542833747</v>
      </c>
      <c r="AG5" s="8">
        <f t="shared" ref="AG5:AG28" si="3">AF5/$X$30</f>
        <v>-7.8779836880417217E-2</v>
      </c>
      <c r="AH5" s="17"/>
      <c r="AI5" s="18">
        <f t="shared" si="2"/>
        <v>-1.1102230246251565E-15</v>
      </c>
      <c r="AJ5" s="17"/>
    </row>
    <row r="6" spans="1:36">
      <c r="A6" s="22" t="s">
        <v>25</v>
      </c>
      <c r="B6" s="23">
        <f>SUM(B7:B9)</f>
        <v>1040.477604665919</v>
      </c>
      <c r="C6" s="24">
        <f t="shared" ref="C6:C15" si="4">B6/B$4</f>
        <v>0.31022037434386368</v>
      </c>
      <c r="D6" s="25">
        <f t="shared" ref="D6" si="5">SUM(D7:D9)</f>
        <v>52.528717235965516</v>
      </c>
      <c r="E6" s="24">
        <f t="shared" ref="E6:E15" si="6">D6/D$4</f>
        <v>0.29710052382505497</v>
      </c>
      <c r="F6" s="26">
        <f>SUMPRODUCT($B7:$B9,F7:F9)/$B6</f>
        <v>5.0485197375133954E-2</v>
      </c>
      <c r="G6" s="26">
        <f>SUMPRODUCT($B7:$B9,G7:G9)/$B6</f>
        <v>5.0485197375133954E-2</v>
      </c>
      <c r="H6" s="27"/>
      <c r="I6" s="23">
        <f>SUM(I7:I9)</f>
        <v>945.90688794163475</v>
      </c>
      <c r="J6" s="24">
        <f t="shared" ref="J6:J15" si="7">I6/I$4</f>
        <v>0.26163733788427745</v>
      </c>
      <c r="K6" s="25">
        <f t="shared" ref="K6" si="8">SUM(K7:K9)</f>
        <v>56.599615991365965</v>
      </c>
      <c r="L6" s="24">
        <f t="shared" ref="L6:L15" si="9">K6/K$4</f>
        <v>0.27994245360001285</v>
      </c>
      <c r="M6" s="26">
        <f>SUMPRODUCT($I7:$I9,M7:M9)/$I6</f>
        <v>5.9836350398643393E-2</v>
      </c>
      <c r="N6" s="26">
        <f>SUMPRODUCT($I7:$I9,N7:N9)/$I6</f>
        <v>5.9836350398643393E-2</v>
      </c>
      <c r="O6" s="27"/>
      <c r="P6" s="28">
        <f t="shared" ref="P6:P28" si="10">I6-B6</f>
        <v>-94.570716724284239</v>
      </c>
      <c r="Q6" s="24">
        <f t="shared" ref="Q6:Q27" si="11">P6/B6</f>
        <v>-9.0891640819745864E-2</v>
      </c>
      <c r="R6" s="24">
        <f t="shared" ref="R6:R15" si="12">P6/P$4</f>
        <v>-0.36186720969665692</v>
      </c>
      <c r="S6" s="29"/>
      <c r="T6" s="25">
        <f t="shared" ref="T6:T28" si="13">K6-D6</f>
        <v>4.0708987554004494</v>
      </c>
      <c r="U6" s="24">
        <f t="shared" ref="U6:U28" si="14">T6/D6</f>
        <v>7.749853736411394E-2</v>
      </c>
      <c r="V6" s="24">
        <f t="shared" ref="V6:V15" si="15">T6/T$4</f>
        <v>0.16040729965491815</v>
      </c>
      <c r="W6" s="25"/>
      <c r="X6" s="25">
        <f>SUM(X7:X9)</f>
        <v>4.0930007560513317</v>
      </c>
      <c r="Y6" s="24">
        <f t="shared" si="0"/>
        <v>0.53923861053050082</v>
      </c>
      <c r="Z6" s="25"/>
      <c r="AA6" s="25">
        <f>SUM(AA7:AA9)</f>
        <v>-8.343611879744234</v>
      </c>
      <c r="AB6" s="24">
        <f t="shared" si="1"/>
        <v>-1.099241838689422</v>
      </c>
      <c r="AC6" s="25"/>
      <c r="AD6" s="25">
        <f>SUM(AD7:AD9)</f>
        <v>8.3215098790933482</v>
      </c>
      <c r="AE6" s="25">
        <f>SUM(AE7:AE9)</f>
        <v>0</v>
      </c>
      <c r="AF6" s="25">
        <f t="shared" ref="AF6:AF28" si="16">SUM(AD6:AE6)</f>
        <v>8.3215098790933482</v>
      </c>
      <c r="AG6" s="24">
        <f t="shared" si="3"/>
        <v>1.096329976993988</v>
      </c>
      <c r="AH6" s="17"/>
      <c r="AI6" s="18">
        <f t="shared" si="2"/>
        <v>0</v>
      </c>
      <c r="AJ6" s="17"/>
    </row>
    <row r="7" spans="1:36">
      <c r="A7" s="82" t="s">
        <v>26</v>
      </c>
      <c r="B7" s="20">
        <v>80.734682086724888</v>
      </c>
      <c r="C7" s="8">
        <f t="shared" si="4"/>
        <v>2.4071198829424448E-2</v>
      </c>
      <c r="D7" s="21">
        <v>2.9641797306655406</v>
      </c>
      <c r="E7" s="8">
        <f t="shared" si="6"/>
        <v>1.6765293291597268E-2</v>
      </c>
      <c r="F7" s="10">
        <f t="shared" ref="F7:F19" si="17">G7</f>
        <v>3.6715072804540561E-2</v>
      </c>
      <c r="G7" s="10">
        <f t="shared" ref="G7:G28" si="18">D7/B7</f>
        <v>3.6715072804540561E-2</v>
      </c>
      <c r="I7" s="20">
        <v>62.489745931691779</v>
      </c>
      <c r="J7" s="8">
        <f t="shared" si="7"/>
        <v>1.7284630209439301E-2</v>
      </c>
      <c r="K7" s="21">
        <v>2.3268210033924395</v>
      </c>
      <c r="L7" s="8">
        <f t="shared" si="9"/>
        <v>1.1508487634917665E-2</v>
      </c>
      <c r="M7" s="10">
        <f t="shared" ref="M7:M8" si="19">N7</f>
        <v>3.7235245058219839E-2</v>
      </c>
      <c r="N7" s="10">
        <f t="shared" ref="N7:N8" si="20">K7/I7</f>
        <v>3.7235245058219839E-2</v>
      </c>
      <c r="P7" s="12">
        <f t="shared" si="10"/>
        <v>-18.244936155033109</v>
      </c>
      <c r="Q7" s="8">
        <f t="shared" si="11"/>
        <v>-0.22598635039442488</v>
      </c>
      <c r="R7" s="8">
        <f t="shared" si="12"/>
        <v>-6.9812774674891859E-2</v>
      </c>
      <c r="T7" s="9">
        <f t="shared" si="13"/>
        <v>-0.63735872727310117</v>
      </c>
      <c r="U7" s="8">
        <f t="shared" si="14"/>
        <v>-0.21502027042401928</v>
      </c>
      <c r="V7" s="8">
        <f t="shared" si="15"/>
        <v>-2.5114108332403531E-2</v>
      </c>
      <c r="X7" s="9">
        <f>(I$4/B$4-1)*B7*G7</f>
        <v>0.23096680286681839</v>
      </c>
      <c r="Y7" s="8">
        <f t="shared" si="0"/>
        <v>3.042907277073888E-2</v>
      </c>
      <c r="AA7" s="9">
        <f>((I7-B7)-(I$4/B$4-1)*B7)*G7</f>
        <v>-0.90083096211305325</v>
      </c>
      <c r="AB7" s="8">
        <f t="shared" si="1"/>
        <v>-0.11868134537100117</v>
      </c>
      <c r="AD7" s="9">
        <f>I7*(M7-F7)</f>
        <v>3.2505431973133624E-2</v>
      </c>
      <c r="AE7" s="9">
        <f>I7*((N7-M7)-(G7-F7))</f>
        <v>0</v>
      </c>
      <c r="AF7" s="9">
        <f t="shared" si="16"/>
        <v>3.2505431973133624E-2</v>
      </c>
      <c r="AG7" s="8">
        <f t="shared" si="3"/>
        <v>4.2824775797980488E-3</v>
      </c>
      <c r="AH7" s="17"/>
      <c r="AI7" s="18">
        <f t="shared" si="2"/>
        <v>0</v>
      </c>
      <c r="AJ7" s="17"/>
    </row>
    <row r="8" spans="1:36">
      <c r="A8" s="82" t="s">
        <v>27</v>
      </c>
      <c r="B8" s="20">
        <v>569.29816995584895</v>
      </c>
      <c r="C8" s="8">
        <f t="shared" si="4"/>
        <v>0.16973733082288303</v>
      </c>
      <c r="D8" s="21">
        <v>27.564537505299977</v>
      </c>
      <c r="E8" s="8">
        <f t="shared" si="6"/>
        <v>0.15590402664949962</v>
      </c>
      <c r="F8" s="10">
        <f t="shared" si="17"/>
        <v>4.8418454440908712E-2</v>
      </c>
      <c r="G8" s="10">
        <f t="shared" si="18"/>
        <v>4.8418454440908712E-2</v>
      </c>
      <c r="I8" s="20">
        <v>478.48753212299602</v>
      </c>
      <c r="J8" s="8">
        <f t="shared" si="7"/>
        <v>0.13234939475692134</v>
      </c>
      <c r="K8" s="21">
        <v>27.772794987973526</v>
      </c>
      <c r="L8" s="8">
        <f t="shared" si="9"/>
        <v>0.137364613453375</v>
      </c>
      <c r="M8" s="10">
        <f t="shared" si="19"/>
        <v>5.8042881211029095E-2</v>
      </c>
      <c r="N8" s="10">
        <f t="shared" si="20"/>
        <v>5.8042881211029095E-2</v>
      </c>
      <c r="P8" s="12">
        <f t="shared" si="10"/>
        <v>-90.810637832852933</v>
      </c>
      <c r="Q8" s="8">
        <f t="shared" si="11"/>
        <v>-0.15951331415643866</v>
      </c>
      <c r="R8" s="8">
        <f t="shared" si="12"/>
        <v>-0.3474795714951992</v>
      </c>
      <c r="T8" s="9">
        <f t="shared" si="13"/>
        <v>0.20825748267354882</v>
      </c>
      <c r="U8" s="8">
        <f t="shared" si="14"/>
        <v>7.5552685269435803E-3</v>
      </c>
      <c r="V8" s="8">
        <f t="shared" si="15"/>
        <v>8.2060553297422303E-3</v>
      </c>
      <c r="X8" s="9">
        <f t="shared" ref="X8:X15" si="21">(I$4/B$4-1)*B8*G8</f>
        <v>2.1478094038083806</v>
      </c>
      <c r="Y8" s="8">
        <f t="shared" si="0"/>
        <v>0.28296641696966479</v>
      </c>
      <c r="AA8" s="9">
        <f t="shared" ref="AA8:AA9" si="22">((I8-B8)-(I$4/B$4-1)*B8)*G8</f>
        <v>-6.5447201344682311</v>
      </c>
      <c r="AB8" s="8">
        <f t="shared" si="1"/>
        <v>-0.86224410938696161</v>
      </c>
      <c r="AD8" s="9">
        <f t="shared" ref="AD8:AD9" si="23">I8*(M8-F8)</f>
        <v>4.6051682133333998</v>
      </c>
      <c r="AE8" s="9">
        <f t="shared" ref="AE8:AE9" si="24">I8*((N8-M8)-(G8-F8))</f>
        <v>0</v>
      </c>
      <c r="AF8" s="9">
        <f t="shared" si="16"/>
        <v>4.6051682133333998</v>
      </c>
      <c r="AG8" s="8">
        <f t="shared" si="3"/>
        <v>0.60671489125568767</v>
      </c>
      <c r="AH8" s="17"/>
      <c r="AI8" s="18">
        <f t="shared" si="2"/>
        <v>0</v>
      </c>
      <c r="AJ8" s="17"/>
    </row>
    <row r="9" spans="1:36">
      <c r="A9" s="82" t="s">
        <v>28</v>
      </c>
      <c r="B9" s="20">
        <v>390.44475262334504</v>
      </c>
      <c r="C9" s="8">
        <f t="shared" si="4"/>
        <v>0.11641184469155619</v>
      </c>
      <c r="D9" s="118">
        <v>22</v>
      </c>
      <c r="E9" s="8">
        <f>D9/D$4</f>
        <v>0.12443120388395811</v>
      </c>
      <c r="F9" s="10">
        <f>G9</f>
        <v>5.6345999919796594E-2</v>
      </c>
      <c r="G9" s="10">
        <f>D9/B9</f>
        <v>5.6345999919796594E-2</v>
      </c>
      <c r="I9" s="20">
        <v>404.92960988694705</v>
      </c>
      <c r="J9" s="8">
        <f>I9/I$4</f>
        <v>0.11200331291791686</v>
      </c>
      <c r="K9" s="118">
        <v>26.5</v>
      </c>
      <c r="L9" s="8">
        <f>K9/K$4</f>
        <v>0.13106935251172019</v>
      </c>
      <c r="M9" s="10">
        <f>N9</f>
        <v>6.5443473020900048E-2</v>
      </c>
      <c r="N9" s="10">
        <f>K9/I9</f>
        <v>6.5443473020900048E-2</v>
      </c>
      <c r="P9" s="12">
        <f t="shared" si="10"/>
        <v>14.484857263602009</v>
      </c>
      <c r="Q9" s="8">
        <f t="shared" si="11"/>
        <v>3.709835300969018E-2</v>
      </c>
      <c r="R9" s="8">
        <f t="shared" si="12"/>
        <v>5.5425136473434965E-2</v>
      </c>
      <c r="T9" s="9">
        <f t="shared" si="13"/>
        <v>4.5</v>
      </c>
      <c r="U9" s="8">
        <f t="shared" si="14"/>
        <v>0.20454545454545456</v>
      </c>
      <c r="V9" s="8">
        <f t="shared" si="15"/>
        <v>0.17731535265757936</v>
      </c>
      <c r="X9" s="9">
        <f t="shared" si="21"/>
        <v>1.7142245493761332</v>
      </c>
      <c r="Y9" s="8">
        <f t="shared" si="0"/>
        <v>0.22584312079009716</v>
      </c>
      <c r="AA9" s="9">
        <f t="shared" si="22"/>
        <v>-0.89806078316294924</v>
      </c>
      <c r="AB9" s="8">
        <f t="shared" si="1"/>
        <v>-0.11831638393145918</v>
      </c>
      <c r="AD9" s="9">
        <f t="shared" si="23"/>
        <v>3.683836233786816</v>
      </c>
      <c r="AE9" s="9">
        <f t="shared" si="24"/>
        <v>0</v>
      </c>
      <c r="AF9" s="9">
        <f t="shared" si="16"/>
        <v>3.683836233786816</v>
      </c>
      <c r="AG9" s="8">
        <f t="shared" si="3"/>
        <v>0.48533260815850254</v>
      </c>
      <c r="AH9" s="17"/>
      <c r="AI9" s="18">
        <f t="shared" si="2"/>
        <v>0</v>
      </c>
      <c r="AJ9" s="17"/>
    </row>
    <row r="10" spans="1:36">
      <c r="A10" s="32" t="s">
        <v>29</v>
      </c>
      <c r="B10" s="33">
        <v>334.1056583592453</v>
      </c>
      <c r="C10" s="34">
        <f t="shared" si="4"/>
        <v>9.961423671380927E-2</v>
      </c>
      <c r="D10" s="118">
        <v>16</v>
      </c>
      <c r="E10" s="34">
        <f t="shared" si="6"/>
        <v>9.0495421006514989E-2</v>
      </c>
      <c r="F10" s="35">
        <f t="shared" si="17"/>
        <v>4.7889042282534725E-2</v>
      </c>
      <c r="G10" s="35">
        <f>D10/B10</f>
        <v>4.7889042282534725E-2</v>
      </c>
      <c r="H10" s="36"/>
      <c r="I10" s="33">
        <v>466.69409311380929</v>
      </c>
      <c r="J10" s="34">
        <f t="shared" si="7"/>
        <v>0.1290873358521821</v>
      </c>
      <c r="K10" s="118">
        <v>24</v>
      </c>
      <c r="L10" s="34">
        <f t="shared" si="9"/>
        <v>0.11870431925589753</v>
      </c>
      <c r="M10" s="35">
        <f t="shared" ref="M10" si="25">N10</f>
        <v>5.1425549099776792E-2</v>
      </c>
      <c r="N10" s="35">
        <f t="shared" ref="N10" si="26">K10/I10</f>
        <v>5.1425549099776792E-2</v>
      </c>
      <c r="O10" s="36"/>
      <c r="P10" s="37">
        <f t="shared" si="10"/>
        <v>132.58843475456399</v>
      </c>
      <c r="Q10" s="34">
        <f t="shared" si="11"/>
        <v>0.39684582238352573</v>
      </c>
      <c r="R10" s="34">
        <f t="shared" si="12"/>
        <v>0.5073389373008842</v>
      </c>
      <c r="S10" s="38"/>
      <c r="T10" s="39">
        <f t="shared" si="13"/>
        <v>8</v>
      </c>
      <c r="U10" s="34">
        <f t="shared" si="14"/>
        <v>0.5</v>
      </c>
      <c r="V10" s="34">
        <f t="shared" si="15"/>
        <v>0.31522729361347446</v>
      </c>
      <c r="W10" s="39"/>
      <c r="X10" s="39">
        <f t="shared" si="21"/>
        <v>1.2467087631826423</v>
      </c>
      <c r="Y10" s="34">
        <f t="shared" si="0"/>
        <v>0.16424954239279793</v>
      </c>
      <c r="Z10" s="39"/>
      <c r="AA10" s="39">
        <f>((I10-B10)-(I$4/B$4-1)*B10)*G10</f>
        <v>5.1028243949537693</v>
      </c>
      <c r="AB10" s="34">
        <f t="shared" si="1"/>
        <v>0.67227936189550619</v>
      </c>
      <c r="AC10" s="39"/>
      <c r="AD10" s="39">
        <f>I10*(M10-F10)</f>
        <v>1.6504668418635908</v>
      </c>
      <c r="AE10" s="39">
        <f>I10*((N10-M10)-(G10-F10))</f>
        <v>0</v>
      </c>
      <c r="AF10" s="39">
        <f t="shared" si="16"/>
        <v>1.6504668418635908</v>
      </c>
      <c r="AG10" s="34">
        <f t="shared" si="3"/>
        <v>0.21744326463105709</v>
      </c>
      <c r="AH10" s="17"/>
      <c r="AI10" s="18">
        <f t="shared" si="2"/>
        <v>0</v>
      </c>
      <c r="AJ10" s="17"/>
    </row>
    <row r="11" spans="1:36">
      <c r="A11" s="40" t="s">
        <v>30</v>
      </c>
      <c r="B11" s="41">
        <f>SUM(B12:B14)</f>
        <v>1477.2598819619623</v>
      </c>
      <c r="C11" s="42">
        <f t="shared" si="4"/>
        <v>0.44044784004030257</v>
      </c>
      <c r="D11" s="43">
        <f t="shared" ref="D11" si="27">SUM(D12:D14)</f>
        <v>100.41344647271799</v>
      </c>
      <c r="E11" s="42">
        <f t="shared" si="6"/>
        <v>0.56793481957898573</v>
      </c>
      <c r="F11" s="44">
        <f>SUMPRODUCT($B12:$B14,F12:F14)/$B11</f>
        <v>6.7972770193527488E-2</v>
      </c>
      <c r="G11" s="44">
        <f>SUMPRODUCT($B12:$B14,G12:G14)/$B11</f>
        <v>6.7972770193527488E-2</v>
      </c>
      <c r="H11" s="45"/>
      <c r="I11" s="41">
        <f>SUM(I12:I14)</f>
        <v>1628.6202340987652</v>
      </c>
      <c r="J11" s="42">
        <f t="shared" si="7"/>
        <v>0.45047548327014808</v>
      </c>
      <c r="K11" s="43">
        <f t="shared" ref="K11" si="28">SUM(K12:K14)</f>
        <v>113.18348803507129</v>
      </c>
      <c r="L11" s="42">
        <f t="shared" si="9"/>
        <v>0.559807037425465</v>
      </c>
      <c r="M11" s="44">
        <f>SUMPRODUCT($B12:$B14,M12:M14)/$B11</f>
        <v>6.9370369142606844E-2</v>
      </c>
      <c r="N11" s="44">
        <f>SUMPRODUCT($B12:$B14,N12:N14)/$B11</f>
        <v>6.9370369142606844E-2</v>
      </c>
      <c r="O11" s="45"/>
      <c r="P11" s="46">
        <f t="shared" si="10"/>
        <v>151.36035213680293</v>
      </c>
      <c r="Q11" s="42">
        <f t="shared" si="11"/>
        <v>0.10246020621353358</v>
      </c>
      <c r="R11" s="42">
        <f t="shared" si="12"/>
        <v>0.57916816308090469</v>
      </c>
      <c r="S11" s="47"/>
      <c r="T11" s="43">
        <f t="shared" si="13"/>
        <v>12.770041562353299</v>
      </c>
      <c r="U11" s="42">
        <f t="shared" si="14"/>
        <v>0.12717461665677293</v>
      </c>
      <c r="V11" s="42">
        <f t="shared" si="15"/>
        <v>0.50318320512902692</v>
      </c>
      <c r="W11" s="43"/>
      <c r="X11" s="43">
        <f>SUM(X12:X14)</f>
        <v>7.824145228681795</v>
      </c>
      <c r="Y11" s="42">
        <f t="shared" si="0"/>
        <v>1.0308039145767276</v>
      </c>
      <c r="Z11" s="43"/>
      <c r="AA11" s="43">
        <f>SUM(AA12:AA14)</f>
        <v>2.678688143341363</v>
      </c>
      <c r="AB11" s="42">
        <f t="shared" si="1"/>
        <v>0.35290784403700903</v>
      </c>
      <c r="AC11" s="43"/>
      <c r="AD11" s="43">
        <f>SUM(AD12:AD14)</f>
        <v>2.2672081903301256</v>
      </c>
      <c r="AE11" s="43">
        <f>SUM(AE12:AE14)</f>
        <v>0</v>
      </c>
      <c r="AF11" s="43">
        <f t="shared" si="16"/>
        <v>2.2672081903301256</v>
      </c>
      <c r="AG11" s="42">
        <f t="shared" si="3"/>
        <v>0.29869679171924773</v>
      </c>
      <c r="AH11" s="17"/>
      <c r="AI11" s="18">
        <f t="shared" si="2"/>
        <v>-1.5987211554602254E-14</v>
      </c>
      <c r="AJ11" s="17"/>
    </row>
    <row r="12" spans="1:36">
      <c r="A12" s="82" t="s">
        <v>31</v>
      </c>
      <c r="B12" s="20">
        <v>1006.6967657731101</v>
      </c>
      <c r="C12" s="8">
        <f t="shared" si="4"/>
        <v>0.30014855305719434</v>
      </c>
      <c r="D12" s="21">
        <v>69.177338341717928</v>
      </c>
      <c r="E12" s="8">
        <f t="shared" si="6"/>
        <v>0.39126452233399345</v>
      </c>
      <c r="F12" s="48">
        <f t="shared" si="17"/>
        <v>6.8717155645763903E-2</v>
      </c>
      <c r="G12" s="10">
        <f t="shared" ref="G12:G14" si="29">D12/B12</f>
        <v>6.8717155645763903E-2</v>
      </c>
      <c r="I12" s="20">
        <v>1095.8879397345199</v>
      </c>
      <c r="J12" s="8">
        <f t="shared" si="7"/>
        <v>0.30312201637051311</v>
      </c>
      <c r="K12" s="21">
        <v>76.114695569836186</v>
      </c>
      <c r="L12" s="8">
        <f t="shared" si="9"/>
        <v>0.37646429679113685</v>
      </c>
      <c r="M12" s="48">
        <f t="shared" ref="M12:M15" si="30">N12</f>
        <v>6.9454816327548102E-2</v>
      </c>
      <c r="N12" s="10">
        <f t="shared" ref="N12:N14" si="31">K12/I12</f>
        <v>6.9454816327548102E-2</v>
      </c>
      <c r="P12" s="12">
        <f t="shared" si="10"/>
        <v>89.191173961409845</v>
      </c>
      <c r="Q12" s="8">
        <f t="shared" si="11"/>
        <v>8.8597854879283289E-2</v>
      </c>
      <c r="R12" s="8">
        <f t="shared" si="12"/>
        <v>0.34128282378446551</v>
      </c>
      <c r="T12" s="9">
        <f t="shared" si="13"/>
        <v>6.9373572281182589</v>
      </c>
      <c r="U12" s="8">
        <f t="shared" si="14"/>
        <v>0.10028366795278436</v>
      </c>
      <c r="V12" s="8">
        <f t="shared" si="15"/>
        <v>0.27335554298119918</v>
      </c>
      <c r="X12" s="9">
        <f t="shared" si="21"/>
        <v>5.3902496202668964</v>
      </c>
      <c r="Y12" s="8">
        <f t="shared" si="0"/>
        <v>0.71014663541118284</v>
      </c>
      <c r="AA12" s="9">
        <f>((I12-B12)-(I$4/B$4-1)*B12)*G12</f>
        <v>0.73871416306770865</v>
      </c>
      <c r="AB12" s="8">
        <f t="shared" si="1"/>
        <v>9.7323021082490427E-2</v>
      </c>
      <c r="AD12" s="9">
        <f>I12*(M12-F12)</f>
        <v>0.80839344478364783</v>
      </c>
      <c r="AE12" s="9">
        <f>I12*((N12-M12)-(G12-F12))</f>
        <v>0</v>
      </c>
      <c r="AF12" s="9">
        <f t="shared" si="16"/>
        <v>0.80839344478364783</v>
      </c>
      <c r="AG12" s="8">
        <f t="shared" si="3"/>
        <v>0.10650302404235187</v>
      </c>
      <c r="AH12" s="17"/>
      <c r="AI12" s="18">
        <f t="shared" si="2"/>
        <v>0</v>
      </c>
      <c r="AJ12" s="17"/>
    </row>
    <row r="13" spans="1:36">
      <c r="A13" s="82" t="s">
        <v>32</v>
      </c>
      <c r="B13" s="20">
        <v>421.68521728962094</v>
      </c>
      <c r="C13" s="8">
        <f t="shared" si="4"/>
        <v>0.12572624857683742</v>
      </c>
      <c r="D13" s="21">
        <v>28.562501399400073</v>
      </c>
      <c r="E13" s="8">
        <f t="shared" si="6"/>
        <v>0.16154847432111769</v>
      </c>
      <c r="F13" s="48">
        <f t="shared" si="17"/>
        <v>6.7734177600498713E-2</v>
      </c>
      <c r="G13" s="10">
        <f t="shared" si="29"/>
        <v>6.7734177600498713E-2</v>
      </c>
      <c r="I13" s="20">
        <v>496.3513685707718</v>
      </c>
      <c r="J13" s="8">
        <f t="shared" si="7"/>
        <v>0.13729052233742436</v>
      </c>
      <c r="K13" s="21">
        <v>34.911434170129141</v>
      </c>
      <c r="L13" s="8">
        <f t="shared" si="9"/>
        <v>0.17267241780884415</v>
      </c>
      <c r="M13" s="48">
        <f t="shared" si="30"/>
        <v>7.0336129566148917E-2</v>
      </c>
      <c r="N13" s="10">
        <f t="shared" si="31"/>
        <v>7.0336129566148917E-2</v>
      </c>
      <c r="P13" s="12">
        <f t="shared" si="10"/>
        <v>74.66615128115086</v>
      </c>
      <c r="Q13" s="8">
        <f t="shared" si="11"/>
        <v>0.17706608678641161</v>
      </c>
      <c r="R13" s="8">
        <f t="shared" si="12"/>
        <v>0.28570399758808662</v>
      </c>
      <c r="T13" s="9">
        <f t="shared" si="13"/>
        <v>6.3489327707290677</v>
      </c>
      <c r="U13" s="8">
        <f t="shared" si="14"/>
        <v>0.22228209924437572</v>
      </c>
      <c r="V13" s="8">
        <f t="shared" si="15"/>
        <v>0.25016961183135272</v>
      </c>
      <c r="X13" s="9">
        <f t="shared" si="21"/>
        <v>2.2255700495655346</v>
      </c>
      <c r="Y13" s="8">
        <f t="shared" si="0"/>
        <v>0.29321111152781953</v>
      </c>
      <c r="AA13" s="9">
        <f t="shared" ref="AA13:AA14" si="32">((I13-B13)-(I$4/B$4-1)*B13)*G13</f>
        <v>2.831880302057642</v>
      </c>
      <c r="AB13" s="8">
        <f t="shared" si="1"/>
        <v>0.37309037800996347</v>
      </c>
      <c r="AD13" s="9">
        <f t="shared" ref="AD13:AD14" si="33">I13*(M13-F13)</f>
        <v>1.2914824191058885</v>
      </c>
      <c r="AE13" s="9">
        <f t="shared" ref="AE13:AE14" si="34">I13*((N13-M13)-(G13-F13))</f>
        <v>0</v>
      </c>
      <c r="AF13" s="9">
        <f t="shared" si="16"/>
        <v>1.2914824191058885</v>
      </c>
      <c r="AG13" s="8">
        <f t="shared" si="3"/>
        <v>0.17014831579828205</v>
      </c>
      <c r="AH13" s="17"/>
      <c r="AI13" s="18">
        <f t="shared" si="2"/>
        <v>0</v>
      </c>
      <c r="AJ13" s="17"/>
    </row>
    <row r="14" spans="1:36">
      <c r="A14" s="82" t="s">
        <v>33</v>
      </c>
      <c r="B14" s="20">
        <v>48.877898899231198</v>
      </c>
      <c r="C14" s="8">
        <f t="shared" si="4"/>
        <v>1.4573038406270744E-2</v>
      </c>
      <c r="D14" s="21">
        <v>2.6736067315999956</v>
      </c>
      <c r="E14" s="8">
        <f t="shared" si="6"/>
        <v>1.5121822923874633E-2</v>
      </c>
      <c r="F14" s="48">
        <f t="shared" si="17"/>
        <v>5.46997066529398E-2</v>
      </c>
      <c r="G14" s="10">
        <f t="shared" si="29"/>
        <v>5.46997066529398E-2</v>
      </c>
      <c r="I14" s="20">
        <v>36.380925793473502</v>
      </c>
      <c r="J14" s="8">
        <f t="shared" si="7"/>
        <v>1.0062944562210629E-2</v>
      </c>
      <c r="K14" s="21">
        <v>2.1573582951059609</v>
      </c>
      <c r="L14" s="8">
        <f t="shared" si="9"/>
        <v>1.0670322825484033E-2</v>
      </c>
      <c r="M14" s="48">
        <f t="shared" si="30"/>
        <v>5.9299158777674006E-2</v>
      </c>
      <c r="N14" s="10">
        <f t="shared" si="31"/>
        <v>5.9299158777674006E-2</v>
      </c>
      <c r="P14" s="12">
        <f t="shared" si="10"/>
        <v>-12.496973105757696</v>
      </c>
      <c r="Q14" s="8">
        <f t="shared" si="11"/>
        <v>-0.25567737949460551</v>
      </c>
      <c r="R14" s="8">
        <f t="shared" si="12"/>
        <v>-4.7818658291647081E-2</v>
      </c>
      <c r="T14" s="9">
        <f t="shared" si="13"/>
        <v>-0.51624843649403473</v>
      </c>
      <c r="U14" s="8">
        <f t="shared" si="14"/>
        <v>-0.19309064059136721</v>
      </c>
      <c r="V14" s="8">
        <f t="shared" si="15"/>
        <v>-2.0341949683525276E-2</v>
      </c>
      <c r="X14" s="9">
        <f t="shared" si="21"/>
        <v>0.20832555884936357</v>
      </c>
      <c r="Y14" s="8">
        <f t="shared" si="0"/>
        <v>2.744616763772521E-2</v>
      </c>
      <c r="AA14" s="9">
        <f t="shared" si="32"/>
        <v>-0.89190632178398754</v>
      </c>
      <c r="AB14" s="8">
        <f t="shared" si="1"/>
        <v>-0.11750555505544485</v>
      </c>
      <c r="AD14" s="9">
        <f t="shared" si="33"/>
        <v>0.16733232644058918</v>
      </c>
      <c r="AE14" s="9">
        <f t="shared" si="34"/>
        <v>0</v>
      </c>
      <c r="AF14" s="9">
        <f t="shared" si="16"/>
        <v>0.16733232644058918</v>
      </c>
      <c r="AG14" s="8">
        <f t="shared" si="3"/>
        <v>2.2045451878613787E-2</v>
      </c>
      <c r="AH14" s="17"/>
      <c r="AI14" s="18">
        <f t="shared" si="2"/>
        <v>0</v>
      </c>
      <c r="AJ14" s="17"/>
    </row>
    <row r="15" spans="1:36">
      <c r="A15" s="19" t="s">
        <v>34</v>
      </c>
      <c r="B15" s="20">
        <v>0.1</v>
      </c>
      <c r="C15" s="8">
        <f t="shared" si="4"/>
        <v>2.981518996206272E-5</v>
      </c>
      <c r="D15" s="21">
        <v>0.01</v>
      </c>
      <c r="E15" s="8">
        <f t="shared" si="6"/>
        <v>5.6559638129071867E-5</v>
      </c>
      <c r="F15" s="10">
        <f t="shared" si="17"/>
        <v>9.9999999999999992E-2</v>
      </c>
      <c r="G15" s="10">
        <f>D15/B15</f>
        <v>9.9999999999999992E-2</v>
      </c>
      <c r="I15" s="20">
        <v>0.1</v>
      </c>
      <c r="J15" s="8">
        <f t="shared" si="7"/>
        <v>2.765994636677403E-5</v>
      </c>
      <c r="K15" s="21">
        <v>0.02</v>
      </c>
      <c r="L15" s="8">
        <f t="shared" si="9"/>
        <v>9.8920266046581272E-5</v>
      </c>
      <c r="M15" s="10">
        <f t="shared" si="30"/>
        <v>0.19999999999999998</v>
      </c>
      <c r="N15" s="10">
        <f>K15/I15</f>
        <v>0.19999999999999998</v>
      </c>
      <c r="P15" s="12">
        <f t="shared" si="10"/>
        <v>0</v>
      </c>
      <c r="Q15" s="8">
        <f t="shared" si="11"/>
        <v>0</v>
      </c>
      <c r="R15" s="8">
        <f t="shared" si="12"/>
        <v>0</v>
      </c>
      <c r="T15" s="9">
        <f t="shared" si="13"/>
        <v>0.01</v>
      </c>
      <c r="U15" s="8">
        <f t="shared" si="14"/>
        <v>1</v>
      </c>
      <c r="V15" s="8">
        <f t="shared" si="15"/>
        <v>3.9403411701684308E-4</v>
      </c>
      <c r="X15" s="9">
        <f t="shared" si="21"/>
        <v>7.7919297698915142E-4</v>
      </c>
      <c r="Y15" s="8">
        <f t="shared" si="0"/>
        <v>1.026559639954987E-4</v>
      </c>
      <c r="AA15" s="9">
        <f>((I15-B15)-(I$4/B$4-1)*B15)*G15</f>
        <v>-7.7919297698915142E-4</v>
      </c>
      <c r="AB15" s="8">
        <f t="shared" si="1"/>
        <v>-1.026559639954987E-4</v>
      </c>
      <c r="AD15" s="9">
        <f>I15*(M15-F15)</f>
        <v>0.01</v>
      </c>
      <c r="AE15" s="9">
        <f>I15*((N15-M15)-(G15-F15))</f>
        <v>0</v>
      </c>
      <c r="AF15" s="9">
        <f t="shared" si="16"/>
        <v>0.01</v>
      </c>
      <c r="AG15" s="8">
        <f t="shared" si="3"/>
        <v>1.3174652111492013E-3</v>
      </c>
      <c r="AH15" s="17"/>
      <c r="AI15" s="18">
        <f t="shared" si="2"/>
        <v>0</v>
      </c>
      <c r="AJ15" s="17"/>
    </row>
    <row r="16" spans="1:36">
      <c r="A16" s="91" t="s">
        <v>35</v>
      </c>
      <c r="B16" s="86">
        <f>SUM(B17,B20,B28)</f>
        <v>3100.3443905120184</v>
      </c>
      <c r="C16" s="87">
        <f>B16/B$16</f>
        <v>1</v>
      </c>
      <c r="D16" s="88">
        <f>SUM(D17,D20,D28)</f>
        <v>79.391773450655748</v>
      </c>
      <c r="E16" s="87">
        <f>D16/D$16</f>
        <v>1</v>
      </c>
      <c r="F16" s="89">
        <f>($B17*F17+$B20*F20+$B28*F28)/$B16</f>
        <v>2.5607404678531304E-2</v>
      </c>
      <c r="G16" s="89">
        <f>($B17*G17+$B20*G20+$B28*G28)/$B16</f>
        <v>2.5607404678531304E-2</v>
      </c>
      <c r="H16" s="30"/>
      <c r="I16" s="86">
        <f>SUM(I17,I20,I28)</f>
        <v>3427.8154608567725</v>
      </c>
      <c r="J16" s="87">
        <f>I16/I$16</f>
        <v>1</v>
      </c>
      <c r="K16" s="88">
        <f>SUM(K17,K20,K28)</f>
        <v>87.614843325176466</v>
      </c>
      <c r="L16" s="87">
        <f>K16/K$16</f>
        <v>1</v>
      </c>
      <c r="M16" s="89">
        <f>($I17*M17+$I20*M20+$I28*M28)/$I16</f>
        <v>2.5559965034779728E-2</v>
      </c>
      <c r="N16" s="89">
        <f t="shared" ref="N16:O16" si="35">($I17*N17+$I20*N20+$I28*N28)/$I16</f>
        <v>2.5559965034779728E-2</v>
      </c>
      <c r="O16" s="30">
        <f t="shared" si="35"/>
        <v>0</v>
      </c>
      <c r="P16" s="90">
        <f t="shared" si="10"/>
        <v>327.47107034475403</v>
      </c>
      <c r="Q16" s="87">
        <f t="shared" si="11"/>
        <v>0.10562409497051795</v>
      </c>
      <c r="R16" s="87">
        <f>P16/P$16</f>
        <v>1</v>
      </c>
      <c r="S16" s="84"/>
      <c r="T16" s="88">
        <f t="shared" si="13"/>
        <v>8.2230698745207178</v>
      </c>
      <c r="U16" s="87">
        <f t="shared" si="14"/>
        <v>0.10357584315245949</v>
      </c>
      <c r="V16" s="87">
        <f>T16/T$16</f>
        <v>1</v>
      </c>
      <c r="W16" s="31"/>
      <c r="X16" s="88">
        <f>SUM(X17,X20,X28)</f>
        <v>6.1861512303464723</v>
      </c>
      <c r="Y16" s="87">
        <f t="shared" si="0"/>
        <v>0.81500390368893061</v>
      </c>
      <c r="Z16" s="31"/>
      <c r="AA16" s="88">
        <f>SUM(AA17,AA20,AA28)</f>
        <v>1.7563075169974303</v>
      </c>
      <c r="AB16" s="87">
        <f t="shared" si="1"/>
        <v>0.23138740537239486</v>
      </c>
      <c r="AC16" s="31"/>
      <c r="AD16" s="88">
        <f>SUM(AD17,AD20,AD28)</f>
        <v>0.28061112717682479</v>
      </c>
      <c r="AE16" s="88">
        <f>SUM(AE17,AE20,AE28)</f>
        <v>0</v>
      </c>
      <c r="AF16" s="88">
        <f t="shared" si="16"/>
        <v>0.28061112717682479</v>
      </c>
      <c r="AG16" s="87">
        <f t="shared" si="3"/>
        <v>3.6969539791683083E-2</v>
      </c>
      <c r="AH16" s="115"/>
      <c r="AI16" s="18">
        <f t="shared" si="2"/>
        <v>0</v>
      </c>
      <c r="AJ16" s="17"/>
    </row>
    <row r="17" spans="1:36">
      <c r="A17" s="22" t="s">
        <v>36</v>
      </c>
      <c r="B17" s="23">
        <f>SUM(B18:B19)</f>
        <v>524.28912167970873</v>
      </c>
      <c r="C17" s="24">
        <f t="shared" ref="C17:C28" si="36">B17/B$16</f>
        <v>0.16910673642714993</v>
      </c>
      <c r="D17" s="25">
        <f>SUM(D18:D19)</f>
        <v>27.832590489500014</v>
      </c>
      <c r="E17" s="24">
        <f>D17/D$16</f>
        <v>0.35057272661630062</v>
      </c>
      <c r="F17" s="26">
        <f>SUMPRODUCT($B18:$B19,F18:F19)/$B17</f>
        <v>5.3086339843043902E-2</v>
      </c>
      <c r="G17" s="26">
        <f>SUMPRODUCT($B18:$B19,G18:G19)/$B17</f>
        <v>5.3086339843043902E-2</v>
      </c>
      <c r="H17" s="27"/>
      <c r="I17" s="23">
        <f>SUM(I18:I19)</f>
        <v>523.99501498006634</v>
      </c>
      <c r="J17" s="24">
        <f>I17/I$16</f>
        <v>0.15286558479116472</v>
      </c>
      <c r="K17" s="25">
        <f>SUM(K18:K19)</f>
        <v>29.054929695185425</v>
      </c>
      <c r="L17" s="24">
        <f>K17/K$16</f>
        <v>0.33162108830520931</v>
      </c>
      <c r="M17" s="26">
        <f>SUMPRODUCT($I18:$I19,M18:M19)/$I17</f>
        <v>5.5448866620020659E-2</v>
      </c>
      <c r="N17" s="26">
        <f>SUMPRODUCT($I18:$I19,N18:N19)/$I17</f>
        <v>5.5448866620020659E-2</v>
      </c>
      <c r="O17" s="27"/>
      <c r="P17" s="28">
        <f t="shared" si="10"/>
        <v>-0.29410669964238423</v>
      </c>
      <c r="Q17" s="24">
        <f t="shared" si="11"/>
        <v>-5.6096281132084159E-4</v>
      </c>
      <c r="R17" s="24">
        <f t="shared" ref="R17:R28" si="37">P17/P$16</f>
        <v>-8.9811505893560445E-4</v>
      </c>
      <c r="S17" s="29"/>
      <c r="T17" s="25">
        <f t="shared" si="13"/>
        <v>1.2223392056854117</v>
      </c>
      <c r="U17" s="24">
        <f t="shared" si="14"/>
        <v>4.3917550762892346E-2</v>
      </c>
      <c r="V17" s="24">
        <f t="shared" ref="V17:V28" si="38">T17/T$16</f>
        <v>0.14864755186780604</v>
      </c>
      <c r="W17" s="25"/>
      <c r="X17" s="25">
        <f>SUM(X18:X19)</f>
        <v>2.168695904083346</v>
      </c>
      <c r="Y17" s="24">
        <f t="shared" si="0"/>
        <v>0.2857181407191573</v>
      </c>
      <c r="Z17" s="25"/>
      <c r="AA17" s="25">
        <f t="shared" ref="AA17:AC17" si="39">SUM(AA18:AA19)</f>
        <v>-1.05327220193253</v>
      </c>
      <c r="AB17" s="24">
        <f t="shared" si="1"/>
        <v>-0.13876494839166248</v>
      </c>
      <c r="AC17" s="25">
        <f t="shared" si="39"/>
        <v>0</v>
      </c>
      <c r="AD17" s="25">
        <f>SUM(AD18:AD19)</f>
        <v>0.1069155035345961</v>
      </c>
      <c r="AE17" s="25">
        <f t="shared" ref="AE17" si="40">SUM(AE18:AE19)</f>
        <v>0</v>
      </c>
      <c r="AF17" s="25">
        <f t="shared" si="16"/>
        <v>0.1069155035345961</v>
      </c>
      <c r="AG17" s="24">
        <f t="shared" si="3"/>
        <v>1.4085745643932982E-2</v>
      </c>
      <c r="AH17" s="17"/>
      <c r="AI17" s="18">
        <f t="shared" si="2"/>
        <v>0</v>
      </c>
      <c r="AJ17" s="17"/>
    </row>
    <row r="18" spans="1:36">
      <c r="A18" s="82" t="s">
        <v>37</v>
      </c>
      <c r="B18" s="20">
        <v>332.36872611924571</v>
      </c>
      <c r="C18" s="8">
        <f t="shared" si="36"/>
        <v>0.10720380843379641</v>
      </c>
      <c r="D18" s="118">
        <v>19</v>
      </c>
      <c r="E18" s="8">
        <f t="shared" ref="E18:E28" si="41">D18/D$16</f>
        <v>0.23931950596630824</v>
      </c>
      <c r="F18" s="10">
        <f t="shared" si="17"/>
        <v>5.7165426548535341E-2</v>
      </c>
      <c r="G18" s="10">
        <f t="shared" si="18"/>
        <v>5.7165426548535341E-2</v>
      </c>
      <c r="I18" s="20">
        <v>433.68181705289481</v>
      </c>
      <c r="J18" s="8">
        <f t="shared" ref="J18:L28" si="42">I18/I$16</f>
        <v>0.12651842609534683</v>
      </c>
      <c r="K18" s="118">
        <v>25</v>
      </c>
      <c r="L18" s="8">
        <f t="shared" ref="L18:L23" si="43">K18/K$16</f>
        <v>0.28533977864018106</v>
      </c>
      <c r="M18" s="10">
        <f t="shared" ref="M18:M19" si="44">N18</f>
        <v>5.7645949212002189E-2</v>
      </c>
      <c r="N18" s="10">
        <f t="shared" ref="N18:N28" si="45">K18/I18</f>
        <v>5.7645949212002189E-2</v>
      </c>
      <c r="P18" s="12">
        <f t="shared" si="10"/>
        <v>101.31309093364911</v>
      </c>
      <c r="Q18" s="8">
        <f t="shared" si="11"/>
        <v>0.30482137148276839</v>
      </c>
      <c r="R18" s="8">
        <f t="shared" si="37"/>
        <v>0.30938027846853466</v>
      </c>
      <c r="T18" s="9">
        <f t="shared" si="13"/>
        <v>6</v>
      </c>
      <c r="U18" s="8">
        <f t="shared" si="14"/>
        <v>0.31578947368421051</v>
      </c>
      <c r="V18" s="8">
        <f t="shared" si="38"/>
        <v>0.72965450756913464</v>
      </c>
      <c r="X18" s="9">
        <f t="shared" ref="X18:X19" si="46">(I$4/B$4-1)*B18*G18</f>
        <v>1.4804666562793878</v>
      </c>
      <c r="Y18" s="8">
        <f t="shared" si="0"/>
        <v>0.19504633159144755</v>
      </c>
      <c r="AA18" s="9">
        <f>((I18-B18)-(I$4/B$4-1)*B18)*G18</f>
        <v>4.3111394018932119</v>
      </c>
      <c r="AB18" s="8">
        <f t="shared" si="1"/>
        <v>0.5679776182408881</v>
      </c>
      <c r="AD18" s="9">
        <f>I18*(M18-F18)</f>
        <v>0.20839394182739931</v>
      </c>
      <c r="AE18" s="9">
        <f t="shared" ref="AE18:AE19" si="47">I18*((N18-M18)-(G18-F18))</f>
        <v>0</v>
      </c>
      <c r="AF18" s="9">
        <f t="shared" si="16"/>
        <v>0.20839394182739931</v>
      </c>
      <c r="AG18" s="8">
        <f t="shared" si="3"/>
        <v>2.7455176857184897E-2</v>
      </c>
      <c r="AH18" s="17"/>
      <c r="AI18" s="18">
        <f t="shared" si="2"/>
        <v>0</v>
      </c>
      <c r="AJ18" s="17"/>
    </row>
    <row r="19" spans="1:36">
      <c r="A19" s="82" t="s">
        <v>38</v>
      </c>
      <c r="B19" s="20">
        <v>191.92039556046299</v>
      </c>
      <c r="C19" s="8">
        <f t="shared" si="36"/>
        <v>6.1902927993353521E-2</v>
      </c>
      <c r="D19" s="21">
        <v>8.8325904895000118</v>
      </c>
      <c r="E19" s="8">
        <f t="shared" si="41"/>
        <v>0.11125322064999239</v>
      </c>
      <c r="F19" s="10">
        <f t="shared" si="17"/>
        <v>4.6022156549366713E-2</v>
      </c>
      <c r="G19" s="10">
        <f t="shared" si="18"/>
        <v>4.6022156549366713E-2</v>
      </c>
      <c r="I19" s="20">
        <v>90.313197927171501</v>
      </c>
      <c r="J19" s="8">
        <f t="shared" si="42"/>
        <v>2.6347158695817885E-2</v>
      </c>
      <c r="K19" s="21">
        <v>4.0549296951854252</v>
      </c>
      <c r="L19" s="8">
        <f t="shared" si="43"/>
        <v>4.6281309665028247E-2</v>
      </c>
      <c r="M19" s="10">
        <f t="shared" si="44"/>
        <v>4.4898528545687391E-2</v>
      </c>
      <c r="N19" s="10">
        <f t="shared" si="45"/>
        <v>4.4898528545687391E-2</v>
      </c>
      <c r="P19" s="12">
        <f t="shared" si="10"/>
        <v>-101.60719763329149</v>
      </c>
      <c r="Q19" s="8">
        <f t="shared" si="11"/>
        <v>-0.52942365680608949</v>
      </c>
      <c r="R19" s="8">
        <f t="shared" si="37"/>
        <v>-0.31027839352747028</v>
      </c>
      <c r="T19" s="9">
        <f t="shared" si="13"/>
        <v>-4.7776607943145866</v>
      </c>
      <c r="U19" s="8">
        <f t="shared" si="14"/>
        <v>-0.54091274807704082</v>
      </c>
      <c r="V19" s="8">
        <f t="shared" si="38"/>
        <v>-0.58100695570132832</v>
      </c>
      <c r="X19" s="9">
        <f t="shared" si="46"/>
        <v>0.68822924780395811</v>
      </c>
      <c r="Y19" s="8">
        <f t="shared" si="0"/>
        <v>9.0671809127709752E-2</v>
      </c>
      <c r="AA19" s="9">
        <f>((I19-B19)-(I$4/B$4-1)*B19)*G19</f>
        <v>-5.3644116038257419</v>
      </c>
      <c r="AB19" s="8">
        <f t="shared" si="1"/>
        <v>-0.70674256663255064</v>
      </c>
      <c r="AD19" s="9">
        <f>I19*(M19-F19)</f>
        <v>-0.10147843829280322</v>
      </c>
      <c r="AE19" s="9">
        <f t="shared" si="47"/>
        <v>0</v>
      </c>
      <c r="AF19" s="9">
        <f t="shared" si="16"/>
        <v>-0.10147843829280322</v>
      </c>
      <c r="AG19" s="8">
        <f t="shared" si="3"/>
        <v>-1.3369431213251917E-2</v>
      </c>
      <c r="AH19" s="17"/>
      <c r="AI19" s="18">
        <f t="shared" si="2"/>
        <v>0</v>
      </c>
      <c r="AJ19" s="17"/>
    </row>
    <row r="20" spans="1:36">
      <c r="A20" s="40" t="s">
        <v>39</v>
      </c>
      <c r="B20" s="41">
        <f>SUM(B21,B24,B27)</f>
        <v>2575.0963647227204</v>
      </c>
      <c r="C20" s="42">
        <f t="shared" si="36"/>
        <v>0.83058397402665518</v>
      </c>
      <c r="D20" s="43">
        <f>SUM(D21,D24,D27)</f>
        <v>51.501744604991345</v>
      </c>
      <c r="E20" s="42">
        <f t="shared" si="41"/>
        <v>0.64870379343523732</v>
      </c>
      <c r="F20" s="44">
        <f>($B21*F21+$B24*F24+$B27*F27)/$B20</f>
        <v>1.9999929055290685E-2</v>
      </c>
      <c r="G20" s="44">
        <f t="shared" ref="G20:H20" si="48">($B21*G21+$B24*G24+$B27*G27)/$B20</f>
        <v>1.9999929055290685E-2</v>
      </c>
      <c r="H20" s="45">
        <f t="shared" si="48"/>
        <v>0</v>
      </c>
      <c r="I20" s="41">
        <f>SUM(I21,I24,I27)</f>
        <v>2902.8615417671172</v>
      </c>
      <c r="J20" s="42">
        <f t="shared" si="42"/>
        <v>0.84685467316305163</v>
      </c>
      <c r="K20" s="43">
        <f>SUM(K21,K24,K27)</f>
        <v>58.502475273826654</v>
      </c>
      <c r="L20" s="42">
        <f t="shared" si="43"/>
        <v>0.66772333378145454</v>
      </c>
      <c r="M20" s="44">
        <f>($I21*M21+$I24*M24+$I27*M27)/$I20</f>
        <v>2.0153381217835581E-2</v>
      </c>
      <c r="N20" s="44">
        <f>($I21*N21+$I24*N24+$I27*N27)/$I20</f>
        <v>2.0153381217835581E-2</v>
      </c>
      <c r="O20" s="45"/>
      <c r="P20" s="46">
        <f t="shared" si="10"/>
        <v>327.76517704439675</v>
      </c>
      <c r="Q20" s="42">
        <f t="shared" si="11"/>
        <v>0.12728268407139381</v>
      </c>
      <c r="R20" s="42">
        <f t="shared" si="37"/>
        <v>1.0008981150589367</v>
      </c>
      <c r="S20" s="47"/>
      <c r="T20" s="43">
        <f t="shared" si="13"/>
        <v>7.0007306688353097</v>
      </c>
      <c r="U20" s="42">
        <f t="shared" si="14"/>
        <v>0.13593191303575428</v>
      </c>
      <c r="V20" s="42">
        <f t="shared" si="38"/>
        <v>0.85135244813219435</v>
      </c>
      <c r="W20" s="43"/>
      <c r="X20" s="43">
        <f>SUM(X21,X24,X27)</f>
        <v>4.0129797698898173</v>
      </c>
      <c r="Y20" s="42">
        <f t="shared" si="0"/>
        <v>0.52869612398753607</v>
      </c>
      <c r="Z20" s="43"/>
      <c r="AA20" s="43">
        <f>SUM(AA21,AA24,AA27)</f>
        <v>2.8140552753032693</v>
      </c>
      <c r="AB20" s="42">
        <f t="shared" si="1"/>
        <v>0.37074199274629449</v>
      </c>
      <c r="AC20" s="43"/>
      <c r="AD20" s="43">
        <f>SUM(AD21,AD24,AD27)</f>
        <v>0.17369562364222868</v>
      </c>
      <c r="AE20" s="43">
        <f>SUM(AE21,AE24,AE27)</f>
        <v>0</v>
      </c>
      <c r="AF20" s="43">
        <f t="shared" si="16"/>
        <v>0.17369562364222868</v>
      </c>
      <c r="AG20" s="42">
        <f t="shared" si="3"/>
        <v>2.2883794147750099E-2</v>
      </c>
      <c r="AH20" s="17"/>
      <c r="AI20" s="18">
        <f t="shared" si="2"/>
        <v>0</v>
      </c>
      <c r="AJ20" s="17"/>
    </row>
    <row r="21" spans="1:36">
      <c r="A21" s="82" t="s">
        <v>40</v>
      </c>
      <c r="B21" s="7">
        <f>SUM(B22:B23)</f>
        <v>1061.6332662526934</v>
      </c>
      <c r="C21" s="8">
        <f t="shared" si="36"/>
        <v>0.34242430276507629</v>
      </c>
      <c r="D21" s="9">
        <f>SUM(D22:D23)</f>
        <v>20.651009986154033</v>
      </c>
      <c r="E21" s="8">
        <f t="shared" si="41"/>
        <v>0.26011523724166741</v>
      </c>
      <c r="F21" s="10">
        <f>SUMPRODUCT($B22:$B23,F22:F23)/$B21</f>
        <v>1.9452112742328682E-2</v>
      </c>
      <c r="G21" s="10">
        <f>SUMPRODUCT($B22:$B23,G22:G23)/$B21</f>
        <v>1.9452112742328682E-2</v>
      </c>
      <c r="I21" s="7">
        <f>SUM(I22:I23)</f>
        <v>1161.2344688794701</v>
      </c>
      <c r="J21" s="8">
        <f t="shared" si="42"/>
        <v>0.33876808192854785</v>
      </c>
      <c r="K21" s="9">
        <f>SUM(K22:K23)</f>
        <v>23.468927068871622</v>
      </c>
      <c r="L21" s="8">
        <f t="shared" si="43"/>
        <v>0.26786473819017531</v>
      </c>
      <c r="M21" s="10">
        <f>SUMPRODUCT($I22:$I23,M22:M23)/$I21</f>
        <v>2.0210325905601043E-2</v>
      </c>
      <c r="N21" s="10">
        <f>SUMPRODUCT($I22:$I23,N22:N23)/$I21</f>
        <v>2.0210325905601043E-2</v>
      </c>
      <c r="P21" s="12">
        <f t="shared" si="10"/>
        <v>99.60120262677674</v>
      </c>
      <c r="Q21" s="8">
        <f t="shared" si="11"/>
        <v>9.3818841018749072E-2</v>
      </c>
      <c r="R21" s="8">
        <f t="shared" si="37"/>
        <v>0.30415267682094443</v>
      </c>
      <c r="T21" s="9">
        <f t="shared" si="13"/>
        <v>2.8179170827175888</v>
      </c>
      <c r="U21" s="8">
        <f t="shared" si="14"/>
        <v>0.13645420173671549</v>
      </c>
      <c r="V21" s="8">
        <f t="shared" si="38"/>
        <v>0.34268431689349244</v>
      </c>
      <c r="X21" s="9">
        <f>SUM(X22:X23)</f>
        <v>1.6091121948944058</v>
      </c>
      <c r="Y21" s="8">
        <f t="shared" si="0"/>
        <v>0.21199493376093129</v>
      </c>
      <c r="AA21" s="9">
        <f>SUM(AA22:AA23)</f>
        <v>1.9225930599981615</v>
      </c>
      <c r="AB21" s="8">
        <f t="shared" si="1"/>
        <v>0.25329494717444667</v>
      </c>
      <c r="AD21" s="9">
        <f>SUM(AD22:AD23)</f>
        <v>-0.71378817217498003</v>
      </c>
      <c r="AE21" s="9">
        <f>SUM(AE22:AE23)</f>
        <v>0</v>
      </c>
      <c r="AF21" s="9">
        <f t="shared" si="16"/>
        <v>-0.71378817217498003</v>
      </c>
      <c r="AG21" s="8">
        <f t="shared" si="3"/>
        <v>-9.4039108497031246E-2</v>
      </c>
      <c r="AH21" s="17"/>
      <c r="AI21" s="18">
        <f t="shared" si="2"/>
        <v>0</v>
      </c>
      <c r="AJ21" s="17"/>
    </row>
    <row r="22" spans="1:36">
      <c r="A22" s="102" t="s">
        <v>41</v>
      </c>
      <c r="B22" s="103">
        <v>499.54597733929899</v>
      </c>
      <c r="C22" s="104">
        <f t="shared" si="36"/>
        <v>0.16112596357619469</v>
      </c>
      <c r="D22" s="105">
        <v>2.9121995465342283</v>
      </c>
      <c r="E22" s="104">
        <f t="shared" si="41"/>
        <v>3.6681376671151497E-2</v>
      </c>
      <c r="F22" s="106">
        <f t="shared" ref="F22:F23" si="49">G22</f>
        <v>5.8296927182664897E-3</v>
      </c>
      <c r="G22" s="107">
        <f t="shared" si="18"/>
        <v>5.8296927182664897E-3</v>
      </c>
      <c r="H22" s="108"/>
      <c r="I22" s="103">
        <v>484.44989355611199</v>
      </c>
      <c r="J22" s="104">
        <f t="shared" si="42"/>
        <v>0.14132904734463889</v>
      </c>
      <c r="K22" s="105">
        <v>2.8192354245507443</v>
      </c>
      <c r="L22" s="104">
        <f t="shared" si="43"/>
        <v>3.2177600479034653E-2</v>
      </c>
      <c r="M22" s="106">
        <f t="shared" ref="M22:M23" si="50">N22</f>
        <v>5.8194572071346793E-3</v>
      </c>
      <c r="N22" s="107">
        <f t="shared" si="45"/>
        <v>5.8194572071346793E-3</v>
      </c>
      <c r="O22" s="108"/>
      <c r="P22" s="109">
        <f t="shared" si="10"/>
        <v>-15.096083783186998</v>
      </c>
      <c r="Q22" s="104">
        <f t="shared" si="11"/>
        <v>-3.0219608340342045E-2</v>
      </c>
      <c r="R22" s="104">
        <f t="shared" si="37"/>
        <v>-4.6098984460808054E-2</v>
      </c>
      <c r="S22" s="110"/>
      <c r="T22" s="111">
        <f t="shared" si="13"/>
        <v>-9.2964121983484027E-2</v>
      </c>
      <c r="U22" s="104">
        <f t="shared" si="14"/>
        <v>-3.1922304944425751E-2</v>
      </c>
      <c r="V22" s="104">
        <f t="shared" si="38"/>
        <v>-1.1305281774576001E-2</v>
      </c>
      <c r="W22" s="111"/>
      <c r="X22" s="111">
        <f>(I$4/B$4-1)*B22*G22</f>
        <v>0.22691654342504622</v>
      </c>
      <c r="Y22" s="104">
        <f t="shared" si="0"/>
        <v>2.989546517967254E-2</v>
      </c>
      <c r="Z22" s="111"/>
      <c r="AA22" s="111">
        <f>((I22-B22)-(I$4/B$4-1)*B22)*G22</f>
        <v>-0.31492207313023229</v>
      </c>
      <c r="AB22" s="104">
        <f t="shared" si="1"/>
        <v>-4.1489887557206569E-2</v>
      </c>
      <c r="AC22" s="111"/>
      <c r="AD22" s="111">
        <f>I22*(M22-F22)</f>
        <v>-4.9585922782979571E-3</v>
      </c>
      <c r="AE22" s="111">
        <f>I22*((N22-M22)-(G22-F22))</f>
        <v>0</v>
      </c>
      <c r="AF22" s="111">
        <f t="shared" si="16"/>
        <v>-4.9585922782979571E-3</v>
      </c>
      <c r="AG22" s="104">
        <f t="shared" si="3"/>
        <v>-6.5327728229306161E-4</v>
      </c>
      <c r="AH22" s="17"/>
      <c r="AI22" s="18">
        <f t="shared" si="2"/>
        <v>0</v>
      </c>
      <c r="AJ22" s="17"/>
    </row>
    <row r="23" spans="1:36">
      <c r="A23" s="102" t="s">
        <v>42</v>
      </c>
      <c r="B23" s="103">
        <v>562.08728891339433</v>
      </c>
      <c r="C23" s="104">
        <f t="shared" si="36"/>
        <v>0.18129833918888161</v>
      </c>
      <c r="D23" s="105">
        <v>17.738810439619805</v>
      </c>
      <c r="E23" s="104">
        <f t="shared" si="41"/>
        <v>0.22343386057051592</v>
      </c>
      <c r="F23" s="106">
        <f t="shared" si="49"/>
        <v>3.1558817979876037E-2</v>
      </c>
      <c r="G23" s="107">
        <f t="shared" si="18"/>
        <v>3.1558817979876037E-2</v>
      </c>
      <c r="H23" s="108"/>
      <c r="I23" s="103">
        <v>676.78457532335801</v>
      </c>
      <c r="J23" s="104">
        <f t="shared" si="42"/>
        <v>0.19743903458390893</v>
      </c>
      <c r="K23" s="105">
        <v>20.649691644320878</v>
      </c>
      <c r="L23" s="104">
        <f t="shared" si="43"/>
        <v>0.23568713771114067</v>
      </c>
      <c r="M23" s="106">
        <f t="shared" si="50"/>
        <v>3.0511469080770272E-2</v>
      </c>
      <c r="N23" s="107">
        <f t="shared" si="45"/>
        <v>3.0511469080770272E-2</v>
      </c>
      <c r="O23" s="108"/>
      <c r="P23" s="109">
        <f t="shared" si="10"/>
        <v>114.69728640996368</v>
      </c>
      <c r="Q23" s="104">
        <f t="shared" si="11"/>
        <v>0.20405600459617595</v>
      </c>
      <c r="R23" s="104">
        <f t="shared" si="37"/>
        <v>0.35025166128175234</v>
      </c>
      <c r="S23" s="110"/>
      <c r="T23" s="111">
        <f t="shared" si="13"/>
        <v>2.9108812047010737</v>
      </c>
      <c r="U23" s="104">
        <f t="shared" si="14"/>
        <v>0.1640967535342501</v>
      </c>
      <c r="V23" s="104">
        <f t="shared" si="38"/>
        <v>0.35398959866806856</v>
      </c>
      <c r="W23" s="111"/>
      <c r="X23" s="111">
        <f>(I$4/B$4-1)*B23*G23</f>
        <v>1.3821956514693596</v>
      </c>
      <c r="Y23" s="104">
        <f t="shared" si="0"/>
        <v>0.18209946858125875</v>
      </c>
      <c r="Z23" s="111"/>
      <c r="AA23" s="111">
        <f>((I23-B23)-(I$4/B$4-1)*B23)*G23</f>
        <v>2.2375151331283938</v>
      </c>
      <c r="AB23" s="104">
        <f t="shared" si="1"/>
        <v>0.29478483473165323</v>
      </c>
      <c r="AC23" s="111"/>
      <c r="AD23" s="111">
        <f>I23*(M23-F23)</f>
        <v>-0.70882957989668205</v>
      </c>
      <c r="AE23" s="111">
        <f>I23*((N23-M23)-(G23-F23))</f>
        <v>0</v>
      </c>
      <c r="AF23" s="111">
        <f t="shared" si="16"/>
        <v>-0.70882957989668205</v>
      </c>
      <c r="AG23" s="104">
        <f t="shared" si="3"/>
        <v>-9.3385831214738174E-2</v>
      </c>
      <c r="AH23" s="17"/>
      <c r="AI23" s="18">
        <f t="shared" si="2"/>
        <v>0</v>
      </c>
      <c r="AJ23" s="17"/>
    </row>
    <row r="24" spans="1:36">
      <c r="A24" s="82" t="s">
        <v>43</v>
      </c>
      <c r="B24" s="7">
        <f>SUM(B25:B26)</f>
        <v>1441.3295591446563</v>
      </c>
      <c r="C24" s="8">
        <f t="shared" si="36"/>
        <v>0.46489337234778044</v>
      </c>
      <c r="D24" s="9">
        <f>SUM(D25:D26)</f>
        <v>30.849412862437312</v>
      </c>
      <c r="E24" s="8">
        <f t="shared" si="41"/>
        <v>0.38857190766258803</v>
      </c>
      <c r="F24" s="10">
        <f>SUMPRODUCT($B25:$B26,F25:F26)/$B24</f>
        <v>2.1403441472985965E-2</v>
      </c>
      <c r="G24" s="10">
        <f>SUMPRODUCT($B25:$B26,G25:G26)/$B24</f>
        <v>2.1403441472985965E-2</v>
      </c>
      <c r="I24" s="7">
        <f>SUM(I25:I26)</f>
        <v>1580.712024113639</v>
      </c>
      <c r="J24" s="8">
        <f t="shared" si="42"/>
        <v>0.4611426846527335</v>
      </c>
      <c r="K24" s="9">
        <f>SUM(K25:K26)</f>
        <v>35.027551342458345</v>
      </c>
      <c r="L24" s="8">
        <f t="shared" si="42"/>
        <v>0.39979014985458566</v>
      </c>
      <c r="M24" s="10">
        <f>SUMPRODUCT($I25:$I26,M25:M26)/$I24</f>
        <v>2.2159350221998549E-2</v>
      </c>
      <c r="N24" s="10">
        <f>SUMPRODUCT($I25:$I26,N25:N26)/$I24</f>
        <v>2.2159350221998549E-2</v>
      </c>
      <c r="P24" s="12">
        <f t="shared" si="10"/>
        <v>139.38246496898273</v>
      </c>
      <c r="Q24" s="8">
        <f t="shared" si="11"/>
        <v>9.6704091083581162E-2</v>
      </c>
      <c r="R24" s="8">
        <f t="shared" si="37"/>
        <v>0.42563291109118151</v>
      </c>
      <c r="T24" s="9">
        <f t="shared" si="13"/>
        <v>4.1781384800210333</v>
      </c>
      <c r="U24" s="8">
        <f t="shared" si="14"/>
        <v>0.13543656401669785</v>
      </c>
      <c r="V24" s="8">
        <f t="shared" si="38"/>
        <v>0.50809959586589992</v>
      </c>
      <c r="X24" s="9">
        <f>SUM(X25:X26)</f>
        <v>2.4037645846649944</v>
      </c>
      <c r="Y24" s="8">
        <f t="shared" si="0"/>
        <v>0.31668762160886388</v>
      </c>
      <c r="AA24" s="9">
        <f>SUM(AA25:AA26)</f>
        <v>0.8899383961178875</v>
      </c>
      <c r="AB24" s="8">
        <f t="shared" si="1"/>
        <v>0.11724628769512341</v>
      </c>
      <c r="AD24" s="9">
        <f>SUM(AD25:AD26)</f>
        <v>0.88443549923815767</v>
      </c>
      <c r="AE24" s="9">
        <f>SUM(AE25:AE26)</f>
        <v>0</v>
      </c>
      <c r="AF24" s="9">
        <f t="shared" si="16"/>
        <v>0.88443549923815767</v>
      </c>
      <c r="AG24" s="8">
        <f t="shared" si="3"/>
        <v>0.11652130017516485</v>
      </c>
      <c r="AH24" s="17"/>
      <c r="AI24" s="18">
        <f t="shared" si="2"/>
        <v>0</v>
      </c>
      <c r="AJ24" s="17"/>
    </row>
    <row r="25" spans="1:36">
      <c r="A25" s="92" t="s">
        <v>44</v>
      </c>
      <c r="B25" s="93">
        <v>581.44119378097707</v>
      </c>
      <c r="C25" s="94">
        <f t="shared" si="36"/>
        <v>0.18754084080477032</v>
      </c>
      <c r="D25" s="95">
        <v>2.2674564512946689</v>
      </c>
      <c r="E25" s="94">
        <f t="shared" si="41"/>
        <v>2.8560345143366243E-2</v>
      </c>
      <c r="F25" s="96">
        <f t="shared" ref="F25:F28" si="51">G25</f>
        <v>3.8997175906129492E-3</v>
      </c>
      <c r="G25" s="97">
        <f t="shared" si="18"/>
        <v>3.8997175906129492E-3</v>
      </c>
      <c r="H25" s="98"/>
      <c r="I25" s="93">
        <v>627.08800277872706</v>
      </c>
      <c r="J25" s="94">
        <f t="shared" si="42"/>
        <v>0.18294100424589024</v>
      </c>
      <c r="K25" s="95">
        <v>2.4457690982144231</v>
      </c>
      <c r="L25" s="94">
        <f t="shared" si="42"/>
        <v>2.7915008523579952E-2</v>
      </c>
      <c r="M25" s="96">
        <f t="shared" ref="M25:M26" si="52">N25</f>
        <v>3.9002007491401999E-3</v>
      </c>
      <c r="N25" s="97">
        <f t="shared" si="45"/>
        <v>3.9002007491401999E-3</v>
      </c>
      <c r="O25" s="98"/>
      <c r="P25" s="99">
        <f t="shared" si="10"/>
        <v>45.646808997749986</v>
      </c>
      <c r="Q25" s="94">
        <f t="shared" si="11"/>
        <v>7.8506320993391249E-2</v>
      </c>
      <c r="R25" s="94">
        <f t="shared" si="37"/>
        <v>0.13939188261636082</v>
      </c>
      <c r="S25" s="100"/>
      <c r="T25" s="101">
        <f t="shared" si="13"/>
        <v>0.17831264691975424</v>
      </c>
      <c r="U25" s="94">
        <f t="shared" si="14"/>
        <v>7.8639943368236043E-2</v>
      </c>
      <c r="V25" s="94">
        <f t="shared" si="38"/>
        <v>2.1684437763597041E-2</v>
      </c>
      <c r="W25" s="101"/>
      <c r="X25" s="101">
        <f>(I$4/B$4-1)*B25*G25</f>
        <v>0.17667861424775499</v>
      </c>
      <c r="Y25" s="94">
        <f t="shared" si="0"/>
        <v>2.3276792782546681E-2</v>
      </c>
      <c r="Z25" s="101"/>
      <c r="AA25" s="101">
        <f>((I25-B25)-(I$4/B$4-1)*B25)*G25</f>
        <v>1.3310497561200617E-3</v>
      </c>
      <c r="AB25" s="94">
        <f t="shared" si="1"/>
        <v>1.7536117479968099E-4</v>
      </c>
      <c r="AC25" s="101"/>
      <c r="AD25" s="101">
        <f>I25*(M25-F25)</f>
        <v>3.0298291587914974E-4</v>
      </c>
      <c r="AE25" s="101">
        <f>I25*((N25-M25)-(G25-F25))</f>
        <v>0</v>
      </c>
      <c r="AF25" s="101">
        <f t="shared" si="16"/>
        <v>3.0298291587914974E-4</v>
      </c>
      <c r="AG25" s="94">
        <f t="shared" si="3"/>
        <v>3.9916945124332463E-5</v>
      </c>
      <c r="AH25" s="17"/>
      <c r="AI25" s="18">
        <f t="shared" si="2"/>
        <v>0</v>
      </c>
      <c r="AJ25" s="17"/>
    </row>
    <row r="26" spans="1:36">
      <c r="A26" s="92" t="s">
        <v>45</v>
      </c>
      <c r="B26" s="93">
        <v>859.8883653636791</v>
      </c>
      <c r="C26" s="94">
        <f t="shared" si="36"/>
        <v>0.27735253154301015</v>
      </c>
      <c r="D26" s="95">
        <v>28.581956411142642</v>
      </c>
      <c r="E26" s="94">
        <f t="shared" si="41"/>
        <v>0.36001156251922173</v>
      </c>
      <c r="F26" s="96">
        <f t="shared" si="51"/>
        <v>3.3239147734083201E-2</v>
      </c>
      <c r="G26" s="97">
        <f t="shared" si="18"/>
        <v>3.3239147734083201E-2</v>
      </c>
      <c r="H26" s="98"/>
      <c r="I26" s="93">
        <v>953.62402133491196</v>
      </c>
      <c r="J26" s="94">
        <f t="shared" si="42"/>
        <v>0.27820168040684329</v>
      </c>
      <c r="K26" s="95">
        <v>32.581782244243925</v>
      </c>
      <c r="L26" s="94">
        <f t="shared" si="42"/>
        <v>0.37187514133100574</v>
      </c>
      <c r="M26" s="96">
        <f t="shared" si="52"/>
        <v>3.4166276766639074E-2</v>
      </c>
      <c r="N26" s="97">
        <f t="shared" si="45"/>
        <v>3.4166276766639074E-2</v>
      </c>
      <c r="O26" s="98"/>
      <c r="P26" s="99">
        <f t="shared" si="10"/>
        <v>93.735655971232859</v>
      </c>
      <c r="Q26" s="94">
        <f t="shared" si="11"/>
        <v>0.10900909902599802</v>
      </c>
      <c r="R26" s="94">
        <f t="shared" si="37"/>
        <v>0.28624102847482102</v>
      </c>
      <c r="S26" s="100"/>
      <c r="T26" s="101">
        <f t="shared" si="13"/>
        <v>3.9998258331012835</v>
      </c>
      <c r="U26" s="94">
        <f t="shared" si="14"/>
        <v>0.13994233899055125</v>
      </c>
      <c r="V26" s="94">
        <f t="shared" si="38"/>
        <v>0.48641515810230346</v>
      </c>
      <c r="W26" s="101"/>
      <c r="X26" s="101">
        <f>(I$4/B$4-1)*B26*G26</f>
        <v>2.2270859704172397</v>
      </c>
      <c r="Y26" s="94">
        <f t="shared" si="0"/>
        <v>0.29341082882631725</v>
      </c>
      <c r="Z26" s="101"/>
      <c r="AA26" s="101">
        <f>((I26-B26)-(I$4/B$4-1)*B26)*G26</f>
        <v>0.88860734636176741</v>
      </c>
      <c r="AB26" s="94">
        <f t="shared" si="1"/>
        <v>0.11707092652032372</v>
      </c>
      <c r="AC26" s="101"/>
      <c r="AD26" s="101">
        <f>I26*(M26-F26)</f>
        <v>0.88413251632227852</v>
      </c>
      <c r="AE26" s="101">
        <f>I26*((N26-M26)-(G26-F26))</f>
        <v>0</v>
      </c>
      <c r="AF26" s="101">
        <f t="shared" si="16"/>
        <v>0.88413251632227852</v>
      </c>
      <c r="AG26" s="94">
        <f t="shared" si="3"/>
        <v>0.11648138323004052</v>
      </c>
      <c r="AH26" s="17"/>
      <c r="AI26" s="18">
        <f t="shared" si="2"/>
        <v>0</v>
      </c>
      <c r="AJ26" s="17"/>
    </row>
    <row r="27" spans="1:36">
      <c r="A27" s="82" t="s">
        <v>46</v>
      </c>
      <c r="B27" s="20">
        <v>72.133539325370805</v>
      </c>
      <c r="C27" s="8">
        <f t="shared" si="36"/>
        <v>2.3266298913798424E-2</v>
      </c>
      <c r="D27" s="21">
        <v>1.3217564000000497E-3</v>
      </c>
      <c r="E27" s="8">
        <f t="shared" si="41"/>
        <v>1.6648530981885157E-5</v>
      </c>
      <c r="F27" s="10">
        <f t="shared" si="51"/>
        <v>1.8323742497065598E-5</v>
      </c>
      <c r="G27" s="10">
        <f t="shared" si="18"/>
        <v>1.8323742497065598E-5</v>
      </c>
      <c r="I27" s="20">
        <v>160.91504877400808</v>
      </c>
      <c r="J27" s="8">
        <f t="shared" si="42"/>
        <v>4.6943906581770257E-2</v>
      </c>
      <c r="K27" s="21">
        <v>5.9968624966887001E-3</v>
      </c>
      <c r="L27" s="8">
        <f t="shared" si="42"/>
        <v>6.8445736693630293E-5</v>
      </c>
      <c r="M27" s="10">
        <f>N27</f>
        <v>3.7267257117205979E-5</v>
      </c>
      <c r="N27" s="10">
        <f t="shared" si="45"/>
        <v>3.7267257117205979E-5</v>
      </c>
      <c r="P27" s="12">
        <f t="shared" si="10"/>
        <v>88.78150944863728</v>
      </c>
      <c r="Q27" s="8">
        <f t="shared" si="11"/>
        <v>1.2307937511311198</v>
      </c>
      <c r="R27" s="8">
        <f t="shared" si="37"/>
        <v>0.27111252714681067</v>
      </c>
      <c r="T27" s="9">
        <f t="shared" si="13"/>
        <v>4.6751060966886502E-3</v>
      </c>
      <c r="U27" s="8">
        <f t="shared" si="14"/>
        <v>3.5370406352399537</v>
      </c>
      <c r="V27" s="8">
        <f t="shared" si="38"/>
        <v>5.6853537280213606E-4</v>
      </c>
      <c r="X27" s="9">
        <f>(I$4/B$4-1)*B27*G27</f>
        <v>1.0299033041705024E-4</v>
      </c>
      <c r="Y27" s="8">
        <f t="shared" si="0"/>
        <v>1.3568617740922508E-5</v>
      </c>
      <c r="AA27" s="9">
        <f>((I27-B27)-(I$4/B$4-1)*B27)*G27</f>
        <v>1.5238191872205757E-3</v>
      </c>
      <c r="AB27" s="8">
        <f t="shared" si="1"/>
        <v>2.0075787672447598E-4</v>
      </c>
      <c r="AD27" s="9">
        <f>I27*(M27-F27)</f>
        <v>3.0482965790510244E-3</v>
      </c>
      <c r="AE27" s="9">
        <f t="shared" ref="AE27:AE28" si="53">I27*((N27-M27)-(G27-F27))</f>
        <v>0</v>
      </c>
      <c r="AF27" s="9">
        <f t="shared" si="16"/>
        <v>3.0482965790510244E-3</v>
      </c>
      <c r="AG27" s="8">
        <f t="shared" si="3"/>
        <v>4.0160246961648457E-4</v>
      </c>
      <c r="AH27" s="17"/>
      <c r="AI27" s="18">
        <f t="shared" si="2"/>
        <v>0</v>
      </c>
      <c r="AJ27" s="17"/>
    </row>
    <row r="28" spans="1:36">
      <c r="A28" s="19" t="s">
        <v>47</v>
      </c>
      <c r="B28" s="20">
        <v>0.95890410958903993</v>
      </c>
      <c r="C28" s="8">
        <f t="shared" si="36"/>
        <v>3.0928954619479482E-4</v>
      </c>
      <c r="D28" s="21">
        <v>5.7438356164383496E-2</v>
      </c>
      <c r="E28" s="8">
        <f t="shared" si="41"/>
        <v>7.2347994846195336E-4</v>
      </c>
      <c r="F28" s="10">
        <f t="shared" si="51"/>
        <v>5.9900000000000002E-2</v>
      </c>
      <c r="G28" s="10">
        <f t="shared" si="18"/>
        <v>5.9900000000000002E-2</v>
      </c>
      <c r="I28" s="20">
        <v>0.95890410958903993</v>
      </c>
      <c r="J28" s="8">
        <f t="shared" si="42"/>
        <v>2.7974204578369122E-4</v>
      </c>
      <c r="K28" s="21">
        <v>5.7438356164383496E-2</v>
      </c>
      <c r="L28" s="8">
        <f t="shared" si="42"/>
        <v>6.5557791333604272E-4</v>
      </c>
      <c r="M28" s="10">
        <f>N28</f>
        <v>5.9900000000000002E-2</v>
      </c>
      <c r="N28" s="10">
        <f t="shared" si="45"/>
        <v>5.9900000000000002E-2</v>
      </c>
      <c r="P28" s="12">
        <f t="shared" si="10"/>
        <v>0</v>
      </c>
      <c r="Q28" s="8">
        <f>P28/B28</f>
        <v>0</v>
      </c>
      <c r="R28" s="8">
        <f t="shared" si="37"/>
        <v>0</v>
      </c>
      <c r="T28" s="9">
        <f t="shared" si="13"/>
        <v>0</v>
      </c>
      <c r="U28" s="8">
        <f t="shared" si="14"/>
        <v>0</v>
      </c>
      <c r="V28" s="8">
        <f t="shared" si="38"/>
        <v>0</v>
      </c>
      <c r="X28" s="9">
        <f>(I$4/B$4-1)*B28*G28</f>
        <v>4.4755563733089154E-3</v>
      </c>
      <c r="Y28" s="8">
        <f t="shared" si="0"/>
        <v>5.8963898223715833E-4</v>
      </c>
      <c r="AA28" s="9">
        <f>((I28-B28)-(I$4/B$4-1)*B28)*G28</f>
        <v>-4.4755563733089154E-3</v>
      </c>
      <c r="AB28" s="8">
        <f t="shared" si="1"/>
        <v>-5.8963898223715833E-4</v>
      </c>
      <c r="AD28" s="9">
        <f>I28*(M28-F28)</f>
        <v>0</v>
      </c>
      <c r="AE28" s="9">
        <f t="shared" si="53"/>
        <v>0</v>
      </c>
      <c r="AF28" s="9">
        <f t="shared" si="16"/>
        <v>0</v>
      </c>
      <c r="AG28" s="8">
        <f t="shared" si="3"/>
        <v>0</v>
      </c>
      <c r="AH28" s="17"/>
      <c r="AI28" s="18">
        <f t="shared" si="2"/>
        <v>0</v>
      </c>
      <c r="AJ28" s="17"/>
    </row>
    <row r="29" spans="1:36">
      <c r="A29" s="19"/>
      <c r="B29" s="20"/>
      <c r="D29" s="21"/>
      <c r="I29" s="20"/>
      <c r="K29" s="21"/>
      <c r="AH29" s="17"/>
      <c r="AI29" s="18"/>
      <c r="AJ29" s="17"/>
    </row>
    <row r="30" spans="1:36">
      <c r="A30" s="49" t="s">
        <v>48</v>
      </c>
      <c r="B30" s="50">
        <f>B4-B16</f>
        <v>253.65067466252685</v>
      </c>
      <c r="C30" s="51"/>
      <c r="D30" s="52">
        <f>D4-D16</f>
        <v>97.412752370027718</v>
      </c>
      <c r="E30" s="51"/>
      <c r="F30" s="53"/>
      <c r="G30" s="112">
        <f>D30/B4</f>
        <v>2.9043797166397517E-2</v>
      </c>
      <c r="H30" s="54"/>
      <c r="I30" s="50">
        <f>I4-I16</f>
        <v>187.52054428180054</v>
      </c>
      <c r="J30" s="51"/>
      <c r="K30" s="52">
        <f>K4-K16</f>
        <v>114.56819559408864</v>
      </c>
      <c r="L30" s="51"/>
      <c r="M30" s="53"/>
      <c r="N30" s="112">
        <f>K30/I4</f>
        <v>3.1689501454705685E-2</v>
      </c>
      <c r="P30" s="55">
        <f>I30-B30</f>
        <v>-66.130130380726314</v>
      </c>
      <c r="Q30" s="51">
        <f>P30/B30</f>
        <v>-0.26071340227543288</v>
      </c>
      <c r="R30" s="51"/>
      <c r="T30" s="52">
        <f t="shared" ref="T30" si="54">K30-D30</f>
        <v>17.155443224060917</v>
      </c>
      <c r="U30" s="51">
        <f t="shared" ref="U30" si="55">T30/D30</f>
        <v>0.17611085619360203</v>
      </c>
      <c r="V30" s="51"/>
      <c r="X30" s="52">
        <f>X4-X16</f>
        <v>7.5903332515908941</v>
      </c>
      <c r="Y30" s="51">
        <f>X30/($D$30*($I$4/$B$4-1))</f>
        <v>1.0000000000000004</v>
      </c>
      <c r="AA30" s="52">
        <f>AA4-AA16</f>
        <v>-1.8054985962119425</v>
      </c>
      <c r="AB30" s="51">
        <f>AA30/$X$30</f>
        <v>-0.23786815892879531</v>
      </c>
      <c r="AD30" s="52">
        <f>AD4-AD16</f>
        <v>11.370608568681902</v>
      </c>
      <c r="AE30" s="52">
        <f>AE4-AE16</f>
        <v>0</v>
      </c>
      <c r="AF30" s="52">
        <f>AF4-AF16</f>
        <v>11.370608568681902</v>
      </c>
      <c r="AG30" s="51">
        <f>AF30/$X$30</f>
        <v>1.4980381218833418</v>
      </c>
      <c r="AH30" s="17"/>
      <c r="AI30" s="18"/>
      <c r="AJ30" s="17"/>
    </row>
  </sheetData>
  <mergeCells count="12">
    <mergeCell ref="A1:A3"/>
    <mergeCell ref="B1:N1"/>
    <mergeCell ref="P1:V1"/>
    <mergeCell ref="X1:AG1"/>
    <mergeCell ref="AI1:AI3"/>
    <mergeCell ref="B2:G2"/>
    <mergeCell ref="I2:N2"/>
    <mergeCell ref="P2:R2"/>
    <mergeCell ref="T2:V2"/>
    <mergeCell ref="X2:Y2"/>
    <mergeCell ref="AA2:AB2"/>
    <mergeCell ref="AD2:AG2"/>
  </mergeCells>
  <phoneticPr fontId="1" type="noConversion"/>
  <conditionalFormatting sqref="R17:R1048576 R1:R3 V17:V1048576 V1:V3 Y1:Y1048576 R5:R15 V5:V15 AB1:AB1048576 AG1:AG1048576">
    <cfRule type="iconSet" priority="1">
      <iconSet iconSet="3Arrows">
        <cfvo type="percent" val="0"/>
        <cfvo type="num" val="-0.1"/>
        <cfvo type="num" val="0.1"/>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5"/>
  <sheetViews>
    <sheetView workbookViewId="0">
      <selection activeCell="C26" sqref="C26"/>
    </sheetView>
  </sheetViews>
  <sheetFormatPr defaultColWidth="9" defaultRowHeight="17.25"/>
  <cols>
    <col min="1" max="1" width="21.375" style="114" bestFit="1" customWidth="1"/>
    <col min="2" max="2" width="9" style="114"/>
    <col min="3" max="3" width="58.25" style="114" bestFit="1" customWidth="1"/>
    <col min="4" max="13" width="9" style="114"/>
    <col min="14" max="16384" width="9" style="113"/>
  </cols>
  <sheetData>
    <row r="1" spans="1:3" s="113" customFormat="1">
      <c r="A1" s="85" t="s">
        <v>23</v>
      </c>
      <c r="B1" s="114"/>
      <c r="C1" s="114" t="s">
        <v>88</v>
      </c>
    </row>
    <row r="2" spans="1:3" s="113" customFormat="1">
      <c r="A2" s="19" t="s">
        <v>24</v>
      </c>
      <c r="B2" s="114"/>
      <c r="C2" s="114" t="s">
        <v>87</v>
      </c>
    </row>
    <row r="3" spans="1:3" s="113" customFormat="1">
      <c r="A3" s="22" t="s">
        <v>25</v>
      </c>
      <c r="B3" s="114"/>
      <c r="C3" s="114"/>
    </row>
    <row r="4" spans="1:3" s="113" customFormat="1">
      <c r="A4" s="82" t="s">
        <v>26</v>
      </c>
      <c r="B4" s="114"/>
      <c r="C4" s="114" t="s">
        <v>86</v>
      </c>
    </row>
    <row r="5" spans="1:3" s="113" customFormat="1">
      <c r="A5" s="82" t="s">
        <v>27</v>
      </c>
      <c r="B5" s="114"/>
      <c r="C5" s="114"/>
    </row>
    <row r="6" spans="1:3" s="113" customFormat="1">
      <c r="A6" s="82" t="s">
        <v>28</v>
      </c>
      <c r="B6" s="114"/>
      <c r="C6" s="114" t="s">
        <v>85</v>
      </c>
    </row>
    <row r="7" spans="1:3" s="113" customFormat="1">
      <c r="A7" s="32" t="s">
        <v>29</v>
      </c>
      <c r="B7" s="114"/>
      <c r="C7" s="114" t="s">
        <v>84</v>
      </c>
    </row>
    <row r="8" spans="1:3" s="113" customFormat="1">
      <c r="A8" s="40" t="s">
        <v>30</v>
      </c>
      <c r="B8" s="114"/>
      <c r="C8" s="114"/>
    </row>
    <row r="9" spans="1:3" s="113" customFormat="1">
      <c r="A9" s="82" t="s">
        <v>31</v>
      </c>
      <c r="B9" s="114"/>
      <c r="C9" s="114"/>
    </row>
    <row r="10" spans="1:3" s="113" customFormat="1">
      <c r="A10" s="82" t="s">
        <v>32</v>
      </c>
      <c r="B10" s="114"/>
      <c r="C10" s="114"/>
    </row>
    <row r="11" spans="1:3" s="113" customFormat="1">
      <c r="A11" s="82" t="s">
        <v>33</v>
      </c>
      <c r="B11" s="114"/>
      <c r="C11" s="114"/>
    </row>
    <row r="12" spans="1:3" s="113" customFormat="1">
      <c r="A12" s="19" t="s">
        <v>34</v>
      </c>
      <c r="B12" s="114"/>
      <c r="C12" s="114" t="s">
        <v>83</v>
      </c>
    </row>
    <row r="13" spans="1:3" s="113" customFormat="1">
      <c r="A13" s="91" t="s">
        <v>35</v>
      </c>
      <c r="B13" s="114"/>
      <c r="C13" s="114"/>
    </row>
    <row r="14" spans="1:3" s="113" customFormat="1">
      <c r="A14" s="22" t="s">
        <v>36</v>
      </c>
      <c r="B14" s="114"/>
      <c r="C14" s="114"/>
    </row>
    <row r="15" spans="1:3" s="113" customFormat="1">
      <c r="A15" s="82" t="s">
        <v>37</v>
      </c>
      <c r="B15" s="114"/>
      <c r="C15" s="114" t="s">
        <v>82</v>
      </c>
    </row>
    <row r="16" spans="1:3" s="113" customFormat="1">
      <c r="A16" s="82" t="s">
        <v>38</v>
      </c>
      <c r="B16" s="114"/>
      <c r="C16" s="114"/>
    </row>
    <row r="17" spans="1:3" s="113" customFormat="1">
      <c r="A17" s="40" t="s">
        <v>39</v>
      </c>
      <c r="B17" s="114"/>
      <c r="C17" s="114"/>
    </row>
    <row r="18" spans="1:3" s="113" customFormat="1">
      <c r="A18" s="82" t="s">
        <v>40</v>
      </c>
      <c r="B18" s="114"/>
      <c r="C18" s="114"/>
    </row>
    <row r="19" spans="1:3" s="113" customFormat="1">
      <c r="A19" s="102" t="s">
        <v>41</v>
      </c>
      <c r="B19" s="114"/>
      <c r="C19" s="114" t="s">
        <v>81</v>
      </c>
    </row>
    <row r="20" spans="1:3" s="113" customFormat="1">
      <c r="A20" s="102" t="s">
        <v>42</v>
      </c>
      <c r="B20" s="114"/>
      <c r="C20" s="114" t="s">
        <v>80</v>
      </c>
    </row>
    <row r="21" spans="1:3" s="113" customFormat="1">
      <c r="A21" s="82" t="s">
        <v>43</v>
      </c>
      <c r="B21" s="114"/>
      <c r="C21" s="114"/>
    </row>
    <row r="22" spans="1:3" s="113" customFormat="1">
      <c r="A22" s="92" t="s">
        <v>44</v>
      </c>
      <c r="B22" s="114"/>
      <c r="C22" s="114" t="s">
        <v>81</v>
      </c>
    </row>
    <row r="23" spans="1:3" s="113" customFormat="1">
      <c r="A23" s="92" t="s">
        <v>45</v>
      </c>
      <c r="B23" s="114"/>
      <c r="C23" s="114" t="s">
        <v>80</v>
      </c>
    </row>
    <row r="24" spans="1:3" s="113" customFormat="1">
      <c r="A24" s="82" t="s">
        <v>46</v>
      </c>
      <c r="B24" s="114"/>
      <c r="C24" s="114" t="s">
        <v>79</v>
      </c>
    </row>
    <row r="25" spans="1:3" s="113" customFormat="1">
      <c r="A25" s="19" t="s">
        <v>47</v>
      </c>
      <c r="B25" s="114"/>
      <c r="C25" s="114" t="s">
        <v>78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分解</vt:lpstr>
      <vt:lpstr>贷款-pending</vt:lpstr>
      <vt:lpstr>Sheet1</vt:lpstr>
      <vt:lpstr>存款-7.5</vt:lpstr>
      <vt:lpstr>金融市场-7.5</vt:lpstr>
      <vt:lpstr>汇总-7.5</vt:lpstr>
      <vt:lpstr>三因素分析</vt:lpstr>
      <vt:lpstr>调整表</vt:lpstr>
      <vt:lpstr>口径</vt:lpstr>
      <vt:lpstr>利息收支变动</vt:lpstr>
      <vt:lpstr>等比增长</vt:lpstr>
      <vt:lpstr>结构调整</vt:lpstr>
      <vt:lpstr>利率变动</vt:lpstr>
      <vt:lpstr>收支变动汇总</vt:lpstr>
      <vt:lpstr>重要业务</vt:lpstr>
      <vt:lpstr>2015.09.30</vt:lpstr>
      <vt:lpstr>2017.06.30</vt:lpstr>
      <vt:lpstr>2017.06.30ftp</vt:lpstr>
      <vt:lpstr>2016.12.31</vt:lpstr>
      <vt:lpstr>2016.06.30</vt:lpstr>
      <vt:lpstr>2016.06.30ftp</vt:lpstr>
      <vt:lpstr>日均</vt:lpstr>
      <vt:lpstr>保证金存款</vt:lpstr>
      <vt:lpstr>日计表-2016.06.30</vt:lpstr>
      <vt:lpstr>日计表-2017.06.30</vt:lpstr>
      <vt:lpstr>CUST_NS103_M</vt:lpstr>
      <vt:lpstr>三因素模型</vt:lpstr>
      <vt:lpstr>2016.04.30ftp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李卉</dc:creator>
  <cp:lastModifiedBy>Haha</cp:lastModifiedBy>
  <dcterms:created xsi:type="dcterms:W3CDTF">2006-09-13T11:21:51Z</dcterms:created>
  <dcterms:modified xsi:type="dcterms:W3CDTF">2017-07-08T10:12:07Z</dcterms:modified>
</cp:coreProperties>
</file>