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05" windowWidth="11310" windowHeight="11985"/>
  </bookViews>
  <sheets>
    <sheet name="罐加热" sheetId="1" r:id="rId1"/>
    <sheet name="铁路罐车加热" sheetId="2" r:id="rId2"/>
    <sheet name="Sheet3" sheetId="3" r:id="rId3"/>
  </sheets>
  <definedNames>
    <definedName name="_xlnm.Print_Area" localSheetId="0">罐加热!$A$1:$K$246</definedName>
  </definedNames>
  <calcPr calcId="124519"/>
</workbook>
</file>

<file path=xl/calcChain.xml><?xml version="1.0" encoding="utf-8"?>
<calcChain xmlns="http://schemas.openxmlformats.org/spreadsheetml/2006/main">
  <c r="K227" i="1"/>
  <c r="K226"/>
  <c r="K225"/>
  <c r="K206"/>
  <c r="K194"/>
  <c r="K175"/>
  <c r="K170"/>
  <c r="K152"/>
  <c r="K149"/>
  <c r="K118"/>
  <c r="K110"/>
  <c r="K107"/>
  <c r="K193" s="1"/>
  <c r="K106"/>
  <c r="K94"/>
  <c r="K83"/>
  <c r="K82"/>
  <c r="K71"/>
  <c r="K70"/>
  <c r="K62"/>
  <c r="K61"/>
  <c r="K49"/>
  <c r="K117" s="1"/>
  <c r="K48"/>
  <c r="K47"/>
  <c r="K44"/>
  <c r="K39"/>
  <c r="K232" s="1"/>
  <c r="K38"/>
  <c r="K231" s="1"/>
  <c r="K28"/>
  <c r="K157" s="1"/>
  <c r="K24"/>
  <c r="K95" s="1"/>
  <c r="K20"/>
  <c r="K132" s="1"/>
  <c r="K19"/>
  <c r="K189" s="1"/>
  <c r="K16"/>
  <c r="K169" s="1"/>
  <c r="K12"/>
  <c r="K85" s="1"/>
  <c r="K10"/>
  <c r="K84" s="1"/>
  <c r="K6"/>
  <c r="K126" s="1"/>
  <c r="D39"/>
  <c r="E39"/>
  <c r="E232" s="1"/>
  <c r="F39"/>
  <c r="G39"/>
  <c r="G232" s="1"/>
  <c r="H39"/>
  <c r="I39"/>
  <c r="J39"/>
  <c r="C39"/>
  <c r="D38"/>
  <c r="E38"/>
  <c r="F38"/>
  <c r="G38"/>
  <c r="G231" s="1"/>
  <c r="H38"/>
  <c r="I38"/>
  <c r="I231" s="1"/>
  <c r="J38"/>
  <c r="J231" s="1"/>
  <c r="C38"/>
  <c r="B39"/>
  <c r="B38"/>
  <c r="C24"/>
  <c r="D24"/>
  <c r="E24"/>
  <c r="E26" s="1"/>
  <c r="E153" s="1"/>
  <c r="F24"/>
  <c r="G24"/>
  <c r="H24"/>
  <c r="H95" s="1"/>
  <c r="I24"/>
  <c r="J24"/>
  <c r="J26" s="1"/>
  <c r="J153" s="1"/>
  <c r="B24"/>
  <c r="J12"/>
  <c r="I12"/>
  <c r="I85" s="1"/>
  <c r="J10"/>
  <c r="J84" s="1"/>
  <c r="I10"/>
  <c r="J232"/>
  <c r="J227"/>
  <c r="J226"/>
  <c r="J206"/>
  <c r="J194"/>
  <c r="J175"/>
  <c r="J170"/>
  <c r="J152"/>
  <c r="J149"/>
  <c r="J118"/>
  <c r="J110"/>
  <c r="J107"/>
  <c r="J106"/>
  <c r="J94"/>
  <c r="J83"/>
  <c r="J82"/>
  <c r="J71"/>
  <c r="J70"/>
  <c r="J62"/>
  <c r="J61"/>
  <c r="J49"/>
  <c r="J102" s="1"/>
  <c r="J48"/>
  <c r="J47"/>
  <c r="J28"/>
  <c r="J157" s="1"/>
  <c r="J225"/>
  <c r="J20"/>
  <c r="J132" s="1"/>
  <c r="J19"/>
  <c r="J189" s="1"/>
  <c r="J16"/>
  <c r="J169" s="1"/>
  <c r="J85"/>
  <c r="J6"/>
  <c r="J126" s="1"/>
  <c r="I232"/>
  <c r="I227"/>
  <c r="I226"/>
  <c r="I206"/>
  <c r="I194"/>
  <c r="I175"/>
  <c r="I170"/>
  <c r="I152"/>
  <c r="I149"/>
  <c r="I118"/>
  <c r="I110"/>
  <c r="I107"/>
  <c r="I106"/>
  <c r="I94"/>
  <c r="I83"/>
  <c r="I82"/>
  <c r="I71"/>
  <c r="I70"/>
  <c r="I62"/>
  <c r="I61"/>
  <c r="I49"/>
  <c r="I102" s="1"/>
  <c r="I48"/>
  <c r="I47"/>
  <c r="I28"/>
  <c r="I157" s="1"/>
  <c r="I26"/>
  <c r="I153" s="1"/>
  <c r="I225"/>
  <c r="I20"/>
  <c r="I132" s="1"/>
  <c r="I19"/>
  <c r="I189" s="1"/>
  <c r="I16"/>
  <c r="I169" s="1"/>
  <c r="I84"/>
  <c r="I6"/>
  <c r="I126" s="1"/>
  <c r="H12"/>
  <c r="H10"/>
  <c r="H84" s="1"/>
  <c r="H232"/>
  <c r="H231"/>
  <c r="H227"/>
  <c r="H226"/>
  <c r="H206"/>
  <c r="H194"/>
  <c r="H170"/>
  <c r="H152"/>
  <c r="H149"/>
  <c r="H118"/>
  <c r="H110"/>
  <c r="H107"/>
  <c r="H106"/>
  <c r="H94"/>
  <c r="H83"/>
  <c r="H82"/>
  <c r="H71"/>
  <c r="H70"/>
  <c r="H62"/>
  <c r="H61"/>
  <c r="H49"/>
  <c r="H102" s="1"/>
  <c r="H48"/>
  <c r="H47"/>
  <c r="H28"/>
  <c r="H157" s="1"/>
  <c r="H225"/>
  <c r="H20"/>
  <c r="H132" s="1"/>
  <c r="H19"/>
  <c r="H189" s="1"/>
  <c r="H16"/>
  <c r="H169" s="1"/>
  <c r="H175"/>
  <c r="H85"/>
  <c r="H6"/>
  <c r="H126" s="1"/>
  <c r="G13"/>
  <c r="G175" s="1"/>
  <c r="G12"/>
  <c r="G85" s="1"/>
  <c r="G10"/>
  <c r="G84" s="1"/>
  <c r="G227"/>
  <c r="G226"/>
  <c r="G206"/>
  <c r="G194"/>
  <c r="G170"/>
  <c r="G152"/>
  <c r="G149"/>
  <c r="G118"/>
  <c r="G110"/>
  <c r="G107"/>
  <c r="G106"/>
  <c r="G94"/>
  <c r="G83"/>
  <c r="G82"/>
  <c r="G71"/>
  <c r="G70"/>
  <c r="G62"/>
  <c r="G61"/>
  <c r="G49"/>
  <c r="G102" s="1"/>
  <c r="G48"/>
  <c r="G47"/>
  <c r="G28"/>
  <c r="G157" s="1"/>
  <c r="G26"/>
  <c r="G153" s="1"/>
  <c r="G225"/>
  <c r="G20"/>
  <c r="G132" s="1"/>
  <c r="G19"/>
  <c r="G189" s="1"/>
  <c r="G16"/>
  <c r="G169" s="1"/>
  <c r="G6"/>
  <c r="G126" s="1"/>
  <c r="F20"/>
  <c r="F19"/>
  <c r="F13"/>
  <c r="F12"/>
  <c r="F10"/>
  <c r="E231"/>
  <c r="E227"/>
  <c r="E226"/>
  <c r="E206"/>
  <c r="E194"/>
  <c r="E170"/>
  <c r="E152"/>
  <c r="E149"/>
  <c r="E118"/>
  <c r="E110"/>
  <c r="E107"/>
  <c r="E106"/>
  <c r="E94"/>
  <c r="E83"/>
  <c r="E82"/>
  <c r="E71"/>
  <c r="E70"/>
  <c r="E62"/>
  <c r="E61"/>
  <c r="E49"/>
  <c r="E102" s="1"/>
  <c r="E48"/>
  <c r="E47"/>
  <c r="E28"/>
  <c r="E157" s="1"/>
  <c r="E225"/>
  <c r="E20"/>
  <c r="E132" s="1"/>
  <c r="E19"/>
  <c r="E189" s="1"/>
  <c r="E16"/>
  <c r="E169" s="1"/>
  <c r="E175"/>
  <c r="E12"/>
  <c r="E85" s="1"/>
  <c r="E10"/>
  <c r="E84" s="1"/>
  <c r="E6"/>
  <c r="E126" s="1"/>
  <c r="C12"/>
  <c r="D12"/>
  <c r="B12"/>
  <c r="D10"/>
  <c r="C10"/>
  <c r="B10"/>
  <c r="C13"/>
  <c r="D13"/>
  <c r="B13"/>
  <c r="C53" i="2"/>
  <c r="C52"/>
  <c r="C45"/>
  <c r="C37"/>
  <c r="C27"/>
  <c r="C15"/>
  <c r="C14"/>
  <c r="C13"/>
  <c r="C12"/>
  <c r="C10" s="1"/>
  <c r="C8"/>
  <c r="C7" s="1"/>
  <c r="B13"/>
  <c r="B53"/>
  <c r="B52"/>
  <c r="B37"/>
  <c r="B45"/>
  <c r="B27"/>
  <c r="B8"/>
  <c r="B7" s="1"/>
  <c r="B14"/>
  <c r="B15"/>
  <c r="K46" i="1" l="1"/>
  <c r="K43" s="1"/>
  <c r="K45"/>
  <c r="K69"/>
  <c r="K128"/>
  <c r="K125" s="1"/>
  <c r="K188"/>
  <c r="K131"/>
  <c r="K81"/>
  <c r="K204"/>
  <c r="K203" s="1"/>
  <c r="K77"/>
  <c r="K51"/>
  <c r="K58" s="1"/>
  <c r="K214"/>
  <c r="K26"/>
  <c r="K153" s="1"/>
  <c r="K64"/>
  <c r="K60" s="1"/>
  <c r="K90" s="1"/>
  <c r="K180" s="1"/>
  <c r="K102"/>
  <c r="K184"/>
  <c r="J46"/>
  <c r="I44"/>
  <c r="J44"/>
  <c r="J43" s="1"/>
  <c r="G46"/>
  <c r="G45"/>
  <c r="G69"/>
  <c r="G117"/>
  <c r="H26"/>
  <c r="H153" s="1"/>
  <c r="H46"/>
  <c r="H45"/>
  <c r="E46"/>
  <c r="E69"/>
  <c r="E188" s="1"/>
  <c r="E45"/>
  <c r="G188"/>
  <c r="H44"/>
  <c r="H43" s="1"/>
  <c r="H214" s="1"/>
  <c r="I46"/>
  <c r="I43" s="1"/>
  <c r="I204" s="1"/>
  <c r="I45"/>
  <c r="I69"/>
  <c r="J45"/>
  <c r="J69"/>
  <c r="J188" s="1"/>
  <c r="I188"/>
  <c r="J128"/>
  <c r="J125" s="1"/>
  <c r="J81"/>
  <c r="J113"/>
  <c r="J109" s="1"/>
  <c r="J105" s="1"/>
  <c r="J99"/>
  <c r="J95"/>
  <c r="J117"/>
  <c r="J193"/>
  <c r="J64"/>
  <c r="J60" s="1"/>
  <c r="J90" s="1"/>
  <c r="I128"/>
  <c r="I125" s="1"/>
  <c r="I214"/>
  <c r="I51"/>
  <c r="I184"/>
  <c r="I81"/>
  <c r="I113"/>
  <c r="I109" s="1"/>
  <c r="I105" s="1"/>
  <c r="I99"/>
  <c r="I131"/>
  <c r="I95"/>
  <c r="I117"/>
  <c r="I193"/>
  <c r="I64"/>
  <c r="I60" s="1"/>
  <c r="I90" s="1"/>
  <c r="I180" s="1"/>
  <c r="H69"/>
  <c r="H188" s="1"/>
  <c r="H81"/>
  <c r="H113"/>
  <c r="H109" s="1"/>
  <c r="H105" s="1"/>
  <c r="H99"/>
  <c r="H128"/>
  <c r="H125" s="1"/>
  <c r="H184"/>
  <c r="H77"/>
  <c r="H117"/>
  <c r="H193"/>
  <c r="H64"/>
  <c r="H60" s="1"/>
  <c r="H90" s="1"/>
  <c r="H180" s="1"/>
  <c r="G44"/>
  <c r="G81"/>
  <c r="G128"/>
  <c r="G113"/>
  <c r="G109" s="1"/>
  <c r="G105" s="1"/>
  <c r="G99"/>
  <c r="G131"/>
  <c r="G184"/>
  <c r="G95"/>
  <c r="G193"/>
  <c r="G64"/>
  <c r="G60" s="1"/>
  <c r="G90" s="1"/>
  <c r="E44"/>
  <c r="E128"/>
  <c r="E125" s="1"/>
  <c r="E113"/>
  <c r="E109" s="1"/>
  <c r="E105" s="1"/>
  <c r="E99"/>
  <c r="E131"/>
  <c r="E81"/>
  <c r="E95"/>
  <c r="E117"/>
  <c r="E193"/>
  <c r="E64"/>
  <c r="E60" s="1"/>
  <c r="E90" s="1"/>
  <c r="C24" i="2"/>
  <c r="C5"/>
  <c r="C34"/>
  <c r="B12"/>
  <c r="D28" i="1"/>
  <c r="D157" s="1"/>
  <c r="D26"/>
  <c r="D153" s="1"/>
  <c r="D225"/>
  <c r="D20"/>
  <c r="D132" s="1"/>
  <c r="D19"/>
  <c r="D189" s="1"/>
  <c r="D16"/>
  <c r="D169" s="1"/>
  <c r="D85"/>
  <c r="D84"/>
  <c r="D6"/>
  <c r="D126" s="1"/>
  <c r="C47"/>
  <c r="C28"/>
  <c r="C157" s="1"/>
  <c r="C26"/>
  <c r="C153" s="1"/>
  <c r="C225"/>
  <c r="C20"/>
  <c r="C132" s="1"/>
  <c r="C19"/>
  <c r="C189" s="1"/>
  <c r="C16"/>
  <c r="C169" s="1"/>
  <c r="C85"/>
  <c r="C84"/>
  <c r="C6"/>
  <c r="C126" s="1"/>
  <c r="B85"/>
  <c r="B84"/>
  <c r="B16"/>
  <c r="B169" s="1"/>
  <c r="B19"/>
  <c r="B189" s="1"/>
  <c r="B20"/>
  <c r="B132" s="1"/>
  <c r="B225"/>
  <c r="B26"/>
  <c r="B153" s="1"/>
  <c r="B28"/>
  <c r="B157" s="1"/>
  <c r="B170"/>
  <c r="F225"/>
  <c r="N54"/>
  <c r="D232"/>
  <c r="D231"/>
  <c r="D227"/>
  <c r="D226"/>
  <c r="D206"/>
  <c r="D194"/>
  <c r="D175"/>
  <c r="D170"/>
  <c r="D152"/>
  <c r="D149"/>
  <c r="D118"/>
  <c r="D110"/>
  <c r="D107"/>
  <c r="D193" s="1"/>
  <c r="D106"/>
  <c r="D95"/>
  <c r="D94"/>
  <c r="D83"/>
  <c r="D82"/>
  <c r="D71"/>
  <c r="D70"/>
  <c r="D62"/>
  <c r="D61"/>
  <c r="D49"/>
  <c r="D48"/>
  <c r="D47"/>
  <c r="F170"/>
  <c r="F26"/>
  <c r="F153" s="1"/>
  <c r="F85"/>
  <c r="F84"/>
  <c r="F232"/>
  <c r="F231"/>
  <c r="F227"/>
  <c r="F226"/>
  <c r="F206"/>
  <c r="F194"/>
  <c r="F189"/>
  <c r="F175"/>
  <c r="F152"/>
  <c r="F149"/>
  <c r="F132"/>
  <c r="F118"/>
  <c r="F110"/>
  <c r="F107"/>
  <c r="F106"/>
  <c r="F94"/>
  <c r="F83"/>
  <c r="F82"/>
  <c r="F71"/>
  <c r="F70"/>
  <c r="F62"/>
  <c r="F61"/>
  <c r="F49"/>
  <c r="F102" s="1"/>
  <c r="F48"/>
  <c r="F47"/>
  <c r="F28"/>
  <c r="F157" s="1"/>
  <c r="F16"/>
  <c r="F169" s="1"/>
  <c r="F6"/>
  <c r="F126" s="1"/>
  <c r="M221"/>
  <c r="M156"/>
  <c r="M129"/>
  <c r="C149"/>
  <c r="M148"/>
  <c r="M144"/>
  <c r="M99"/>
  <c r="M97"/>
  <c r="M60"/>
  <c r="C232"/>
  <c r="C231"/>
  <c r="C170"/>
  <c r="C227"/>
  <c r="C226"/>
  <c r="C206"/>
  <c r="C194"/>
  <c r="C175"/>
  <c r="C152"/>
  <c r="C118"/>
  <c r="C110"/>
  <c r="C107"/>
  <c r="C106"/>
  <c r="C94"/>
  <c r="C83"/>
  <c r="C82"/>
  <c r="C71"/>
  <c r="C70"/>
  <c r="C62"/>
  <c r="C61"/>
  <c r="C49"/>
  <c r="C102" s="1"/>
  <c r="C99" s="1"/>
  <c r="C48"/>
  <c r="C95"/>
  <c r="B232"/>
  <c r="B231"/>
  <c r="B226"/>
  <c r="B227"/>
  <c r="B206"/>
  <c r="B194"/>
  <c r="B175"/>
  <c r="B152"/>
  <c r="B6"/>
  <c r="B126" s="1"/>
  <c r="B118"/>
  <c r="B107"/>
  <c r="B193" s="1"/>
  <c r="B106"/>
  <c r="B94"/>
  <c r="B83"/>
  <c r="B82"/>
  <c r="B71"/>
  <c r="B70"/>
  <c r="B62"/>
  <c r="B61"/>
  <c r="B64" s="1"/>
  <c r="B49"/>
  <c r="B102" s="1"/>
  <c r="B99" s="1"/>
  <c r="B48"/>
  <c r="B47"/>
  <c r="B110"/>
  <c r="B128" l="1"/>
  <c r="I58"/>
  <c r="I203"/>
  <c r="K89"/>
  <c r="K179"/>
  <c r="K178" s="1"/>
  <c r="K176" s="1"/>
  <c r="K75"/>
  <c r="K73" s="1"/>
  <c r="K212"/>
  <c r="K210" s="1"/>
  <c r="K124"/>
  <c r="K99"/>
  <c r="K113"/>
  <c r="K109" s="1"/>
  <c r="K105" s="1"/>
  <c r="K220"/>
  <c r="K142"/>
  <c r="K138"/>
  <c r="K144"/>
  <c r="K136"/>
  <c r="K151" s="1"/>
  <c r="K79"/>
  <c r="K87" s="1"/>
  <c r="K163" s="1"/>
  <c r="K216"/>
  <c r="K218" s="1"/>
  <c r="E43"/>
  <c r="E214" s="1"/>
  <c r="H204"/>
  <c r="H203" s="1"/>
  <c r="H51"/>
  <c r="E184"/>
  <c r="G43"/>
  <c r="G204" s="1"/>
  <c r="I77"/>
  <c r="J131"/>
  <c r="B24" i="2"/>
  <c r="B10"/>
  <c r="B5" s="1"/>
  <c r="C31"/>
  <c r="C32" s="1"/>
  <c r="I216" i="1"/>
  <c r="J214"/>
  <c r="J77"/>
  <c r="J204"/>
  <c r="J51"/>
  <c r="J180"/>
  <c r="J184"/>
  <c r="H131"/>
  <c r="J179"/>
  <c r="J178" s="1"/>
  <c r="J176" s="1"/>
  <c r="J238" s="1"/>
  <c r="J115"/>
  <c r="J114"/>
  <c r="J144"/>
  <c r="J136"/>
  <c r="J151" s="1"/>
  <c r="J142"/>
  <c r="J138"/>
  <c r="J124"/>
  <c r="I115"/>
  <c r="I114"/>
  <c r="I220"/>
  <c r="I79"/>
  <c r="I89"/>
  <c r="I144"/>
  <c r="I136"/>
  <c r="I151" s="1"/>
  <c r="I142"/>
  <c r="I138"/>
  <c r="I75"/>
  <c r="I73" s="1"/>
  <c r="I212"/>
  <c r="I210" s="1"/>
  <c r="I179"/>
  <c r="I178" s="1"/>
  <c r="I176" s="1"/>
  <c r="I238" s="1"/>
  <c r="I124"/>
  <c r="H216"/>
  <c r="H115"/>
  <c r="H114"/>
  <c r="H212"/>
  <c r="H210" s="1"/>
  <c r="H220"/>
  <c r="H144"/>
  <c r="H136"/>
  <c r="H151" s="1"/>
  <c r="H142"/>
  <c r="H138"/>
  <c r="H75"/>
  <c r="H73" s="1"/>
  <c r="H179"/>
  <c r="H178" s="1"/>
  <c r="H176" s="1"/>
  <c r="H238" s="1"/>
  <c r="H124"/>
  <c r="G51"/>
  <c r="G77"/>
  <c r="G144"/>
  <c r="G136"/>
  <c r="G151" s="1"/>
  <c r="G142"/>
  <c r="G138"/>
  <c r="G124"/>
  <c r="G115"/>
  <c r="G114"/>
  <c r="G179"/>
  <c r="G178" s="1"/>
  <c r="G125"/>
  <c r="E77"/>
  <c r="E51"/>
  <c r="E115"/>
  <c r="E114"/>
  <c r="E144"/>
  <c r="E136"/>
  <c r="E151" s="1"/>
  <c r="E142"/>
  <c r="E138"/>
  <c r="E179"/>
  <c r="E178" s="1"/>
  <c r="E124"/>
  <c r="C23" i="2"/>
  <c r="B34"/>
  <c r="B31" s="1"/>
  <c r="F69" i="1"/>
  <c r="F131" s="1"/>
  <c r="F95"/>
  <c r="C44"/>
  <c r="F44"/>
  <c r="D117"/>
  <c r="D69"/>
  <c r="D188" s="1"/>
  <c r="D44"/>
  <c r="D45"/>
  <c r="D46"/>
  <c r="D131"/>
  <c r="D128"/>
  <c r="D64"/>
  <c r="D60" s="1"/>
  <c r="D90" s="1"/>
  <c r="D102"/>
  <c r="F46"/>
  <c r="F45"/>
  <c r="F81"/>
  <c r="F113"/>
  <c r="F109" s="1"/>
  <c r="F105" s="1"/>
  <c r="F99"/>
  <c r="F128"/>
  <c r="F125" s="1"/>
  <c r="F117"/>
  <c r="F193"/>
  <c r="F64"/>
  <c r="F60" s="1"/>
  <c r="F90" s="1"/>
  <c r="M81"/>
  <c r="C64"/>
  <c r="C46"/>
  <c r="C45"/>
  <c r="C117"/>
  <c r="C69"/>
  <c r="C188" s="1"/>
  <c r="C128"/>
  <c r="C125" s="1"/>
  <c r="C81"/>
  <c r="C113"/>
  <c r="C109" s="1"/>
  <c r="C105" s="1"/>
  <c r="C193"/>
  <c r="B44"/>
  <c r="B117"/>
  <c r="B60"/>
  <c r="B45"/>
  <c r="B69"/>
  <c r="B184" s="1"/>
  <c r="B46"/>
  <c r="B95"/>
  <c r="B138"/>
  <c r="B125"/>
  <c r="B179"/>
  <c r="B90"/>
  <c r="B81"/>
  <c r="B144"/>
  <c r="B124"/>
  <c r="B136"/>
  <c r="B151" s="1"/>
  <c r="B142"/>
  <c r="B148" s="1"/>
  <c r="B113"/>
  <c r="B109" s="1"/>
  <c r="B105" s="1"/>
  <c r="E79" l="1"/>
  <c r="E58"/>
  <c r="G79"/>
  <c r="G58"/>
  <c r="J216"/>
  <c r="J203"/>
  <c r="J89"/>
  <c r="J58"/>
  <c r="G220"/>
  <c r="G203"/>
  <c r="H79"/>
  <c r="H58"/>
  <c r="K114"/>
  <c r="K97" s="1"/>
  <c r="K154" s="1"/>
  <c r="K115"/>
  <c r="K140"/>
  <c r="K146" s="1"/>
  <c r="K148"/>
  <c r="K66"/>
  <c r="K156"/>
  <c r="K134"/>
  <c r="K238"/>
  <c r="K208"/>
  <c r="K221" s="1"/>
  <c r="E180"/>
  <c r="E204"/>
  <c r="G176"/>
  <c r="G238" s="1"/>
  <c r="G180"/>
  <c r="G214"/>
  <c r="H89"/>
  <c r="H97"/>
  <c r="H154" s="1"/>
  <c r="I97"/>
  <c r="I154" s="1"/>
  <c r="E176"/>
  <c r="E238" s="1"/>
  <c r="G216"/>
  <c r="J75"/>
  <c r="J73" s="1"/>
  <c r="G89"/>
  <c r="I208"/>
  <c r="G75"/>
  <c r="G73" s="1"/>
  <c r="G66" s="1"/>
  <c r="G162" s="1"/>
  <c r="J220"/>
  <c r="J79"/>
  <c r="C42" i="2"/>
  <c r="E216" i="1"/>
  <c r="J212"/>
  <c r="J210" s="1"/>
  <c r="J208" s="1"/>
  <c r="E97"/>
  <c r="E154" s="1"/>
  <c r="I66"/>
  <c r="I162" s="1"/>
  <c r="H66"/>
  <c r="H162" s="1"/>
  <c r="J134"/>
  <c r="J156"/>
  <c r="J140"/>
  <c r="J146" s="1"/>
  <c r="J148"/>
  <c r="J97"/>
  <c r="J154" s="1"/>
  <c r="I140"/>
  <c r="I146" s="1"/>
  <c r="I148"/>
  <c r="I218"/>
  <c r="I221" s="1"/>
  <c r="I134"/>
  <c r="I156"/>
  <c r="I87"/>
  <c r="I163" s="1"/>
  <c r="H208"/>
  <c r="H156"/>
  <c r="H134"/>
  <c r="H87"/>
  <c r="H163" s="1"/>
  <c r="H218"/>
  <c r="H140"/>
  <c r="H146" s="1"/>
  <c r="H148"/>
  <c r="G212"/>
  <c r="G210" s="1"/>
  <c r="G134"/>
  <c r="G156"/>
  <c r="G148"/>
  <c r="G140"/>
  <c r="G146" s="1"/>
  <c r="G97"/>
  <c r="G154" s="1"/>
  <c r="F115"/>
  <c r="F114"/>
  <c r="E212"/>
  <c r="E210" s="1"/>
  <c r="E75"/>
  <c r="E73" s="1"/>
  <c r="E66" s="1"/>
  <c r="E162" s="1"/>
  <c r="E89"/>
  <c r="E148"/>
  <c r="E140"/>
  <c r="E146" s="1"/>
  <c r="E134"/>
  <c r="E156"/>
  <c r="C115"/>
  <c r="C114"/>
  <c r="B115"/>
  <c r="B114"/>
  <c r="C21" i="2"/>
  <c r="C3" s="1"/>
  <c r="C50" s="1"/>
  <c r="C51" s="1"/>
  <c r="B23"/>
  <c r="B32"/>
  <c r="B42"/>
  <c r="B21" s="1"/>
  <c r="F184" i="1"/>
  <c r="F188"/>
  <c r="F43"/>
  <c r="F204" s="1"/>
  <c r="F203" s="1"/>
  <c r="C43"/>
  <c r="C204" s="1"/>
  <c r="D43"/>
  <c r="D184"/>
  <c r="F180"/>
  <c r="C184"/>
  <c r="C60"/>
  <c r="C90" s="1"/>
  <c r="C179"/>
  <c r="C178" s="1"/>
  <c r="D179"/>
  <c r="D178" s="1"/>
  <c r="D142"/>
  <c r="D138"/>
  <c r="D144"/>
  <c r="D136"/>
  <c r="D151" s="1"/>
  <c r="D99"/>
  <c r="D113"/>
  <c r="D109" s="1"/>
  <c r="D105" s="1"/>
  <c r="D124"/>
  <c r="D125"/>
  <c r="F179"/>
  <c r="F178" s="1"/>
  <c r="F144"/>
  <c r="F136"/>
  <c r="F151" s="1"/>
  <c r="F142"/>
  <c r="F138"/>
  <c r="F124"/>
  <c r="B43"/>
  <c r="B214" s="1"/>
  <c r="C131"/>
  <c r="C124"/>
  <c r="C142"/>
  <c r="C148" s="1"/>
  <c r="C138"/>
  <c r="C144"/>
  <c r="C136"/>
  <c r="C151" s="1"/>
  <c r="B188"/>
  <c r="B131"/>
  <c r="B178"/>
  <c r="B156"/>
  <c r="B134"/>
  <c r="B140"/>
  <c r="B146" s="1"/>
  <c r="C203" l="1"/>
  <c r="E220"/>
  <c r="E203"/>
  <c r="K129"/>
  <c r="K123" s="1"/>
  <c r="K122" s="1"/>
  <c r="K186" s="1"/>
  <c r="K240" s="1"/>
  <c r="C216"/>
  <c r="K235"/>
  <c r="K222"/>
  <c r="K201" s="1"/>
  <c r="K199" s="1"/>
  <c r="K223"/>
  <c r="K91"/>
  <c r="K162"/>
  <c r="K164" s="1"/>
  <c r="E218"/>
  <c r="G208"/>
  <c r="J218"/>
  <c r="J221" s="1"/>
  <c r="J223" s="1"/>
  <c r="J66"/>
  <c r="J162" s="1"/>
  <c r="J87"/>
  <c r="J163" s="1"/>
  <c r="H164"/>
  <c r="H165" s="1"/>
  <c r="G87"/>
  <c r="G163" s="1"/>
  <c r="G164" s="1"/>
  <c r="E208"/>
  <c r="I129"/>
  <c r="I123" s="1"/>
  <c r="I122" s="1"/>
  <c r="I186" s="1"/>
  <c r="I240" s="1"/>
  <c r="E87"/>
  <c r="E163" s="1"/>
  <c r="E164" s="1"/>
  <c r="E129"/>
  <c r="E123" s="1"/>
  <c r="E122" s="1"/>
  <c r="H221"/>
  <c r="J129"/>
  <c r="J123" s="1"/>
  <c r="J122" s="1"/>
  <c r="I223"/>
  <c r="I222"/>
  <c r="I164"/>
  <c r="I91"/>
  <c r="H166"/>
  <c r="H129"/>
  <c r="H123" s="1"/>
  <c r="H122" s="1"/>
  <c r="H223"/>
  <c r="H222"/>
  <c r="H91"/>
  <c r="G218"/>
  <c r="G129"/>
  <c r="G123" s="1"/>
  <c r="G122" s="1"/>
  <c r="D115"/>
  <c r="D114"/>
  <c r="B3" i="2"/>
  <c r="D214" i="1"/>
  <c r="D77"/>
  <c r="C51"/>
  <c r="C58" s="1"/>
  <c r="D180"/>
  <c r="D176" s="1"/>
  <c r="D238" s="1"/>
  <c r="C180"/>
  <c r="C176" s="1"/>
  <c r="C238" s="1"/>
  <c r="C77"/>
  <c r="D204"/>
  <c r="D203" s="1"/>
  <c r="C214"/>
  <c r="D51"/>
  <c r="D58" s="1"/>
  <c r="F176"/>
  <c r="F216"/>
  <c r="F220"/>
  <c r="F212"/>
  <c r="F210" s="1"/>
  <c r="F97"/>
  <c r="F154" s="1"/>
  <c r="F77"/>
  <c r="F214"/>
  <c r="F51"/>
  <c r="C212"/>
  <c r="C210" s="1"/>
  <c r="B180"/>
  <c r="B176" s="1"/>
  <c r="B238" s="1"/>
  <c r="B253" s="1"/>
  <c r="B77"/>
  <c r="C220"/>
  <c r="D134"/>
  <c r="D156"/>
  <c r="D148"/>
  <c r="D140"/>
  <c r="D146" s="1"/>
  <c r="F156"/>
  <c r="F134"/>
  <c r="F140"/>
  <c r="F146" s="1"/>
  <c r="F148"/>
  <c r="C97"/>
  <c r="C154" s="1"/>
  <c r="B204"/>
  <c r="B203" s="1"/>
  <c r="B51"/>
  <c r="B58" s="1"/>
  <c r="C156"/>
  <c r="C134"/>
  <c r="C140"/>
  <c r="C146" s="1"/>
  <c r="B97"/>
  <c r="B154" s="1"/>
  <c r="B129"/>
  <c r="B123" s="1"/>
  <c r="F75" l="1"/>
  <c r="F73" s="1"/>
  <c r="F58"/>
  <c r="M79"/>
  <c r="K93"/>
  <c r="K92"/>
  <c r="K242"/>
  <c r="K224"/>
  <c r="K165"/>
  <c r="K166"/>
  <c r="M176"/>
  <c r="F238"/>
  <c r="E221"/>
  <c r="E223" s="1"/>
  <c r="G221"/>
  <c r="G223" s="1"/>
  <c r="J222"/>
  <c r="J201" s="1"/>
  <c r="J199" s="1"/>
  <c r="J224" s="1"/>
  <c r="J91"/>
  <c r="J93" s="1"/>
  <c r="J164"/>
  <c r="J165" s="1"/>
  <c r="G91"/>
  <c r="G92" s="1"/>
  <c r="E91"/>
  <c r="D75"/>
  <c r="D73" s="1"/>
  <c r="I235"/>
  <c r="B79"/>
  <c r="C208"/>
  <c r="J186"/>
  <c r="J240" s="1"/>
  <c r="J235"/>
  <c r="G186"/>
  <c r="G240" s="1"/>
  <c r="G235"/>
  <c r="H186"/>
  <c r="H240" s="1"/>
  <c r="H235"/>
  <c r="E186"/>
  <c r="E240" s="1"/>
  <c r="E235"/>
  <c r="I166"/>
  <c r="I165"/>
  <c r="I92"/>
  <c r="I93"/>
  <c r="I201"/>
  <c r="I199" s="1"/>
  <c r="H161"/>
  <c r="H159" s="1"/>
  <c r="H201"/>
  <c r="H199" s="1"/>
  <c r="H92"/>
  <c r="H93"/>
  <c r="G166"/>
  <c r="G165"/>
  <c r="E166"/>
  <c r="E165"/>
  <c r="E92"/>
  <c r="E93"/>
  <c r="B50" i="2"/>
  <c r="B51" s="1"/>
  <c r="D79" i="1"/>
  <c r="D89"/>
  <c r="C79"/>
  <c r="D216"/>
  <c r="C89"/>
  <c r="C75"/>
  <c r="C73" s="1"/>
  <c r="F79"/>
  <c r="F66" s="1"/>
  <c r="F162" s="1"/>
  <c r="D212"/>
  <c r="D210" s="1"/>
  <c r="F218"/>
  <c r="B89"/>
  <c r="D220"/>
  <c r="F208"/>
  <c r="F89"/>
  <c r="C129"/>
  <c r="C123" s="1"/>
  <c r="C122" s="1"/>
  <c r="C218"/>
  <c r="B212"/>
  <c r="B210" s="1"/>
  <c r="B220"/>
  <c r="B122"/>
  <c r="B235" s="1"/>
  <c r="B250" s="1"/>
  <c r="B216"/>
  <c r="B75"/>
  <c r="B73" s="1"/>
  <c r="B66" s="1"/>
  <c r="D129"/>
  <c r="D123" s="1"/>
  <c r="D97"/>
  <c r="D154" s="1"/>
  <c r="F129"/>
  <c r="F123" s="1"/>
  <c r="F122" s="1"/>
  <c r="F235" s="1"/>
  <c r="K56" l="1"/>
  <c r="K54" s="1"/>
  <c r="K161"/>
  <c r="K159" s="1"/>
  <c r="K182"/>
  <c r="K234"/>
  <c r="K120"/>
  <c r="E161"/>
  <c r="E159" s="1"/>
  <c r="J166"/>
  <c r="C221"/>
  <c r="C223" s="1"/>
  <c r="E222"/>
  <c r="E201" s="1"/>
  <c r="E199" s="1"/>
  <c r="E224" s="1"/>
  <c r="G222"/>
  <c r="G201" s="1"/>
  <c r="G199" s="1"/>
  <c r="G224" s="1"/>
  <c r="H224"/>
  <c r="H242"/>
  <c r="I224"/>
  <c r="I242"/>
  <c r="J242"/>
  <c r="J92"/>
  <c r="J56" s="1"/>
  <c r="J54" s="1"/>
  <c r="J234" s="1"/>
  <c r="H56"/>
  <c r="H54" s="1"/>
  <c r="H234" s="1"/>
  <c r="G93"/>
  <c r="D66"/>
  <c r="D162" s="1"/>
  <c r="C66"/>
  <c r="C162" s="1"/>
  <c r="I161"/>
  <c r="I159" s="1"/>
  <c r="I191" s="1"/>
  <c r="I241" s="1"/>
  <c r="C186"/>
  <c r="C240" s="1"/>
  <c r="C235"/>
  <c r="E191"/>
  <c r="E241" s="1"/>
  <c r="E236"/>
  <c r="H191"/>
  <c r="H241" s="1"/>
  <c r="H236"/>
  <c r="B186"/>
  <c r="B240" s="1"/>
  <c r="B255" s="1"/>
  <c r="J161"/>
  <c r="J159" s="1"/>
  <c r="I56"/>
  <c r="I54" s="1"/>
  <c r="I234" s="1"/>
  <c r="G161"/>
  <c r="G159" s="1"/>
  <c r="G56"/>
  <c r="G54" s="1"/>
  <c r="G234" s="1"/>
  <c r="F221"/>
  <c r="F222" s="1"/>
  <c r="E56"/>
  <c r="E54" s="1"/>
  <c r="E234" s="1"/>
  <c r="D122"/>
  <c r="D87"/>
  <c r="D163" s="1"/>
  <c r="D208"/>
  <c r="F87"/>
  <c r="F91" s="1"/>
  <c r="C87"/>
  <c r="C163" s="1"/>
  <c r="D218"/>
  <c r="B218"/>
  <c r="B87"/>
  <c r="B163" s="1"/>
  <c r="B208"/>
  <c r="F186"/>
  <c r="M122"/>
  <c r="B162"/>
  <c r="C164" l="1"/>
  <c r="C166" s="1"/>
  <c r="K236"/>
  <c r="K191"/>
  <c r="K241" s="1"/>
  <c r="K239"/>
  <c r="K173"/>
  <c r="M186"/>
  <c r="F240"/>
  <c r="C222"/>
  <c r="C201" s="1"/>
  <c r="C199" s="1"/>
  <c r="C224" s="1"/>
  <c r="E242"/>
  <c r="G242"/>
  <c r="F163"/>
  <c r="F164" s="1"/>
  <c r="F166" s="1"/>
  <c r="D164"/>
  <c r="D166" s="1"/>
  <c r="I236"/>
  <c r="D186"/>
  <c r="D240" s="1"/>
  <c r="D235"/>
  <c r="G191"/>
  <c r="G241" s="1"/>
  <c r="G236"/>
  <c r="J191"/>
  <c r="J241" s="1"/>
  <c r="J236"/>
  <c r="J182"/>
  <c r="J239" s="1"/>
  <c r="J120"/>
  <c r="I182"/>
  <c r="I120"/>
  <c r="H182"/>
  <c r="H120"/>
  <c r="G182"/>
  <c r="G120"/>
  <c r="F223"/>
  <c r="F201" s="1"/>
  <c r="F199" s="1"/>
  <c r="E182"/>
  <c r="E120"/>
  <c r="D221"/>
  <c r="D222" s="1"/>
  <c r="D91"/>
  <c r="D92" s="1"/>
  <c r="C165"/>
  <c r="C91"/>
  <c r="C92" s="1"/>
  <c r="D165"/>
  <c r="D161" s="1"/>
  <c r="D159" s="1"/>
  <c r="B221"/>
  <c r="B222" s="1"/>
  <c r="B91"/>
  <c r="B92" s="1"/>
  <c r="B164"/>
  <c r="B165" s="1"/>
  <c r="F92"/>
  <c r="F93"/>
  <c r="D93" l="1"/>
  <c r="K237"/>
  <c r="K230"/>
  <c r="K197"/>
  <c r="C242"/>
  <c r="M199"/>
  <c r="F242"/>
  <c r="I173"/>
  <c r="I237" s="1"/>
  <c r="I239"/>
  <c r="H173"/>
  <c r="H237" s="1"/>
  <c r="H239"/>
  <c r="G173"/>
  <c r="G237" s="1"/>
  <c r="G239"/>
  <c r="F165"/>
  <c r="F161" s="1"/>
  <c r="F159" s="1"/>
  <c r="F236" s="1"/>
  <c r="E173"/>
  <c r="E237" s="1"/>
  <c r="E239"/>
  <c r="J173"/>
  <c r="D191"/>
  <c r="D241" s="1"/>
  <c r="D236"/>
  <c r="M201"/>
  <c r="E230"/>
  <c r="E197"/>
  <c r="C93"/>
  <c r="C56" s="1"/>
  <c r="C54" s="1"/>
  <c r="C234" s="1"/>
  <c r="C161"/>
  <c r="C159" s="1"/>
  <c r="D223"/>
  <c r="D201" s="1"/>
  <c r="D199" s="1"/>
  <c r="B223"/>
  <c r="B201" s="1"/>
  <c r="B199" s="1"/>
  <c r="B93"/>
  <c r="B56" s="1"/>
  <c r="B54" s="1"/>
  <c r="B234" s="1"/>
  <c r="B249" s="1"/>
  <c r="B166"/>
  <c r="B161" s="1"/>
  <c r="B159" s="1"/>
  <c r="B236" s="1"/>
  <c r="B251" s="1"/>
  <c r="F224"/>
  <c r="D56"/>
  <c r="D54" s="1"/>
  <c r="F56"/>
  <c r="F54" s="1"/>
  <c r="F234" s="1"/>
  <c r="K245" l="1"/>
  <c r="K243"/>
  <c r="K246"/>
  <c r="K244"/>
  <c r="D224"/>
  <c r="D242"/>
  <c r="J230"/>
  <c r="J244" s="1"/>
  <c r="J237"/>
  <c r="J197"/>
  <c r="J243" s="1"/>
  <c r="I197"/>
  <c r="I245" s="1"/>
  <c r="I230"/>
  <c r="H197"/>
  <c r="H243" s="1"/>
  <c r="H230"/>
  <c r="G197"/>
  <c r="G245" s="1"/>
  <c r="G230"/>
  <c r="G246" s="1"/>
  <c r="B224"/>
  <c r="B242"/>
  <c r="B257" s="1"/>
  <c r="C191"/>
  <c r="C241" s="1"/>
  <c r="C236"/>
  <c r="G244"/>
  <c r="H244"/>
  <c r="H246"/>
  <c r="I244"/>
  <c r="I246"/>
  <c r="D182"/>
  <c r="D234"/>
  <c r="E244"/>
  <c r="E246"/>
  <c r="E243"/>
  <c r="E245"/>
  <c r="B191"/>
  <c r="B241" s="1"/>
  <c r="B256" s="1"/>
  <c r="B182"/>
  <c r="B239" s="1"/>
  <c r="B254" s="1"/>
  <c r="C182"/>
  <c r="C120"/>
  <c r="B120"/>
  <c r="F182"/>
  <c r="M54"/>
  <c r="F191"/>
  <c r="M159"/>
  <c r="D120"/>
  <c r="F120"/>
  <c r="G243" l="1"/>
  <c r="I243"/>
  <c r="J246"/>
  <c r="J245"/>
  <c r="H245"/>
  <c r="M191"/>
  <c r="F241"/>
  <c r="M182"/>
  <c r="F239"/>
  <c r="D173"/>
  <c r="D237" s="1"/>
  <c r="D239"/>
  <c r="C173"/>
  <c r="C237" s="1"/>
  <c r="C239"/>
  <c r="B173"/>
  <c r="B197" s="1"/>
  <c r="F173"/>
  <c r="F230" l="1"/>
  <c r="F244" s="1"/>
  <c r="F237"/>
  <c r="D230"/>
  <c r="O173"/>
  <c r="D197"/>
  <c r="D245" s="1"/>
  <c r="C197"/>
  <c r="C243" s="1"/>
  <c r="C230"/>
  <c r="C244" s="1"/>
  <c r="N173"/>
  <c r="B237"/>
  <c r="B252" s="1"/>
  <c r="B230"/>
  <c r="B246" s="1"/>
  <c r="M173"/>
  <c r="B245"/>
  <c r="D244"/>
  <c r="D246"/>
  <c r="M247"/>
  <c r="F197"/>
  <c r="D243" l="1"/>
  <c r="F246"/>
  <c r="C246"/>
  <c r="C245"/>
  <c r="B244"/>
  <c r="B259" s="1"/>
  <c r="B243"/>
  <c r="B258" s="1"/>
  <c r="F243"/>
  <c r="F245"/>
</calcChain>
</file>

<file path=xl/sharedStrings.xml><?xml version="1.0" encoding="utf-8"?>
<sst xmlns="http://schemas.openxmlformats.org/spreadsheetml/2006/main" count="360" uniqueCount="311">
  <si>
    <t>℃</t>
    <phoneticPr fontId="1" type="noConversion"/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</si>
  <si>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be</t>
    </r>
    <r>
      <rPr>
        <sz val="11"/>
        <color theme="1"/>
        <rFont val="宋体"/>
        <family val="2"/>
        <charset val="134"/>
        <scheme val="minor"/>
      </rPr>
      <t>——油品加热始温，℃</t>
    </r>
    <phoneticPr fontId="1" type="noConversion"/>
  </si>
  <si>
    <r>
      <t>t</t>
    </r>
    <r>
      <rPr>
        <vertAlign val="subscript"/>
        <sz val="11"/>
        <color theme="1"/>
        <rFont val="宋体"/>
        <family val="2"/>
        <charset val="134"/>
        <scheme val="minor"/>
      </rPr>
      <t>ai</t>
    </r>
    <r>
      <rPr>
        <sz val="11"/>
        <color theme="1"/>
        <rFont val="宋体"/>
        <family val="2"/>
        <charset val="134"/>
        <scheme val="minor"/>
      </rPr>
      <t>——油品所在地区历年一月份平均温度平均值，℃</t>
    </r>
    <phoneticPr fontId="1" type="noConversion"/>
  </si>
  <si>
    <r>
      <t>t</t>
    </r>
    <r>
      <rPr>
        <vertAlign val="subscript"/>
        <sz val="11"/>
        <color theme="1"/>
        <rFont val="宋体"/>
        <family val="2"/>
        <charset val="134"/>
        <scheme val="minor"/>
      </rPr>
      <t>en</t>
    </r>
    <r>
      <rPr>
        <sz val="11"/>
        <color theme="1"/>
        <rFont val="宋体"/>
        <family val="2"/>
        <charset val="134"/>
        <scheme val="minor"/>
      </rPr>
      <t>——油品加热终温，℃</t>
    </r>
    <phoneticPr fontId="1" type="noConversion"/>
  </si>
  <si>
    <r>
      <t>油品平均温度t</t>
    </r>
    <r>
      <rPr>
        <vertAlign val="subscript"/>
        <sz val="11"/>
        <color rgb="FF0000FF"/>
        <rFont val="宋体"/>
        <family val="3"/>
        <charset val="134"/>
        <scheme val="minor"/>
      </rPr>
      <t xml:space="preserve">av </t>
    </r>
    <r>
      <rPr>
        <sz val="11"/>
        <color rgb="FF0000FF"/>
        <rFont val="宋体"/>
        <family val="3"/>
        <charset val="134"/>
        <scheme val="minor"/>
      </rPr>
      <t>,℃</t>
    </r>
    <phoneticPr fontId="1" type="noConversion"/>
  </si>
  <si>
    <r>
      <t>t</t>
    </r>
    <r>
      <rPr>
        <vertAlign val="subscript"/>
        <sz val="11"/>
        <color rgb="FF0000FF"/>
        <rFont val="宋体"/>
        <family val="3"/>
        <charset val="134"/>
        <scheme val="minor"/>
      </rPr>
      <t>av1</t>
    </r>
    <r>
      <rPr>
        <sz val="11"/>
        <color rgb="FF0000FF"/>
        <rFont val="宋体"/>
        <family val="3"/>
        <charset val="134"/>
        <scheme val="minor"/>
      </rPr>
      <t>=(t</t>
    </r>
    <r>
      <rPr>
        <vertAlign val="subscript"/>
        <sz val="11"/>
        <color rgb="FF0000FF"/>
        <rFont val="宋体"/>
        <family val="3"/>
        <charset val="134"/>
        <scheme val="minor"/>
      </rPr>
      <t>be</t>
    </r>
    <r>
      <rPr>
        <sz val="11"/>
        <color rgb="FF0000FF"/>
        <rFont val="宋体"/>
        <family val="3"/>
        <charset val="134"/>
        <scheme val="minor"/>
      </rPr>
      <t>+t</t>
    </r>
    <r>
      <rPr>
        <vertAlign val="subscript"/>
        <sz val="11"/>
        <color rgb="FF0000FF"/>
        <rFont val="宋体"/>
        <family val="3"/>
        <charset val="134"/>
        <scheme val="minor"/>
      </rPr>
      <t>en</t>
    </r>
    <r>
      <rPr>
        <sz val="11"/>
        <color rgb="FF0000FF"/>
        <rFont val="宋体"/>
        <family val="3"/>
        <charset val="134"/>
        <scheme val="minor"/>
      </rPr>
      <t>)/2</t>
    </r>
    <phoneticPr fontId="1" type="noConversion"/>
  </si>
  <si>
    <r>
      <t>t</t>
    </r>
    <r>
      <rPr>
        <vertAlign val="subscript"/>
        <sz val="11"/>
        <color rgb="FF0000FF"/>
        <rFont val="宋体"/>
        <family val="3"/>
        <charset val="134"/>
        <scheme val="minor"/>
      </rPr>
      <t>av2</t>
    </r>
    <r>
      <rPr>
        <sz val="11"/>
        <color rgb="FF0000FF"/>
        <rFont val="宋体"/>
        <family val="3"/>
        <charset val="134"/>
        <scheme val="minor"/>
      </rPr>
      <t>=t</t>
    </r>
    <r>
      <rPr>
        <vertAlign val="subscript"/>
        <sz val="11"/>
        <color rgb="FF0000FF"/>
        <rFont val="宋体"/>
        <family val="3"/>
        <charset val="134"/>
        <scheme val="minor"/>
      </rPr>
      <t>ai</t>
    </r>
    <r>
      <rPr>
        <sz val="11"/>
        <color rgb="FF0000FF"/>
        <rFont val="宋体"/>
        <family val="3"/>
        <charset val="134"/>
        <scheme val="minor"/>
      </rPr>
      <t>+{(t</t>
    </r>
    <r>
      <rPr>
        <vertAlign val="subscript"/>
        <sz val="11"/>
        <color rgb="FF0000FF"/>
        <rFont val="宋体"/>
        <family val="3"/>
        <charset val="134"/>
        <scheme val="minor"/>
      </rPr>
      <t>en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be</t>
    </r>
    <r>
      <rPr>
        <sz val="11"/>
        <color rgb="FF0000FF"/>
        <rFont val="宋体"/>
        <family val="3"/>
        <charset val="134"/>
        <scheme val="minor"/>
      </rPr>
      <t>)/ln[(t</t>
    </r>
    <r>
      <rPr>
        <vertAlign val="subscript"/>
        <sz val="11"/>
        <color rgb="FF0000FF"/>
        <rFont val="宋体"/>
        <family val="3"/>
        <charset val="134"/>
        <scheme val="minor"/>
      </rPr>
      <t>en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ai</t>
    </r>
    <r>
      <rPr>
        <sz val="11"/>
        <color rgb="FF0000FF"/>
        <rFont val="宋体"/>
        <family val="3"/>
        <charset val="134"/>
        <scheme val="minor"/>
      </rPr>
      <t>)/(t</t>
    </r>
    <r>
      <rPr>
        <vertAlign val="subscript"/>
        <sz val="11"/>
        <color rgb="FF0000FF"/>
        <rFont val="宋体"/>
        <family val="3"/>
        <charset val="134"/>
        <scheme val="minor"/>
      </rPr>
      <t>be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ai</t>
    </r>
    <r>
      <rPr>
        <sz val="11"/>
        <color rgb="FF0000FF"/>
        <rFont val="宋体"/>
        <family val="3"/>
        <charset val="134"/>
        <scheme val="minor"/>
      </rPr>
      <t>)]}</t>
    </r>
    <phoneticPr fontId="1" type="noConversion"/>
  </si>
  <si>
    <r>
      <t>(t</t>
    </r>
    <r>
      <rPr>
        <vertAlign val="subscript"/>
        <sz val="11"/>
        <color rgb="FF0000FF"/>
        <rFont val="宋体"/>
        <family val="3"/>
        <charset val="134"/>
        <scheme val="minor"/>
      </rPr>
      <t>en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ai</t>
    </r>
    <r>
      <rPr>
        <sz val="11"/>
        <color rgb="FF0000FF"/>
        <rFont val="宋体"/>
        <family val="3"/>
        <charset val="134"/>
        <scheme val="minor"/>
      </rPr>
      <t>)/(t</t>
    </r>
    <r>
      <rPr>
        <vertAlign val="subscript"/>
        <sz val="11"/>
        <color rgb="FF0000FF"/>
        <rFont val="宋体"/>
        <family val="3"/>
        <charset val="134"/>
        <scheme val="minor"/>
      </rPr>
      <t>be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ai</t>
    </r>
    <r>
      <rPr>
        <sz val="11"/>
        <color rgb="FF0000FF"/>
        <rFont val="宋体"/>
        <family val="3"/>
        <charset val="134"/>
        <scheme val="minor"/>
      </rPr>
      <t>)</t>
    </r>
    <phoneticPr fontId="1" type="noConversion"/>
  </si>
  <si>
    <t>a——油品容重的温度修正系数，1/℃</t>
    <phoneticPr fontId="1" type="noConversion"/>
  </si>
  <si>
    <r>
      <t>γ</t>
    </r>
    <r>
      <rPr>
        <vertAlign val="superscript"/>
        <sz val="11"/>
        <color rgb="FF0000FF"/>
        <rFont val="宋体"/>
        <family val="3"/>
        <charset val="134"/>
        <scheme val="minor"/>
      </rPr>
      <t>15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——15℃时的油品密度，t/m</t>
    </r>
    <r>
      <rPr>
        <vertAlign val="superscript"/>
        <sz val="11"/>
        <color rgb="FF0000FF"/>
        <rFont val="宋体"/>
        <family val="3"/>
        <charset val="134"/>
        <scheme val="minor"/>
      </rPr>
      <t>3</t>
    </r>
    <phoneticPr fontId="1" type="noConversion"/>
  </si>
  <si>
    <r>
      <t>λ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 xml:space="preserve">op </t>
    </r>
    <r>
      <rPr>
        <sz val="11"/>
        <color rgb="FF0000FF"/>
        <rFont val="宋体"/>
        <family val="3"/>
        <charset val="134"/>
        <scheme val="minor"/>
      </rPr>
      <t>——油品在定性温度时的导热系数，W/(m.℃）</t>
    </r>
    <phoneticPr fontId="1" type="noConversion"/>
  </si>
  <si>
    <r>
      <t>g——重力加速度，m/s</t>
    </r>
    <r>
      <rPr>
        <vertAlign val="superscript"/>
        <sz val="11"/>
        <rFont val="宋体"/>
        <family val="3"/>
        <charset val="134"/>
        <scheme val="minor"/>
      </rPr>
      <t>2</t>
    </r>
    <phoneticPr fontId="1" type="noConversion"/>
  </si>
  <si>
    <t>β——油品在定性温度时的体积膨胀系数，1/℃</t>
    <phoneticPr fontId="1" type="noConversion"/>
  </si>
  <si>
    <r>
      <t>γ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——油品在定性温度时的密度，t/m</t>
    </r>
    <r>
      <rPr>
        <vertAlign val="superscript"/>
        <sz val="11"/>
        <color rgb="FF0000FF"/>
        <rFont val="宋体"/>
        <family val="3"/>
        <charset val="134"/>
        <scheme val="minor"/>
      </rPr>
      <t>3</t>
    </r>
    <phoneticPr fontId="1" type="noConversion"/>
  </si>
  <si>
    <t>△t——油品平均温度与罐壁推算温度的差值，℃</t>
    <phoneticPr fontId="1" type="noConversion"/>
  </si>
  <si>
    <r>
      <t>u=ln(ν</t>
    </r>
    <r>
      <rPr>
        <vertAlign val="superscript"/>
        <sz val="11"/>
        <color rgb="FF0000FF"/>
        <rFont val="宋体"/>
        <family val="3"/>
        <charset val="134"/>
        <scheme val="minor"/>
      </rPr>
      <t>t1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2"/>
        <charset val="134"/>
        <scheme val="minor"/>
      </rPr>
      <t>/ν</t>
    </r>
    <r>
      <rPr>
        <vertAlign val="superscript"/>
        <sz val="11"/>
        <color rgb="FF0000FF"/>
        <rFont val="宋体"/>
        <family val="3"/>
        <charset val="134"/>
        <scheme val="minor"/>
      </rPr>
      <t>t2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2"/>
        <charset val="134"/>
        <scheme val="minor"/>
      </rPr>
      <t>)/(t</t>
    </r>
    <r>
      <rPr>
        <vertAlign val="sub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2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1</t>
    </r>
    <r>
      <rPr>
        <sz val="11"/>
        <color rgb="FF0000FF"/>
        <rFont val="宋体"/>
        <family val="2"/>
        <charset val="134"/>
        <scheme val="minor"/>
      </rPr>
      <t>)</t>
    </r>
    <phoneticPr fontId="1" type="noConversion"/>
  </si>
  <si>
    <t>`</t>
    <phoneticPr fontId="1" type="noConversion"/>
  </si>
  <si>
    <t>u——粘度的温度系数</t>
    <phoneticPr fontId="1" type="noConversion"/>
  </si>
  <si>
    <r>
      <t>ν</t>
    </r>
    <r>
      <rPr>
        <vertAlign val="superscript"/>
        <sz val="11"/>
        <color theme="1"/>
        <rFont val="宋体"/>
        <family val="3"/>
        <charset val="134"/>
        <scheme val="minor"/>
      </rPr>
      <t>t1</t>
    </r>
    <r>
      <rPr>
        <vertAlign val="subscript"/>
        <sz val="11"/>
        <color theme="1"/>
        <rFont val="宋体"/>
        <family val="3"/>
        <charset val="134"/>
        <scheme val="minor"/>
      </rPr>
      <t>op</t>
    </r>
    <r>
      <rPr>
        <sz val="11"/>
        <color theme="1"/>
        <rFont val="宋体"/>
        <family val="2"/>
        <charset val="134"/>
        <scheme val="minor"/>
      </rPr>
      <t>——t1温度时的油品粘度，m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/s</t>
    </r>
    <phoneticPr fontId="1" type="noConversion"/>
  </si>
  <si>
    <r>
      <t>ν</t>
    </r>
    <r>
      <rPr>
        <vertAlign val="superscript"/>
        <sz val="11"/>
        <color theme="1"/>
        <rFont val="宋体"/>
        <family val="3"/>
        <charset val="134"/>
        <scheme val="minor"/>
      </rPr>
      <t>t2</t>
    </r>
    <r>
      <rPr>
        <vertAlign val="subscript"/>
        <sz val="11"/>
        <color theme="1"/>
        <rFont val="宋体"/>
        <family val="3"/>
        <charset val="134"/>
        <scheme val="minor"/>
      </rPr>
      <t>op</t>
    </r>
    <r>
      <rPr>
        <sz val="11"/>
        <color theme="1"/>
        <rFont val="宋体"/>
        <family val="2"/>
        <charset val="134"/>
        <scheme val="minor"/>
      </rPr>
      <t>——t2温度时的油品粘度，m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/s</t>
    </r>
    <phoneticPr fontId="1" type="noConversion"/>
  </si>
  <si>
    <r>
      <t>ν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=ν</t>
    </r>
    <r>
      <rPr>
        <vertAlign val="superscript"/>
        <sz val="11"/>
        <color rgb="FF0000FF"/>
        <rFont val="宋体"/>
        <family val="3"/>
        <charset val="134"/>
        <scheme val="minor"/>
      </rPr>
      <t>t1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.e</t>
    </r>
    <r>
      <rPr>
        <vertAlign val="superscript"/>
        <sz val="11"/>
        <color rgb="FF0000FF"/>
        <rFont val="宋体"/>
        <family val="3"/>
        <charset val="134"/>
        <scheme val="minor"/>
      </rPr>
      <t>-u(tqu-t1)</t>
    </r>
    <phoneticPr fontId="1" type="noConversion"/>
  </si>
  <si>
    <r>
      <t>ν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——油品在定性温度时的运动粘度，m</t>
    </r>
    <r>
      <rPr>
        <vertAlign val="super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/s</t>
    </r>
    <phoneticPr fontId="1" type="noConversion"/>
  </si>
  <si>
    <t>Pr——普朗特准数，无因次</t>
    <phoneticPr fontId="1" type="noConversion"/>
  </si>
  <si>
    <r>
      <t>C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=4.1868×（0.403+0.00081×t</t>
    </r>
    <r>
      <rPr>
        <vertAlign val="subscript"/>
        <sz val="11"/>
        <color rgb="FF0000FF"/>
        <rFont val="宋体"/>
        <family val="3"/>
        <charset val="134"/>
        <scheme val="minor"/>
      </rPr>
      <t>qu</t>
    </r>
    <r>
      <rPr>
        <sz val="11"/>
        <color rgb="FF0000FF"/>
        <rFont val="宋体"/>
        <family val="3"/>
        <charset val="134"/>
        <scheme val="minor"/>
      </rPr>
      <t>)/(d</t>
    </r>
    <r>
      <rPr>
        <vertAlign val="superscript"/>
        <sz val="11"/>
        <color rgb="FF0000FF"/>
        <rFont val="宋体"/>
        <family val="3"/>
        <charset val="134"/>
        <scheme val="minor"/>
      </rPr>
      <t>15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)</t>
    </r>
    <r>
      <rPr>
        <vertAlign val="superscript"/>
        <sz val="11"/>
        <color rgb="FF0000FF"/>
        <rFont val="宋体"/>
        <family val="3"/>
        <charset val="134"/>
        <scheme val="minor"/>
      </rPr>
      <t>0.5</t>
    </r>
    <phoneticPr fontId="1" type="noConversion"/>
  </si>
  <si>
    <r>
      <t>d</t>
    </r>
    <r>
      <rPr>
        <vertAlign val="superscript"/>
        <sz val="11"/>
        <color rgb="FF0000FF"/>
        <rFont val="宋体"/>
        <family val="3"/>
        <charset val="134"/>
        <scheme val="minor"/>
      </rPr>
      <t>15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——15℃时的油品相对密度，无因次</t>
    </r>
    <phoneticPr fontId="1" type="noConversion"/>
  </si>
  <si>
    <r>
      <t>C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——油品在定性温度时的质量热容，KJ/（kg.℃）</t>
    </r>
    <phoneticPr fontId="1" type="noConversion"/>
  </si>
  <si>
    <t>Gr.Pr</t>
    <phoneticPr fontId="1" type="noConversion"/>
  </si>
  <si>
    <t>m——系数</t>
    <phoneticPr fontId="1" type="noConversion"/>
  </si>
  <si>
    <t>n——系数</t>
    <phoneticPr fontId="1" type="noConversion"/>
  </si>
  <si>
    <r>
      <t>α</t>
    </r>
    <r>
      <rPr>
        <vertAlign val="subscript"/>
        <sz val="11"/>
        <color rgb="FF0000FF"/>
        <rFont val="宋体"/>
        <family val="3"/>
        <charset val="134"/>
        <scheme val="minor"/>
      </rPr>
      <t>1tw</t>
    </r>
    <r>
      <rPr>
        <sz val="11"/>
        <color rgb="FF0000FF"/>
        <rFont val="宋体"/>
        <family val="3"/>
        <charset val="134"/>
        <scheme val="minor"/>
      </rPr>
      <t>=m.λ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 xml:space="preserve">op </t>
    </r>
    <r>
      <rPr>
        <sz val="11"/>
        <color rgb="FF0000FF"/>
        <rFont val="宋体"/>
        <family val="3"/>
        <charset val="134"/>
        <scheme val="minor"/>
      </rPr>
      <t>(Gr.Pr)</t>
    </r>
    <r>
      <rPr>
        <vertAlign val="superscript"/>
        <sz val="11"/>
        <color rgb="FF0000FF"/>
        <rFont val="宋体"/>
        <family val="3"/>
        <charset val="134"/>
        <scheme val="minor"/>
      </rPr>
      <t>n</t>
    </r>
    <r>
      <rPr>
        <sz val="11"/>
        <color rgb="FF0000FF"/>
        <rFont val="宋体"/>
        <family val="3"/>
        <charset val="134"/>
        <scheme val="minor"/>
      </rPr>
      <t>/H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phoneticPr fontId="1" type="noConversion"/>
  </si>
  <si>
    <r>
      <t>λ</t>
    </r>
    <r>
      <rPr>
        <vertAlign val="subscript"/>
        <sz val="11"/>
        <color theme="1"/>
        <rFont val="宋体"/>
        <family val="3"/>
        <charset val="134"/>
        <scheme val="minor"/>
      </rPr>
      <t>o</t>
    </r>
    <r>
      <rPr>
        <sz val="11"/>
        <color theme="1"/>
        <rFont val="宋体"/>
        <family val="3"/>
        <charset val="134"/>
        <scheme val="minor"/>
      </rPr>
      <t>——空气在0℃时的导热系数，W/(m.℃）</t>
    </r>
    <phoneticPr fontId="1" type="noConversion"/>
  </si>
  <si>
    <t>C′——常数</t>
    <phoneticPr fontId="1" type="noConversion"/>
  </si>
  <si>
    <t>Re——雷诺数，无因次</t>
    <phoneticPr fontId="1" type="noConversion"/>
  </si>
  <si>
    <r>
      <t>υ</t>
    </r>
    <r>
      <rPr>
        <vertAlign val="subscript"/>
        <sz val="11"/>
        <color theme="1"/>
        <rFont val="宋体"/>
        <family val="3"/>
        <charset val="134"/>
        <scheme val="minor"/>
      </rPr>
      <t>ai</t>
    </r>
    <r>
      <rPr>
        <sz val="11"/>
        <color theme="1"/>
        <rFont val="宋体"/>
        <family val="3"/>
        <charset val="134"/>
        <scheme val="minor"/>
      </rPr>
      <t>——冬季平均风速，m/s</t>
    </r>
    <phoneticPr fontId="1" type="noConversion"/>
  </si>
  <si>
    <r>
      <t>D</t>
    </r>
    <r>
      <rPr>
        <vertAlign val="subscript"/>
        <sz val="11"/>
        <color theme="1"/>
        <rFont val="宋体"/>
        <family val="3"/>
        <charset val="134"/>
        <scheme val="minor"/>
      </rPr>
      <t>av</t>
    </r>
    <r>
      <rPr>
        <sz val="11"/>
        <color theme="1"/>
        <rFont val="宋体"/>
        <family val="2"/>
        <charset val="134"/>
        <scheme val="minor"/>
      </rPr>
      <t>——油罐平均直径，</t>
    </r>
    <r>
      <rPr>
        <sz val="11"/>
        <color theme="1"/>
        <rFont val="宋体"/>
        <family val="3"/>
        <charset val="134"/>
        <scheme val="minor"/>
      </rPr>
      <t>m</t>
    </r>
    <phoneticPr fontId="1" type="noConversion"/>
  </si>
  <si>
    <r>
      <t>μ</t>
    </r>
    <r>
      <rPr>
        <vertAlign val="subscript"/>
        <sz val="11"/>
        <color theme="1"/>
        <rFont val="宋体"/>
        <family val="3"/>
        <charset val="134"/>
        <scheme val="minor"/>
      </rPr>
      <t>o</t>
    </r>
    <r>
      <rPr>
        <sz val="11"/>
        <color theme="1"/>
        <rFont val="宋体"/>
        <family val="3"/>
        <charset val="134"/>
        <scheme val="minor"/>
      </rPr>
      <t>——空气在0时的绝对粘度，kg.s/m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phoneticPr fontId="1" type="noConversion"/>
  </si>
  <si>
    <r>
      <t>γ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=1.252×273/T</t>
    </r>
    <phoneticPr fontId="1" type="noConversion"/>
  </si>
  <si>
    <r>
      <t>γ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——空气在t</t>
    </r>
    <r>
      <rPr>
        <vertAlign val="subscript"/>
        <sz val="11"/>
        <color rgb="FF0000FF"/>
        <rFont val="宋体"/>
        <family val="3"/>
        <charset val="134"/>
        <scheme val="minor"/>
      </rPr>
      <t>ai</t>
    </r>
    <r>
      <rPr>
        <sz val="11"/>
        <color rgb="FF0000FF"/>
        <rFont val="宋体"/>
        <family val="3"/>
        <charset val="134"/>
        <scheme val="minor"/>
      </rPr>
      <t>时的密度，kg/m</t>
    </r>
    <r>
      <rPr>
        <vertAlign val="superscript"/>
        <sz val="11"/>
        <color rgb="FF0000FF"/>
        <rFont val="宋体"/>
        <family val="3"/>
        <charset val="134"/>
        <scheme val="minor"/>
      </rPr>
      <t>3</t>
    </r>
    <phoneticPr fontId="1" type="noConversion"/>
  </si>
  <si>
    <r>
      <t>ν</t>
    </r>
    <r>
      <rPr>
        <vertAlign val="subscript"/>
        <sz val="11"/>
        <color rgb="FF0000FF"/>
        <rFont val="宋体"/>
        <family val="3"/>
        <charset val="134"/>
        <scheme val="minor"/>
      </rPr>
      <t>ai</t>
    </r>
    <r>
      <rPr>
        <sz val="11"/>
        <color rgb="FF0000FF"/>
        <rFont val="宋体"/>
        <family val="3"/>
        <charset val="134"/>
        <scheme val="minor"/>
      </rPr>
      <t>=μ</t>
    </r>
    <r>
      <rPr>
        <vertAlign val="subscript"/>
        <sz val="11"/>
        <color rgb="FF0000FF"/>
        <rFont val="宋体"/>
        <family val="3"/>
        <charset val="134"/>
        <scheme val="minor"/>
      </rPr>
      <t>o</t>
    </r>
    <r>
      <rPr>
        <sz val="11"/>
        <color rgb="FF0000FF"/>
        <rFont val="宋体"/>
        <family val="3"/>
        <charset val="134"/>
        <scheme val="minor"/>
      </rPr>
      <t>.（273+C）/（T+C）.(T/273)</t>
    </r>
    <r>
      <rPr>
        <vertAlign val="superscript"/>
        <sz val="11"/>
        <color rgb="FF0000FF"/>
        <rFont val="宋体"/>
        <family val="3"/>
        <charset val="134"/>
        <scheme val="minor"/>
      </rPr>
      <t>3/2</t>
    </r>
    <r>
      <rPr>
        <sz val="11"/>
        <color rgb="FF0000FF"/>
        <rFont val="宋体"/>
        <family val="3"/>
        <charset val="134"/>
        <scheme val="minor"/>
      </rPr>
      <t>.（g/γ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)</t>
    </r>
    <phoneticPr fontId="1" type="noConversion"/>
  </si>
  <si>
    <r>
      <t>ν</t>
    </r>
    <r>
      <rPr>
        <vertAlign val="subscript"/>
        <sz val="11"/>
        <color rgb="FF0000FF"/>
        <rFont val="宋体"/>
        <family val="3"/>
        <charset val="134"/>
        <scheme val="minor"/>
      </rPr>
      <t>ai</t>
    </r>
    <r>
      <rPr>
        <sz val="11"/>
        <color rgb="FF0000FF"/>
        <rFont val="宋体"/>
        <family val="3"/>
        <charset val="134"/>
        <scheme val="minor"/>
      </rPr>
      <t>——空气的粘度，m</t>
    </r>
    <r>
      <rPr>
        <vertAlign val="super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/s</t>
    </r>
    <phoneticPr fontId="1" type="noConversion"/>
  </si>
  <si>
    <r>
      <t>Re=υ</t>
    </r>
    <r>
      <rPr>
        <vertAlign val="subscript"/>
        <sz val="11"/>
        <color rgb="FF0000FF"/>
        <rFont val="宋体"/>
        <family val="3"/>
        <charset val="134"/>
        <scheme val="minor"/>
      </rPr>
      <t>ai</t>
    </r>
    <r>
      <rPr>
        <sz val="11"/>
        <color rgb="FF0000FF"/>
        <rFont val="宋体"/>
        <family val="3"/>
        <charset val="134"/>
        <scheme val="minor"/>
      </rPr>
      <t>.D</t>
    </r>
    <r>
      <rPr>
        <vertAlign val="subscript"/>
        <sz val="11"/>
        <color rgb="FF0000FF"/>
        <rFont val="宋体"/>
        <family val="3"/>
        <charset val="134"/>
        <scheme val="minor"/>
      </rPr>
      <t>av</t>
    </r>
    <r>
      <rPr>
        <sz val="11"/>
        <color rgb="FF0000FF"/>
        <rFont val="宋体"/>
        <family val="3"/>
        <charset val="134"/>
        <scheme val="minor"/>
      </rPr>
      <t>/ν</t>
    </r>
    <r>
      <rPr>
        <vertAlign val="subscript"/>
        <sz val="11"/>
        <color rgb="FF0000FF"/>
        <rFont val="宋体"/>
        <family val="3"/>
        <charset val="134"/>
        <scheme val="minor"/>
      </rPr>
      <t>ai</t>
    </r>
    <phoneticPr fontId="1" type="noConversion"/>
  </si>
  <si>
    <r>
      <t>λ</t>
    </r>
    <r>
      <rPr>
        <vertAlign val="subscript"/>
        <sz val="11"/>
        <color rgb="FF0000FF"/>
        <rFont val="宋体"/>
        <family val="3"/>
        <charset val="134"/>
        <scheme val="minor"/>
      </rPr>
      <t>ai</t>
    </r>
    <r>
      <rPr>
        <sz val="11"/>
        <color rgb="FF0000FF"/>
        <rFont val="宋体"/>
        <family val="3"/>
        <charset val="134"/>
        <scheme val="minor"/>
      </rPr>
      <t>——空气导热系数，W/(m.℃）</t>
    </r>
    <phoneticPr fontId="1" type="noConversion"/>
  </si>
  <si>
    <r>
      <t>λ</t>
    </r>
    <r>
      <rPr>
        <vertAlign val="subscript"/>
        <sz val="11"/>
        <color rgb="FF0000FF"/>
        <rFont val="宋体"/>
        <family val="3"/>
        <charset val="134"/>
        <scheme val="minor"/>
      </rPr>
      <t>ai</t>
    </r>
    <r>
      <rPr>
        <sz val="11"/>
        <color rgb="FF0000FF"/>
        <rFont val="宋体"/>
        <family val="3"/>
        <charset val="134"/>
        <scheme val="minor"/>
      </rPr>
      <t>=λ</t>
    </r>
    <r>
      <rPr>
        <vertAlign val="subscript"/>
        <sz val="11"/>
        <color rgb="FF0000FF"/>
        <rFont val="宋体"/>
        <family val="3"/>
        <charset val="134"/>
        <scheme val="minor"/>
      </rPr>
      <t>o</t>
    </r>
    <r>
      <rPr>
        <sz val="11"/>
        <color rgb="FF0000FF"/>
        <rFont val="宋体"/>
        <family val="3"/>
        <charset val="134"/>
        <scheme val="minor"/>
      </rPr>
      <t>.（273+C′）/（T+C′）.(T/273)</t>
    </r>
    <r>
      <rPr>
        <vertAlign val="superscript"/>
        <sz val="11"/>
        <color rgb="FF0000FF"/>
        <rFont val="宋体"/>
        <family val="3"/>
        <charset val="134"/>
        <scheme val="minor"/>
      </rPr>
      <t>3/2</t>
    </r>
    <phoneticPr fontId="1" type="noConversion"/>
  </si>
  <si>
    <r>
      <t>m</t>
    </r>
    <r>
      <rPr>
        <vertAlign val="subscript"/>
        <sz val="11"/>
        <color rgb="FF0000FF"/>
        <rFont val="宋体"/>
        <family val="3"/>
        <charset val="134"/>
        <scheme val="minor"/>
      </rPr>
      <t>ex</t>
    </r>
    <r>
      <rPr>
        <sz val="11"/>
        <color rgb="FF0000FF"/>
        <rFont val="宋体"/>
        <family val="3"/>
        <charset val="134"/>
        <scheme val="minor"/>
      </rPr>
      <t>——系数</t>
    </r>
    <phoneticPr fontId="1" type="noConversion"/>
  </si>
  <si>
    <r>
      <t>n</t>
    </r>
    <r>
      <rPr>
        <vertAlign val="subscript"/>
        <sz val="11"/>
        <color rgb="FF0000FF"/>
        <rFont val="宋体"/>
        <family val="3"/>
        <charset val="134"/>
        <scheme val="minor"/>
      </rPr>
      <t>ex</t>
    </r>
    <r>
      <rPr>
        <sz val="11"/>
        <color rgb="FF0000FF"/>
        <rFont val="宋体"/>
        <family val="3"/>
        <charset val="134"/>
        <scheme val="minor"/>
      </rPr>
      <t>——系数</t>
    </r>
    <phoneticPr fontId="1" type="noConversion"/>
  </si>
  <si>
    <r>
      <t>α</t>
    </r>
    <r>
      <rPr>
        <vertAlign val="subscript"/>
        <sz val="11"/>
        <color rgb="FF0000FF"/>
        <rFont val="宋体"/>
        <family val="3"/>
        <charset val="134"/>
        <scheme val="minor"/>
      </rPr>
      <t>2tw</t>
    </r>
    <r>
      <rPr>
        <sz val="11"/>
        <color rgb="FF0000FF"/>
        <rFont val="宋体"/>
        <family val="3"/>
        <charset val="134"/>
        <scheme val="minor"/>
      </rPr>
      <t>=m</t>
    </r>
    <r>
      <rPr>
        <vertAlign val="subscript"/>
        <sz val="11"/>
        <color rgb="FF0000FF"/>
        <rFont val="宋体"/>
        <family val="3"/>
        <charset val="134"/>
        <scheme val="minor"/>
      </rPr>
      <t>ex</t>
    </r>
    <r>
      <rPr>
        <sz val="11"/>
        <color rgb="FF0000FF"/>
        <rFont val="宋体"/>
        <family val="3"/>
        <charset val="134"/>
        <scheme val="minor"/>
      </rPr>
      <t>.λ</t>
    </r>
    <r>
      <rPr>
        <vertAlign val="subscript"/>
        <sz val="11"/>
        <color rgb="FF0000FF"/>
        <rFont val="宋体"/>
        <family val="3"/>
        <charset val="134"/>
        <scheme val="minor"/>
      </rPr>
      <t>ai</t>
    </r>
    <r>
      <rPr>
        <sz val="11"/>
        <color rgb="FF0000FF"/>
        <rFont val="宋体"/>
        <family val="3"/>
        <charset val="134"/>
        <scheme val="minor"/>
      </rPr>
      <t>.(Re)</t>
    </r>
    <r>
      <rPr>
        <vertAlign val="superscript"/>
        <sz val="11"/>
        <color rgb="FF0000FF"/>
        <rFont val="宋体"/>
        <family val="3"/>
        <charset val="134"/>
        <scheme val="minor"/>
      </rPr>
      <t>nex</t>
    </r>
    <r>
      <rPr>
        <sz val="11"/>
        <color rgb="FF0000FF"/>
        <rFont val="宋体"/>
        <family val="3"/>
        <charset val="134"/>
        <scheme val="minor"/>
      </rPr>
      <t>/D</t>
    </r>
    <r>
      <rPr>
        <vertAlign val="subscript"/>
        <sz val="11"/>
        <color rgb="FF0000FF"/>
        <rFont val="宋体"/>
        <family val="3"/>
        <charset val="134"/>
        <scheme val="minor"/>
      </rPr>
      <t>av</t>
    </r>
    <phoneticPr fontId="1" type="noConversion"/>
  </si>
  <si>
    <r>
      <t>ε</t>
    </r>
    <r>
      <rPr>
        <vertAlign val="subscript"/>
        <sz val="11"/>
        <rFont val="宋体"/>
        <family val="3"/>
        <charset val="134"/>
        <scheme val="minor"/>
      </rPr>
      <t>tw</t>
    </r>
    <r>
      <rPr>
        <sz val="11"/>
        <rFont val="宋体"/>
        <family val="3"/>
        <charset val="134"/>
        <scheme val="minor"/>
      </rPr>
      <t>——罐壁黑度</t>
    </r>
    <phoneticPr fontId="1" type="noConversion"/>
  </si>
  <si>
    <r>
      <t>t</t>
    </r>
    <r>
      <rPr>
        <vertAlign val="subscript"/>
        <sz val="11"/>
        <color rgb="FF0000FF"/>
        <rFont val="宋体"/>
        <family val="3"/>
        <charset val="134"/>
        <scheme val="minor"/>
      </rPr>
      <t>qu</t>
    </r>
    <r>
      <rPr>
        <sz val="11"/>
        <color rgb="FF0000FF"/>
        <rFont val="宋体"/>
        <family val="3"/>
        <charset val="134"/>
        <scheme val="minor"/>
      </rPr>
      <t>=(t</t>
    </r>
    <r>
      <rPr>
        <vertAlign val="subscript"/>
        <sz val="11"/>
        <color rgb="FF0000FF"/>
        <rFont val="宋体"/>
        <family val="3"/>
        <charset val="134"/>
        <scheme val="minor"/>
      </rPr>
      <t>av</t>
    </r>
    <r>
      <rPr>
        <sz val="11"/>
        <color rgb="FF0000FF"/>
        <rFont val="宋体"/>
        <family val="3"/>
        <charset val="134"/>
        <scheme val="minor"/>
      </rPr>
      <t>+t</t>
    </r>
    <r>
      <rPr>
        <vertAlign val="subscript"/>
        <sz val="11"/>
        <color rgb="FF0000FF"/>
        <rFont val="宋体"/>
        <family val="3"/>
        <charset val="134"/>
        <scheme val="minor"/>
      </rPr>
      <t>wc</t>
    </r>
    <r>
      <rPr>
        <sz val="11"/>
        <color rgb="FF0000FF"/>
        <rFont val="宋体"/>
        <family val="3"/>
        <charset val="134"/>
        <scheme val="minor"/>
      </rPr>
      <t>)/2</t>
    </r>
    <phoneticPr fontId="1" type="noConversion"/>
  </si>
  <si>
    <r>
      <t>△t=t</t>
    </r>
    <r>
      <rPr>
        <vertAlign val="subscript"/>
        <sz val="11"/>
        <color rgb="FF0000FF"/>
        <rFont val="宋体"/>
        <family val="3"/>
        <charset val="134"/>
        <scheme val="minor"/>
      </rPr>
      <t>av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wc</t>
    </r>
    <phoneticPr fontId="1" type="noConversion"/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</si>
  <si>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——粘度</t>
    </r>
    <r>
      <rPr>
        <sz val="11"/>
        <color theme="1"/>
        <rFont val="宋体"/>
        <family val="2"/>
        <charset val="134"/>
        <scheme val="minor"/>
      </rPr>
      <t>ν</t>
    </r>
    <r>
      <rPr>
        <vertAlign val="superscript"/>
        <sz val="11"/>
        <color theme="1"/>
        <rFont val="宋体"/>
        <family val="3"/>
        <charset val="134"/>
        <scheme val="minor"/>
      </rPr>
      <t>t1</t>
    </r>
    <r>
      <rPr>
        <vertAlign val="subscript"/>
        <sz val="11"/>
        <color theme="1"/>
        <rFont val="宋体"/>
        <family val="3"/>
        <charset val="134"/>
        <scheme val="minor"/>
      </rPr>
      <t>op</t>
    </r>
    <r>
      <rPr>
        <sz val="11"/>
        <color theme="1"/>
        <rFont val="宋体"/>
        <family val="2"/>
        <charset val="134"/>
        <scheme val="minor"/>
      </rPr>
      <t>时对应的温度，℃</t>
    </r>
    <phoneticPr fontId="1" type="noConversion"/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</si>
  <si>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——粘度</t>
    </r>
    <r>
      <rPr>
        <sz val="11"/>
        <color theme="1"/>
        <rFont val="宋体"/>
        <family val="2"/>
        <charset val="134"/>
        <scheme val="minor"/>
      </rPr>
      <t>ν</t>
    </r>
    <r>
      <rPr>
        <vertAlign val="superscript"/>
        <sz val="11"/>
        <color theme="1"/>
        <rFont val="宋体"/>
        <family val="3"/>
        <charset val="134"/>
        <scheme val="minor"/>
      </rPr>
      <t>t2</t>
    </r>
    <r>
      <rPr>
        <vertAlign val="subscript"/>
        <sz val="11"/>
        <color theme="1"/>
        <rFont val="宋体"/>
        <family val="3"/>
        <charset val="134"/>
        <scheme val="minor"/>
      </rPr>
      <t>op</t>
    </r>
    <r>
      <rPr>
        <sz val="11"/>
        <color theme="1"/>
        <rFont val="宋体"/>
        <family val="2"/>
        <charset val="134"/>
        <scheme val="minor"/>
      </rPr>
      <t>时对应的温度，℃</t>
    </r>
    <phoneticPr fontId="1" type="noConversion"/>
  </si>
  <si>
    <r>
      <t>t</t>
    </r>
    <r>
      <rPr>
        <vertAlign val="subscript"/>
        <sz val="11"/>
        <color rgb="FF0000FF"/>
        <rFont val="宋体"/>
        <family val="3"/>
        <charset val="134"/>
        <scheme val="minor"/>
      </rPr>
      <t>rc</t>
    </r>
    <r>
      <rPr>
        <sz val="11"/>
        <color rgb="FF0000FF"/>
        <rFont val="宋体"/>
        <family val="3"/>
        <charset val="134"/>
        <scheme val="minor"/>
      </rPr>
      <t>——罐顶温度，℃</t>
    </r>
    <phoneticPr fontId="1" type="noConversion"/>
  </si>
  <si>
    <r>
      <t>t</t>
    </r>
    <r>
      <rPr>
        <vertAlign val="subscript"/>
        <sz val="11"/>
        <color rgb="FF0000FF"/>
        <rFont val="宋体"/>
        <family val="3"/>
        <charset val="134"/>
        <scheme val="minor"/>
      </rPr>
      <t>rc</t>
    </r>
    <r>
      <rPr>
        <sz val="11"/>
        <color rgb="FF0000FF"/>
        <rFont val="宋体"/>
        <family val="3"/>
        <charset val="134"/>
        <scheme val="minor"/>
      </rPr>
      <t>=（t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+t</t>
    </r>
    <r>
      <rPr>
        <vertAlign val="subscript"/>
        <sz val="11"/>
        <color rgb="FF0000FF"/>
        <rFont val="宋体"/>
        <family val="3"/>
        <charset val="134"/>
        <scheme val="minor"/>
      </rPr>
      <t>ai</t>
    </r>
    <r>
      <rPr>
        <sz val="11"/>
        <color rgb="FF0000FF"/>
        <rFont val="宋体"/>
        <family val="3"/>
        <charset val="134"/>
        <scheme val="minor"/>
      </rPr>
      <t>)/2</t>
    </r>
    <phoneticPr fontId="1" type="noConversion"/>
  </si>
  <si>
    <r>
      <t>β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——混合气体在t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时的膨胀系数，1/℃</t>
    </r>
    <phoneticPr fontId="1" type="noConversion"/>
  </si>
  <si>
    <r>
      <t>β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=1/(273+t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)</t>
    </r>
    <phoneticPr fontId="1" type="noConversion"/>
  </si>
  <si>
    <r>
      <t>T=273+t</t>
    </r>
    <r>
      <rPr>
        <vertAlign val="subscript"/>
        <sz val="11"/>
        <color rgb="FF0000FF"/>
        <rFont val="宋体"/>
        <family val="3"/>
        <charset val="134"/>
        <scheme val="minor"/>
      </rPr>
      <t>ai</t>
    </r>
    <phoneticPr fontId="1" type="noConversion"/>
  </si>
  <si>
    <r>
      <t>C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——混合气体在t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时的热容，KJ/（kg.℃)</t>
    </r>
    <phoneticPr fontId="1" type="noConversion"/>
  </si>
  <si>
    <r>
      <t>C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≈4.1868×0.241+(t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-10)×0.001/30</t>
    </r>
    <phoneticPr fontId="1" type="noConversion"/>
  </si>
  <si>
    <r>
      <t>ν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——混合气体在t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时的运动粘度，m</t>
    </r>
    <r>
      <rPr>
        <vertAlign val="super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/s</t>
    </r>
    <phoneticPr fontId="1" type="noConversion"/>
  </si>
  <si>
    <r>
      <t>λ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——混合气体在t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时的导热系数，W/(m</t>
    </r>
    <r>
      <rPr>
        <vertAlign val="super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.℃）</t>
    </r>
    <phoneticPr fontId="1" type="noConversion"/>
  </si>
  <si>
    <r>
      <t>H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=x.H</t>
    </r>
    <phoneticPr fontId="1" type="noConversion"/>
  </si>
  <si>
    <r>
      <t>H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——油品实际储存高度，m</t>
    </r>
    <phoneticPr fontId="1" type="noConversion"/>
  </si>
  <si>
    <t>x——充装系数</t>
    <phoneticPr fontId="1" type="noConversion"/>
  </si>
  <si>
    <t>H——罐壁高度，m</t>
    <phoneticPr fontId="1" type="noConversion"/>
  </si>
  <si>
    <t>h——油罐拱顶的拱高，m</t>
    <phoneticPr fontId="1" type="noConversion"/>
  </si>
  <si>
    <r>
      <t>α</t>
    </r>
    <r>
      <rPr>
        <vertAlign val="subscript"/>
        <sz val="11"/>
        <color rgb="FF0000FF"/>
        <rFont val="宋体"/>
        <family val="3"/>
        <charset val="134"/>
        <scheme val="minor"/>
      </rPr>
      <t>3tw</t>
    </r>
    <r>
      <rPr>
        <sz val="11"/>
        <color rgb="FF0000FF"/>
        <rFont val="宋体"/>
        <family val="3"/>
        <charset val="134"/>
        <scheme val="minor"/>
      </rPr>
      <t>=ε</t>
    </r>
    <r>
      <rPr>
        <vertAlign val="subscript"/>
        <sz val="11"/>
        <color rgb="FF0000FF"/>
        <rFont val="宋体"/>
        <family val="3"/>
        <charset val="134"/>
        <scheme val="minor"/>
      </rPr>
      <t>tw</t>
    </r>
    <r>
      <rPr>
        <sz val="11"/>
        <color rgb="FF0000FF"/>
        <rFont val="宋体"/>
        <family val="3"/>
        <charset val="134"/>
        <scheme val="minor"/>
      </rPr>
      <t>.C</t>
    </r>
    <r>
      <rPr>
        <vertAlign val="subscript"/>
        <sz val="11"/>
        <color rgb="FF0000FF"/>
        <rFont val="宋体"/>
        <family val="3"/>
        <charset val="134"/>
        <scheme val="minor"/>
      </rPr>
      <t>s</t>
    </r>
    <r>
      <rPr>
        <sz val="11"/>
        <color rgb="FF0000FF"/>
        <rFont val="宋体"/>
        <family val="3"/>
        <charset val="134"/>
        <scheme val="minor"/>
      </rPr>
      <t>.{[(t</t>
    </r>
    <r>
      <rPr>
        <vertAlign val="subscript"/>
        <sz val="11"/>
        <color rgb="FF0000FF"/>
        <rFont val="宋体"/>
        <family val="3"/>
        <charset val="134"/>
        <scheme val="minor"/>
      </rPr>
      <t>wc</t>
    </r>
    <r>
      <rPr>
        <sz val="11"/>
        <color rgb="FF0000FF"/>
        <rFont val="宋体"/>
        <family val="3"/>
        <charset val="134"/>
        <scheme val="minor"/>
      </rPr>
      <t>+273)/100]</t>
    </r>
    <r>
      <rPr>
        <vertAlign val="superscript"/>
        <sz val="11"/>
        <color rgb="FF0000FF"/>
        <rFont val="宋体"/>
        <family val="3"/>
        <charset val="134"/>
        <scheme val="minor"/>
      </rPr>
      <t>4</t>
    </r>
    <r>
      <rPr>
        <sz val="11"/>
        <color rgb="FF0000FF"/>
        <rFont val="宋体"/>
        <family val="3"/>
        <charset val="134"/>
        <scheme val="minor"/>
      </rPr>
      <t>-[(t</t>
    </r>
    <r>
      <rPr>
        <vertAlign val="subscript"/>
        <sz val="11"/>
        <color rgb="FF0000FF"/>
        <rFont val="宋体"/>
        <family val="3"/>
        <charset val="134"/>
        <scheme val="minor"/>
      </rPr>
      <t>ai</t>
    </r>
    <r>
      <rPr>
        <sz val="11"/>
        <color rgb="FF0000FF"/>
        <rFont val="宋体"/>
        <family val="3"/>
        <charset val="134"/>
        <scheme val="minor"/>
      </rPr>
      <t>+273)/100]</t>
    </r>
    <r>
      <rPr>
        <vertAlign val="superscript"/>
        <sz val="11"/>
        <color rgb="FF0000FF"/>
        <rFont val="宋体"/>
        <family val="3"/>
        <charset val="134"/>
        <scheme val="minor"/>
      </rPr>
      <t>4</t>
    </r>
    <r>
      <rPr>
        <sz val="11"/>
        <color rgb="FF0000FF"/>
        <rFont val="宋体"/>
        <family val="3"/>
        <charset val="134"/>
        <scheme val="minor"/>
      </rPr>
      <t>}/(t</t>
    </r>
    <r>
      <rPr>
        <vertAlign val="subscript"/>
        <sz val="11"/>
        <color rgb="FF0000FF"/>
        <rFont val="宋体"/>
        <family val="3"/>
        <charset val="134"/>
        <scheme val="minor"/>
      </rPr>
      <t>wc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ai</t>
    </r>
    <r>
      <rPr>
        <sz val="11"/>
        <color rgb="FF0000FF"/>
        <rFont val="宋体"/>
        <family val="3"/>
        <charset val="134"/>
        <scheme val="minor"/>
      </rPr>
      <t>)</t>
    </r>
    <phoneticPr fontId="1" type="noConversion"/>
  </si>
  <si>
    <r>
      <rPr>
        <sz val="11"/>
        <color rgb="FF0000FF"/>
        <rFont val="宋体"/>
        <family val="3"/>
        <charset val="134"/>
        <scheme val="minor"/>
      </rPr>
      <t>定</t>
    </r>
    <r>
      <rPr>
        <sz val="11"/>
        <color rgb="FF0000FF"/>
        <rFont val="宋体"/>
        <family val="2"/>
        <charset val="134"/>
        <scheme val="minor"/>
      </rPr>
      <t>性温度t</t>
    </r>
    <r>
      <rPr>
        <vertAlign val="subscript"/>
        <sz val="11"/>
        <color rgb="FF0000FF"/>
        <rFont val="宋体"/>
        <family val="3"/>
        <charset val="134"/>
        <scheme val="minor"/>
      </rPr>
      <t xml:space="preserve">qu </t>
    </r>
    <r>
      <rPr>
        <sz val="11"/>
        <color rgb="FF0000FF"/>
        <rFont val="宋体"/>
        <family val="3"/>
        <charset val="134"/>
        <scheme val="minor"/>
      </rPr>
      <t>,℃</t>
    </r>
    <phoneticPr fontId="1" type="noConversion"/>
  </si>
  <si>
    <r>
      <t>T</t>
    </r>
    <r>
      <rPr>
        <vertAlign val="sub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2"/>
        <charset val="134"/>
        <scheme val="minor"/>
      </rPr>
      <t>——混合气体t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2"/>
        <charset val="134"/>
        <scheme val="minor"/>
      </rPr>
      <t>的绝对温度</t>
    </r>
    <r>
      <rPr>
        <sz val="11"/>
        <color rgb="FF0000FF"/>
        <rFont val="宋体"/>
        <family val="3"/>
        <charset val="134"/>
        <scheme val="minor"/>
      </rPr>
      <t>,K</t>
    </r>
    <phoneticPr fontId="1" type="noConversion"/>
  </si>
  <si>
    <r>
      <t>T</t>
    </r>
    <r>
      <rPr>
        <vertAlign val="sub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=273+t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phoneticPr fontId="1" type="noConversion"/>
  </si>
  <si>
    <r>
      <t>△t</t>
    </r>
    <r>
      <rPr>
        <vertAlign val="sub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——油面温度和罐顶温度的差值</t>
    </r>
    <phoneticPr fontId="1" type="noConversion"/>
  </si>
  <si>
    <r>
      <t>△t</t>
    </r>
    <r>
      <rPr>
        <vertAlign val="sub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=t</t>
    </r>
    <r>
      <rPr>
        <vertAlign val="subscript"/>
        <sz val="11"/>
        <color rgb="FF0000FF"/>
        <rFont val="宋体"/>
        <family val="3"/>
        <charset val="134"/>
        <scheme val="minor"/>
      </rPr>
      <t>of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rc</t>
    </r>
    <phoneticPr fontId="1" type="noConversion"/>
  </si>
  <si>
    <r>
      <t>γ</t>
    </r>
    <r>
      <rPr>
        <vertAlign val="subscript"/>
        <sz val="11"/>
        <color rgb="FF0000FF"/>
        <rFont val="宋体"/>
        <family val="3"/>
        <charset val="134"/>
        <scheme val="minor"/>
      </rPr>
      <t>gas2</t>
    </r>
    <r>
      <rPr>
        <sz val="11"/>
        <color rgb="FF0000FF"/>
        <rFont val="宋体"/>
        <family val="3"/>
        <charset val="134"/>
        <scheme val="minor"/>
      </rPr>
      <t>——混合气体在t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时的密度，kg/m</t>
    </r>
    <r>
      <rPr>
        <vertAlign val="superscript"/>
        <sz val="11"/>
        <color rgb="FF0000FF"/>
        <rFont val="宋体"/>
        <family val="3"/>
        <charset val="134"/>
        <scheme val="minor"/>
      </rPr>
      <t>3</t>
    </r>
    <phoneticPr fontId="1" type="noConversion"/>
  </si>
  <si>
    <r>
      <t>γ</t>
    </r>
    <r>
      <rPr>
        <vertAlign val="subscript"/>
        <sz val="11"/>
        <color rgb="FF0000FF"/>
        <rFont val="宋体"/>
        <family val="3"/>
        <charset val="134"/>
        <scheme val="minor"/>
      </rPr>
      <t>gas2</t>
    </r>
    <r>
      <rPr>
        <sz val="11"/>
        <color rgb="FF0000FF"/>
        <rFont val="宋体"/>
        <family val="3"/>
        <charset val="134"/>
        <scheme val="minor"/>
      </rPr>
      <t>=1.252×273/T</t>
    </r>
    <r>
      <rPr>
        <vertAlign val="subscript"/>
        <sz val="11"/>
        <color rgb="FF0000FF"/>
        <rFont val="宋体"/>
        <family val="3"/>
        <charset val="134"/>
        <scheme val="minor"/>
      </rPr>
      <t>2</t>
    </r>
    <phoneticPr fontId="1" type="noConversion"/>
  </si>
  <si>
    <r>
      <t>D</t>
    </r>
    <r>
      <rPr>
        <vertAlign val="subscript"/>
        <sz val="11"/>
        <color rgb="FF0000FF"/>
        <rFont val="宋体"/>
        <family val="3"/>
        <charset val="134"/>
        <scheme val="minor"/>
      </rPr>
      <t>tb</t>
    </r>
    <r>
      <rPr>
        <sz val="11"/>
        <color rgb="FF0000FF"/>
        <rFont val="宋体"/>
        <family val="3"/>
        <charset val="134"/>
        <scheme val="minor"/>
      </rPr>
      <t>——罐底直径，m</t>
    </r>
    <phoneticPr fontId="1" type="noConversion"/>
  </si>
  <si>
    <r>
      <t>λ</t>
    </r>
    <r>
      <rPr>
        <vertAlign val="subscript"/>
        <sz val="11"/>
        <rFont val="宋体"/>
        <family val="3"/>
        <charset val="134"/>
        <scheme val="minor"/>
      </rPr>
      <t>so</t>
    </r>
    <r>
      <rPr>
        <sz val="11"/>
        <rFont val="宋体"/>
        <family val="3"/>
        <charset val="134"/>
        <scheme val="minor"/>
      </rPr>
      <t>——油罐区的土壤导热系数，W/(m.℃）</t>
    </r>
    <phoneticPr fontId="1" type="noConversion"/>
  </si>
  <si>
    <r>
      <t>F</t>
    </r>
    <r>
      <rPr>
        <vertAlign val="subscript"/>
        <sz val="11"/>
        <color rgb="FF0000FF"/>
        <rFont val="宋体"/>
        <family val="3"/>
        <charset val="134"/>
        <scheme val="minor"/>
      </rPr>
      <t>tb</t>
    </r>
    <r>
      <rPr>
        <sz val="11"/>
        <color rgb="FF0000FF"/>
        <rFont val="宋体"/>
        <family val="3"/>
        <charset val="134"/>
        <scheme val="minor"/>
      </rPr>
      <t>=π.D</t>
    </r>
    <r>
      <rPr>
        <vertAlign val="subscript"/>
        <sz val="11"/>
        <color rgb="FF0000FF"/>
        <rFont val="宋体"/>
        <family val="3"/>
        <charset val="134"/>
        <scheme val="minor"/>
      </rPr>
      <t>av</t>
    </r>
    <r>
      <rPr>
        <vertAlign val="super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/4</t>
    </r>
    <phoneticPr fontId="1" type="noConversion"/>
  </si>
  <si>
    <r>
      <t>t</t>
    </r>
    <r>
      <rPr>
        <vertAlign val="subscript"/>
        <sz val="11"/>
        <rFont val="宋体"/>
        <family val="3"/>
        <charset val="134"/>
        <scheme val="minor"/>
      </rPr>
      <t>gr</t>
    </r>
    <r>
      <rPr>
        <sz val="11"/>
        <rFont val="宋体"/>
        <family val="3"/>
        <charset val="134"/>
        <scheme val="minor"/>
      </rPr>
      <t>——油罐所在地区最冷月份的地表温度，℃</t>
    </r>
    <phoneticPr fontId="1" type="noConversion"/>
  </si>
  <si>
    <r>
      <t>d</t>
    </r>
    <r>
      <rPr>
        <vertAlign val="subscript"/>
        <sz val="11"/>
        <color theme="1"/>
        <rFont val="宋体"/>
        <family val="3"/>
        <charset val="134"/>
        <scheme val="minor"/>
      </rPr>
      <t>os</t>
    </r>
    <r>
      <rPr>
        <sz val="11"/>
        <color theme="1"/>
        <rFont val="宋体"/>
        <family val="3"/>
        <charset val="134"/>
        <scheme val="minor"/>
      </rPr>
      <t>——加热管外径，m</t>
    </r>
    <phoneticPr fontId="1" type="noConversion"/>
  </si>
  <si>
    <t>表5-5-8</t>
    <phoneticPr fontId="1" type="noConversion"/>
  </si>
  <si>
    <t>t1——热源进口温度，℃</t>
    <phoneticPr fontId="1" type="noConversion"/>
  </si>
  <si>
    <t>t2——热源出口温度，℃</t>
    <phoneticPr fontId="1" type="noConversion"/>
  </si>
  <si>
    <r>
      <t>i</t>
    </r>
    <r>
      <rPr>
        <vertAlign val="subscript"/>
        <sz val="11"/>
        <rFont val="宋体"/>
        <family val="3"/>
        <charset val="134"/>
        <scheme val="minor"/>
      </rPr>
      <t>st</t>
    </r>
    <r>
      <rPr>
        <sz val="11"/>
        <rFont val="宋体"/>
        <family val="3"/>
        <charset val="134"/>
        <scheme val="minor"/>
      </rPr>
      <t>——干饱和蒸汽热焓，KJ/kg</t>
    </r>
    <phoneticPr fontId="1" type="noConversion"/>
  </si>
  <si>
    <r>
      <t>i</t>
    </r>
    <r>
      <rPr>
        <vertAlign val="subscript"/>
        <sz val="11"/>
        <rFont val="宋体"/>
        <family val="3"/>
        <charset val="134"/>
        <scheme val="minor"/>
      </rPr>
      <t>wa</t>
    </r>
    <r>
      <rPr>
        <sz val="11"/>
        <rFont val="宋体"/>
        <family val="3"/>
        <charset val="134"/>
        <scheme val="minor"/>
      </rPr>
      <t>——饱和冷凝水的热焓，KJ/kg</t>
    </r>
    <phoneticPr fontId="1" type="noConversion"/>
  </si>
  <si>
    <t>表5-5-9</t>
    <phoneticPr fontId="1" type="noConversion"/>
  </si>
  <si>
    <t>表5-5-2</t>
    <phoneticPr fontId="1" type="noConversion"/>
  </si>
  <si>
    <r>
      <t>T——空气的绝对温度，K；（t</t>
    </r>
    <r>
      <rPr>
        <vertAlign val="subscript"/>
        <sz val="11"/>
        <color rgb="FF0000FF"/>
        <rFont val="宋体"/>
        <family val="3"/>
        <charset val="134"/>
        <scheme val="minor"/>
      </rPr>
      <t>ai</t>
    </r>
    <r>
      <rPr>
        <sz val="11"/>
        <color rgb="FF0000FF"/>
        <rFont val="宋体"/>
        <family val="2"/>
        <charset val="134"/>
        <scheme val="minor"/>
      </rPr>
      <t>下）</t>
    </r>
    <phoneticPr fontId="1" type="noConversion"/>
  </si>
  <si>
    <t>C——常数(在1绝压下C=124）</t>
    <phoneticPr fontId="1" type="noConversion"/>
  </si>
  <si>
    <t>表5-5-4</t>
    <phoneticPr fontId="1" type="noConversion"/>
  </si>
  <si>
    <r>
      <t>Cs——黑体辐射系数，W/(m</t>
    </r>
    <r>
      <rPr>
        <vertAlign val="superscript"/>
        <sz val="11"/>
        <rFont val="宋体"/>
        <family val="3"/>
        <charset val="134"/>
        <scheme val="minor"/>
      </rPr>
      <t>2</t>
    </r>
    <r>
      <rPr>
        <sz val="11"/>
        <rFont val="宋体"/>
        <family val="2"/>
        <charset val="134"/>
        <scheme val="minor"/>
      </rPr>
      <t>.℃）</t>
    </r>
    <phoneticPr fontId="1" type="noConversion"/>
  </si>
  <si>
    <r>
      <t>t</t>
    </r>
    <r>
      <rPr>
        <b/>
        <vertAlign val="subscript"/>
        <sz val="11"/>
        <color theme="1"/>
        <rFont val="宋体"/>
        <family val="3"/>
        <charset val="134"/>
        <scheme val="minor"/>
      </rPr>
      <t>wc</t>
    </r>
    <r>
      <rPr>
        <b/>
        <sz val="11"/>
        <color theme="1"/>
        <rFont val="宋体"/>
        <family val="3"/>
        <charset val="134"/>
        <scheme val="minor"/>
      </rPr>
      <t>——罐壁推算温度（先假设略小于t</t>
    </r>
    <r>
      <rPr>
        <b/>
        <vertAlign val="subscript"/>
        <sz val="11"/>
        <color theme="1"/>
        <rFont val="宋体"/>
        <family val="3"/>
        <charset val="134"/>
        <scheme val="minor"/>
      </rPr>
      <t>av</t>
    </r>
    <r>
      <rPr>
        <b/>
        <sz val="11"/>
        <color theme="1"/>
        <rFont val="宋体"/>
        <family val="3"/>
        <charset val="134"/>
        <scheme val="minor"/>
      </rPr>
      <t>的值试算）,℃</t>
    </r>
    <phoneticPr fontId="1" type="noConversion"/>
  </si>
  <si>
    <r>
      <t>λ</t>
    </r>
    <r>
      <rPr>
        <vertAlign val="subscript"/>
        <sz val="11"/>
        <color rgb="FF0000FF"/>
        <rFont val="宋体"/>
        <family val="3"/>
        <charset val="134"/>
        <scheme val="minor"/>
      </rPr>
      <t>tr</t>
    </r>
    <r>
      <rPr>
        <sz val="11"/>
        <color rgb="FF0000FF"/>
        <rFont val="宋体"/>
        <family val="3"/>
        <charset val="134"/>
        <scheme val="minor"/>
      </rPr>
      <t>——罐顶保温层的导热系数，W/(m.℃)</t>
    </r>
    <phoneticPr fontId="1" type="noConversion"/>
  </si>
  <si>
    <r>
      <t>H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——混合气体空间高度，</t>
    </r>
    <phoneticPr fontId="1" type="noConversion"/>
  </si>
  <si>
    <r>
      <t>H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=H-H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+h</t>
    </r>
    <phoneticPr fontId="1" type="noConversion"/>
  </si>
  <si>
    <r>
      <t>ν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=μ</t>
    </r>
    <r>
      <rPr>
        <vertAlign val="subscript"/>
        <sz val="11"/>
        <color rgb="FF0000FF"/>
        <rFont val="宋体"/>
        <family val="3"/>
        <charset val="134"/>
        <scheme val="minor"/>
      </rPr>
      <t>o</t>
    </r>
    <r>
      <rPr>
        <sz val="11"/>
        <color rgb="FF0000FF"/>
        <rFont val="宋体"/>
        <family val="3"/>
        <charset val="134"/>
        <scheme val="minor"/>
      </rPr>
      <t>.（273+C）/（T</t>
    </r>
    <r>
      <rPr>
        <vertAlign val="sub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+C）.(T</t>
    </r>
    <r>
      <rPr>
        <vertAlign val="sub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/273)</t>
    </r>
    <r>
      <rPr>
        <vertAlign val="superscript"/>
        <sz val="11"/>
        <color rgb="FF0000FF"/>
        <rFont val="宋体"/>
        <family val="3"/>
        <charset val="134"/>
        <scheme val="minor"/>
      </rPr>
      <t>3/2</t>
    </r>
    <r>
      <rPr>
        <sz val="11"/>
        <color rgb="FF0000FF"/>
        <rFont val="宋体"/>
        <family val="3"/>
        <charset val="134"/>
        <scheme val="minor"/>
      </rPr>
      <t>.（g/γ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)</t>
    </r>
    <phoneticPr fontId="1" type="noConversion"/>
  </si>
  <si>
    <r>
      <t>K</t>
    </r>
    <r>
      <rPr>
        <vertAlign val="subscript"/>
        <sz val="11"/>
        <color rgb="FF0000FF"/>
        <rFont val="宋体"/>
        <family val="3"/>
        <charset val="134"/>
        <scheme val="minor"/>
      </rPr>
      <t>ht</t>
    </r>
    <r>
      <rPr>
        <sz val="11"/>
        <color rgb="FF0000FF"/>
        <rFont val="宋体"/>
        <family val="3"/>
        <charset val="134"/>
        <scheme val="minor"/>
      </rPr>
      <t>=1/(1/α</t>
    </r>
    <r>
      <rPr>
        <vertAlign val="sub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+R′)</t>
    </r>
    <phoneticPr fontId="1" type="noConversion"/>
  </si>
  <si>
    <r>
      <t>R′——附加热阻，m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.℃/W</t>
    </r>
    <phoneticPr fontId="1" type="noConversion"/>
  </si>
  <si>
    <r>
      <t>t</t>
    </r>
    <r>
      <rPr>
        <b/>
        <vertAlign val="subscript"/>
        <sz val="11"/>
        <rFont val="宋体"/>
        <family val="3"/>
        <charset val="134"/>
        <scheme val="minor"/>
      </rPr>
      <t>wc</t>
    </r>
    <r>
      <rPr>
        <b/>
        <sz val="11"/>
        <rFont val="宋体"/>
        <family val="3"/>
        <charset val="134"/>
        <scheme val="minor"/>
      </rPr>
      <t>′——加热管壁温度，℃</t>
    </r>
    <phoneticPr fontId="1" type="noConversion"/>
  </si>
  <si>
    <r>
      <t>α</t>
    </r>
    <r>
      <rPr>
        <vertAlign val="sub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=m.λ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′ (Gr.Pr)</t>
    </r>
    <r>
      <rPr>
        <vertAlign val="superscript"/>
        <sz val="11"/>
        <color rgb="FF0000FF"/>
        <rFont val="宋体"/>
        <family val="3"/>
        <charset val="134"/>
        <scheme val="minor"/>
      </rPr>
      <t>n</t>
    </r>
    <r>
      <rPr>
        <sz val="11"/>
        <color rgb="FF0000FF"/>
        <rFont val="宋体"/>
        <family val="3"/>
        <charset val="134"/>
        <scheme val="minor"/>
      </rPr>
      <t>/d</t>
    </r>
    <r>
      <rPr>
        <vertAlign val="subscript"/>
        <sz val="11"/>
        <color rgb="FF0000FF"/>
        <rFont val="宋体"/>
        <family val="3"/>
        <charset val="134"/>
        <scheme val="minor"/>
      </rPr>
      <t>os</t>
    </r>
    <phoneticPr fontId="1" type="noConversion"/>
  </si>
  <si>
    <r>
      <t>△t=</t>
    </r>
    <r>
      <rPr>
        <sz val="11"/>
        <color rgb="FF0000FF"/>
        <rFont val="宋体"/>
        <family val="3"/>
        <charset val="134"/>
        <scheme val="minor"/>
      </rPr>
      <t>t</t>
    </r>
    <r>
      <rPr>
        <vertAlign val="subscript"/>
        <sz val="11"/>
        <color rgb="FF0000FF"/>
        <rFont val="宋体"/>
        <family val="3"/>
        <charset val="134"/>
        <scheme val="minor"/>
      </rPr>
      <t>wc</t>
    </r>
    <r>
      <rPr>
        <sz val="11"/>
        <color rgb="FF0000FF"/>
        <rFont val="宋体"/>
        <family val="3"/>
        <charset val="134"/>
        <scheme val="minor"/>
      </rPr>
      <t>′-t</t>
    </r>
    <r>
      <rPr>
        <vertAlign val="subscript"/>
        <sz val="11"/>
        <color rgb="FF0000FF"/>
        <rFont val="宋体"/>
        <family val="3"/>
        <charset val="134"/>
        <scheme val="minor"/>
      </rPr>
      <t>av</t>
    </r>
    <phoneticPr fontId="1" type="noConversion"/>
  </si>
  <si>
    <t>表5-5-5</t>
    <phoneticPr fontId="1" type="noConversion"/>
  </si>
  <si>
    <r>
      <t>定性温度t</t>
    </r>
    <r>
      <rPr>
        <vertAlign val="subscript"/>
        <sz val="11"/>
        <color rgb="FF0000FF"/>
        <rFont val="宋体"/>
        <family val="3"/>
        <charset val="134"/>
        <scheme val="minor"/>
      </rPr>
      <t>qu</t>
    </r>
    <r>
      <rPr>
        <sz val="11"/>
        <color rgb="FF0000FF"/>
        <rFont val="宋体"/>
        <family val="3"/>
        <charset val="134"/>
        <scheme val="minor"/>
      </rPr>
      <t>′=(t</t>
    </r>
    <r>
      <rPr>
        <vertAlign val="subscript"/>
        <sz val="11"/>
        <color rgb="FF0000FF"/>
        <rFont val="宋体"/>
        <family val="3"/>
        <charset val="134"/>
        <scheme val="minor"/>
      </rPr>
      <t>av</t>
    </r>
    <r>
      <rPr>
        <sz val="11"/>
        <color rgb="FF0000FF"/>
        <rFont val="宋体"/>
        <family val="3"/>
        <charset val="134"/>
        <scheme val="minor"/>
      </rPr>
      <t>+t</t>
    </r>
    <r>
      <rPr>
        <vertAlign val="subscript"/>
        <sz val="11"/>
        <color rgb="FF0000FF"/>
        <rFont val="宋体"/>
        <family val="3"/>
        <charset val="134"/>
        <scheme val="minor"/>
      </rPr>
      <t>wc</t>
    </r>
    <r>
      <rPr>
        <sz val="11"/>
        <color rgb="FF0000FF"/>
        <rFont val="宋体"/>
        <family val="3"/>
        <charset val="134"/>
        <scheme val="minor"/>
      </rPr>
      <t>′)/2</t>
    </r>
    <phoneticPr fontId="1" type="noConversion"/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</si>
  <si>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γ</t>
    </r>
    <r>
      <rPr>
        <sz val="11"/>
        <color theme="1"/>
        <rFont val="宋体"/>
        <family val="3"/>
        <charset val="134"/>
        <scheme val="minor"/>
      </rPr>
      <t>——油品密度下的温度，℃</t>
    </r>
    <phoneticPr fontId="1" type="noConversion"/>
  </si>
  <si>
    <r>
      <t>γ</t>
    </r>
    <r>
      <rPr>
        <vertAlign val="superscript"/>
        <sz val="11"/>
        <color theme="1"/>
        <rFont val="宋体"/>
        <family val="3"/>
        <charset val="134"/>
        <scheme val="minor"/>
      </rPr>
      <t>Tγ</t>
    </r>
    <r>
      <rPr>
        <vertAlign val="subscript"/>
        <sz val="11"/>
        <color theme="1"/>
        <rFont val="宋体"/>
        <family val="3"/>
        <charset val="134"/>
        <scheme val="minor"/>
      </rPr>
      <t>op</t>
    </r>
    <r>
      <rPr>
        <sz val="11"/>
        <color theme="1"/>
        <rFont val="宋体"/>
        <family val="3"/>
        <charset val="134"/>
        <scheme val="minor"/>
      </rPr>
      <t>——油品的密度，t/m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phoneticPr fontId="1" type="noConversion"/>
  </si>
  <si>
    <r>
      <t>γ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=γ</t>
    </r>
    <r>
      <rPr>
        <vertAlign val="superscript"/>
        <sz val="11"/>
        <color rgb="FF0000FF"/>
        <rFont val="宋体"/>
        <family val="3"/>
        <charset val="134"/>
        <scheme val="minor"/>
      </rPr>
      <t>Tγ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-a(t</t>
    </r>
    <r>
      <rPr>
        <vertAlign val="subscript"/>
        <sz val="11"/>
        <color rgb="FF0000FF"/>
        <rFont val="宋体"/>
        <family val="3"/>
        <charset val="134"/>
        <scheme val="minor"/>
      </rPr>
      <t>qu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γ</t>
    </r>
    <r>
      <rPr>
        <sz val="11"/>
        <color rgb="FF0000FF"/>
        <rFont val="宋体"/>
        <family val="3"/>
        <charset val="134"/>
        <scheme val="minor"/>
      </rPr>
      <t>)</t>
    </r>
    <phoneticPr fontId="1" type="noConversion"/>
  </si>
  <si>
    <r>
      <t>a=8.97×10</t>
    </r>
    <r>
      <rPr>
        <vertAlign val="superscript"/>
        <sz val="11"/>
        <color rgb="FF0000FF"/>
        <rFont val="宋体"/>
        <family val="3"/>
        <charset val="134"/>
        <scheme val="minor"/>
      </rPr>
      <t>-4</t>
    </r>
    <r>
      <rPr>
        <sz val="11"/>
        <color rgb="FF0000FF"/>
        <rFont val="宋体"/>
        <family val="3"/>
        <charset val="134"/>
        <scheme val="minor"/>
      </rPr>
      <t>-13.2×10</t>
    </r>
    <r>
      <rPr>
        <vertAlign val="superscript"/>
        <sz val="11"/>
        <color rgb="FF0000FF"/>
        <rFont val="宋体"/>
        <family val="3"/>
        <charset val="134"/>
        <scheme val="minor"/>
      </rPr>
      <t>-4</t>
    </r>
    <r>
      <rPr>
        <sz val="11"/>
        <color rgb="FF0000FF"/>
        <rFont val="宋体"/>
        <family val="3"/>
        <charset val="134"/>
        <scheme val="minor"/>
      </rPr>
      <t>×(γ</t>
    </r>
    <r>
      <rPr>
        <vertAlign val="superscript"/>
        <sz val="11"/>
        <color rgb="FF0000FF"/>
        <rFont val="宋体"/>
        <family val="3"/>
        <charset val="134"/>
        <scheme val="minor"/>
      </rPr>
      <t>Tγ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-0.7)</t>
    </r>
    <phoneticPr fontId="1" type="noConversion"/>
  </si>
  <si>
    <r>
      <t>γ</t>
    </r>
    <r>
      <rPr>
        <vertAlign val="superscript"/>
        <sz val="11"/>
        <color rgb="FF0000FF"/>
        <rFont val="宋体"/>
        <family val="3"/>
        <charset val="134"/>
        <scheme val="minor"/>
      </rPr>
      <t>15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=γ</t>
    </r>
    <r>
      <rPr>
        <vertAlign val="superscript"/>
        <sz val="11"/>
        <color rgb="FF0000FF"/>
        <rFont val="宋体"/>
        <family val="3"/>
        <charset val="134"/>
        <scheme val="minor"/>
      </rPr>
      <t>Tγ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-a(15-T</t>
    </r>
    <r>
      <rPr>
        <vertAlign val="subscript"/>
        <sz val="11"/>
        <color rgb="FF0000FF"/>
        <rFont val="宋体"/>
        <family val="3"/>
        <charset val="134"/>
        <scheme val="minor"/>
      </rPr>
      <t>γ</t>
    </r>
    <r>
      <rPr>
        <sz val="11"/>
        <color rgb="FF0000FF"/>
        <rFont val="宋体"/>
        <family val="3"/>
        <charset val="134"/>
        <scheme val="minor"/>
      </rPr>
      <t>)</t>
    </r>
    <phoneticPr fontId="1" type="noConversion"/>
  </si>
  <si>
    <r>
      <t>β=（γ</t>
    </r>
    <r>
      <rPr>
        <vertAlign val="superscript"/>
        <sz val="11"/>
        <color rgb="FF0000FF"/>
        <rFont val="宋体"/>
        <family val="2"/>
        <charset val="134"/>
        <scheme val="minor"/>
      </rPr>
      <t>T</t>
    </r>
    <r>
      <rPr>
        <vertAlign val="superscript"/>
        <sz val="11"/>
        <color rgb="FF0000FF"/>
        <rFont val="宋体"/>
        <family val="3"/>
        <charset val="134"/>
        <scheme val="minor"/>
      </rPr>
      <t>γ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-γ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）/[γ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×(t</t>
    </r>
    <r>
      <rPr>
        <vertAlign val="subscript"/>
        <sz val="11"/>
        <color rgb="FF0000FF"/>
        <rFont val="宋体"/>
        <family val="3"/>
        <charset val="134"/>
        <scheme val="minor"/>
      </rPr>
      <t>qu</t>
    </r>
    <r>
      <rPr>
        <sz val="11"/>
        <color rgb="FF0000FF"/>
        <rFont val="宋体"/>
        <family val="3"/>
        <charset val="134"/>
        <scheme val="minor"/>
      </rPr>
      <t>-Tγ)])</t>
    </r>
    <phoneticPr fontId="1" type="noConversion"/>
  </si>
  <si>
    <r>
      <t>t</t>
    </r>
    <r>
      <rPr>
        <vertAlign val="subscript"/>
        <sz val="11"/>
        <color rgb="FF0000FF"/>
        <rFont val="宋体"/>
        <family val="3"/>
        <charset val="134"/>
        <scheme val="minor"/>
      </rPr>
      <t>of</t>
    </r>
    <r>
      <rPr>
        <sz val="11"/>
        <color rgb="FF0000FF"/>
        <rFont val="宋体"/>
        <family val="3"/>
        <charset val="134"/>
        <scheme val="minor"/>
      </rPr>
      <t>——油面温度（升温时取加热温度，维持温度时取油品平均温度），℃</t>
    </r>
    <phoneticPr fontId="1" type="noConversion"/>
  </si>
  <si>
    <r>
      <t>ε</t>
    </r>
    <r>
      <rPr>
        <vertAlign val="subscript"/>
        <sz val="11"/>
        <color rgb="FF0000FF"/>
        <rFont val="宋体"/>
        <family val="3"/>
        <charset val="134"/>
        <scheme val="minor"/>
      </rPr>
      <t>tr</t>
    </r>
    <r>
      <rPr>
        <sz val="11"/>
        <color rgb="FF0000FF"/>
        <rFont val="宋体"/>
        <family val="3"/>
        <charset val="134"/>
        <scheme val="minor"/>
      </rPr>
      <t>——罐顶黑度</t>
    </r>
    <phoneticPr fontId="1" type="noConversion"/>
  </si>
  <si>
    <r>
      <t>G</t>
    </r>
    <r>
      <rPr>
        <vertAlign val="subscript"/>
        <sz val="11"/>
        <color rgb="FF0000FF"/>
        <rFont val="宋体"/>
        <family val="3"/>
        <charset val="134"/>
        <scheme val="minor"/>
      </rPr>
      <t>r1</t>
    </r>
    <r>
      <rPr>
        <sz val="11"/>
        <color rgb="FF0000FF"/>
        <rFont val="宋体"/>
        <family val="3"/>
        <charset val="134"/>
        <scheme val="minor"/>
      </rPr>
      <t>=g.(H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)</t>
    </r>
    <r>
      <rPr>
        <vertAlign val="superscript"/>
        <sz val="11"/>
        <color rgb="FF0000FF"/>
        <rFont val="宋体"/>
        <family val="3"/>
        <charset val="134"/>
        <scheme val="minor"/>
      </rPr>
      <t>3</t>
    </r>
    <r>
      <rPr>
        <sz val="11"/>
        <color rgb="FF0000FF"/>
        <rFont val="宋体"/>
        <family val="3"/>
        <charset val="134"/>
        <scheme val="minor"/>
      </rPr>
      <t>.β.△t/(ν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)</t>
    </r>
    <r>
      <rPr>
        <vertAlign val="superscript"/>
        <sz val="11"/>
        <color rgb="FF0000FF"/>
        <rFont val="宋体"/>
        <family val="3"/>
        <charset val="134"/>
        <scheme val="minor"/>
      </rPr>
      <t>2</t>
    </r>
    <phoneticPr fontId="1" type="noConversion"/>
  </si>
  <si>
    <r>
      <t>G</t>
    </r>
    <r>
      <rPr>
        <vertAlign val="subscript"/>
        <sz val="11"/>
        <color rgb="FF0000FF"/>
        <rFont val="宋体"/>
        <family val="3"/>
        <charset val="134"/>
        <scheme val="minor"/>
      </rPr>
      <t>r1</t>
    </r>
    <r>
      <rPr>
        <sz val="11"/>
        <color rgb="FF0000FF"/>
        <rFont val="宋体"/>
        <family val="3"/>
        <charset val="134"/>
        <scheme val="minor"/>
      </rPr>
      <t>——格拉晓夫准数，无因次</t>
    </r>
    <phoneticPr fontId="1" type="noConversion"/>
  </si>
  <si>
    <r>
      <t>P</t>
    </r>
    <r>
      <rPr>
        <vertAlign val="subscript"/>
        <sz val="11"/>
        <color rgb="FF0000FF"/>
        <rFont val="宋体"/>
        <family val="3"/>
        <charset val="134"/>
        <scheme val="minor"/>
      </rPr>
      <t>r1</t>
    </r>
    <r>
      <rPr>
        <sz val="11"/>
        <color rgb="FF0000FF"/>
        <rFont val="宋体"/>
        <family val="2"/>
        <charset val="134"/>
        <scheme val="minor"/>
      </rPr>
      <t>——普朗特准数，无因次</t>
    </r>
    <phoneticPr fontId="1" type="noConversion"/>
  </si>
  <si>
    <r>
      <t>P</t>
    </r>
    <r>
      <rPr>
        <vertAlign val="subscript"/>
        <sz val="11"/>
        <color rgb="FF0000FF"/>
        <rFont val="宋体"/>
        <family val="3"/>
        <charset val="134"/>
        <scheme val="minor"/>
      </rPr>
      <t>r1</t>
    </r>
    <r>
      <rPr>
        <sz val="11"/>
        <color rgb="FF0000FF"/>
        <rFont val="宋体"/>
        <family val="2"/>
        <charset val="134"/>
        <scheme val="minor"/>
      </rPr>
      <t>=ν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.γ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.C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.×</t>
    </r>
    <r>
      <rPr>
        <sz val="11"/>
        <color rgb="FFFF0000"/>
        <rFont val="宋体"/>
        <family val="3"/>
        <charset val="134"/>
        <scheme val="minor"/>
      </rPr>
      <t>10</t>
    </r>
    <r>
      <rPr>
        <vertAlign val="superscript"/>
        <sz val="11"/>
        <color rgb="FFFF0000"/>
        <rFont val="宋体"/>
        <family val="3"/>
        <charset val="134"/>
        <scheme val="minor"/>
      </rPr>
      <t>6</t>
    </r>
    <r>
      <rPr>
        <sz val="11"/>
        <color rgb="FF0000FF"/>
        <rFont val="宋体"/>
        <family val="3"/>
        <charset val="134"/>
        <scheme val="minor"/>
      </rPr>
      <t>/λ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phoneticPr fontId="1" type="noConversion"/>
  </si>
  <si>
    <r>
      <t>G</t>
    </r>
    <r>
      <rPr>
        <vertAlign val="subscript"/>
        <sz val="11"/>
        <color rgb="FF0000FF"/>
        <rFont val="宋体"/>
        <family val="3"/>
        <charset val="134"/>
        <scheme val="minor"/>
      </rPr>
      <t>r2</t>
    </r>
    <r>
      <rPr>
        <sz val="11"/>
        <color rgb="FF0000FF"/>
        <rFont val="宋体"/>
        <family val="3"/>
        <charset val="134"/>
        <scheme val="minor"/>
      </rPr>
      <t>.P</t>
    </r>
    <r>
      <rPr>
        <vertAlign val="subscript"/>
        <sz val="11"/>
        <color rgb="FF0000FF"/>
        <rFont val="宋体"/>
        <family val="3"/>
        <charset val="134"/>
        <scheme val="minor"/>
      </rPr>
      <t>r2</t>
    </r>
    <r>
      <rPr>
        <sz val="11"/>
        <color rgb="FF0000FF"/>
        <rFont val="宋体"/>
        <family val="3"/>
        <charset val="134"/>
        <scheme val="minor"/>
      </rPr>
      <t>=[g.(H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)</t>
    </r>
    <r>
      <rPr>
        <vertAlign val="superscript"/>
        <sz val="11"/>
        <color rgb="FF0000FF"/>
        <rFont val="宋体"/>
        <family val="3"/>
        <charset val="134"/>
        <scheme val="minor"/>
      </rPr>
      <t>3</t>
    </r>
    <r>
      <rPr>
        <sz val="11"/>
        <color rgb="FF0000FF"/>
        <rFont val="宋体"/>
        <family val="3"/>
        <charset val="134"/>
        <scheme val="minor"/>
      </rPr>
      <t>.△t</t>
    </r>
    <r>
      <rPr>
        <vertAlign val="sub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.β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.γ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.C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×3.6×10</t>
    </r>
    <r>
      <rPr>
        <vertAlign val="superscript"/>
        <sz val="11"/>
        <color rgb="FF0000FF"/>
        <rFont val="宋体"/>
        <family val="3"/>
        <charset val="134"/>
        <scheme val="minor"/>
      </rPr>
      <t>3</t>
    </r>
    <r>
      <rPr>
        <sz val="11"/>
        <color rgb="FF0000FF"/>
        <rFont val="宋体"/>
        <family val="3"/>
        <charset val="134"/>
        <scheme val="minor"/>
      </rPr>
      <t>]/(ν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.λ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)</t>
    </r>
    <phoneticPr fontId="1" type="noConversion"/>
  </si>
  <si>
    <r>
      <t>G</t>
    </r>
    <r>
      <rPr>
        <vertAlign val="subscript"/>
        <sz val="11"/>
        <color rgb="FF0000FF"/>
        <rFont val="宋体"/>
        <family val="3"/>
        <charset val="134"/>
        <scheme val="minor"/>
      </rPr>
      <t>r3</t>
    </r>
    <r>
      <rPr>
        <sz val="11"/>
        <color rgb="FF0000FF"/>
        <rFont val="宋体"/>
        <family val="3"/>
        <charset val="134"/>
        <scheme val="minor"/>
      </rPr>
      <t>=G</t>
    </r>
    <r>
      <rPr>
        <vertAlign val="subscript"/>
        <sz val="11"/>
        <color rgb="FF0000FF"/>
        <rFont val="宋体"/>
        <family val="3"/>
        <charset val="134"/>
        <scheme val="minor"/>
      </rPr>
      <t>r2</t>
    </r>
    <r>
      <rPr>
        <sz val="11"/>
        <color rgb="FF0000FF"/>
        <rFont val="宋体"/>
        <family val="3"/>
        <charset val="134"/>
        <scheme val="minor"/>
      </rPr>
      <t>.D</t>
    </r>
    <r>
      <rPr>
        <vertAlign val="subscript"/>
        <sz val="11"/>
        <color rgb="FF0000FF"/>
        <rFont val="宋体"/>
        <family val="3"/>
        <charset val="134"/>
        <scheme val="minor"/>
      </rPr>
      <t>tb</t>
    </r>
    <r>
      <rPr>
        <vertAlign val="superscript"/>
        <sz val="11"/>
        <color rgb="FF0000FF"/>
        <rFont val="宋体"/>
        <family val="3"/>
        <charset val="134"/>
        <scheme val="minor"/>
      </rPr>
      <t>3</t>
    </r>
    <r>
      <rPr>
        <sz val="11"/>
        <color rgb="FF0000FF"/>
        <rFont val="宋体"/>
        <family val="3"/>
        <charset val="134"/>
        <scheme val="minor"/>
      </rPr>
      <t>/H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vertAlign val="superscript"/>
        <sz val="11"/>
        <color rgb="FF0000FF"/>
        <rFont val="宋体"/>
        <family val="3"/>
        <charset val="134"/>
        <scheme val="minor"/>
      </rPr>
      <t>3</t>
    </r>
    <phoneticPr fontId="1" type="noConversion"/>
  </si>
  <si>
    <r>
      <t>P</t>
    </r>
    <r>
      <rPr>
        <vertAlign val="subscript"/>
        <sz val="11"/>
        <color rgb="FF0000FF"/>
        <rFont val="宋体"/>
        <family val="3"/>
        <charset val="134"/>
        <scheme val="minor"/>
      </rPr>
      <t>r3</t>
    </r>
    <r>
      <rPr>
        <sz val="11"/>
        <color rgb="FF0000FF"/>
        <rFont val="宋体"/>
        <family val="2"/>
        <charset val="134"/>
        <scheme val="minor"/>
      </rPr>
      <t>=P</t>
    </r>
    <r>
      <rPr>
        <vertAlign val="subscript"/>
        <sz val="11"/>
        <color rgb="FF0000FF"/>
        <rFont val="宋体"/>
        <family val="3"/>
        <charset val="134"/>
        <scheme val="minor"/>
      </rPr>
      <t>r1</t>
    </r>
    <phoneticPr fontId="1" type="noConversion"/>
  </si>
  <si>
    <r>
      <t>γ</t>
    </r>
    <r>
      <rPr>
        <vertAlign val="superscript"/>
        <sz val="11"/>
        <color rgb="FF0000FF"/>
        <rFont val="宋体"/>
        <family val="3"/>
        <charset val="134"/>
        <scheme val="minor"/>
      </rPr>
      <t>te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=γ</t>
    </r>
    <r>
      <rPr>
        <vertAlign val="superscript"/>
        <sz val="11"/>
        <color rgb="FF0000FF"/>
        <rFont val="宋体"/>
        <family val="3"/>
        <charset val="134"/>
        <scheme val="minor"/>
      </rPr>
      <t>Tγ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-a(t</t>
    </r>
    <r>
      <rPr>
        <vertAlign val="subscript"/>
        <sz val="11"/>
        <color rgb="FF0000FF"/>
        <rFont val="宋体"/>
        <family val="3"/>
        <charset val="134"/>
        <scheme val="minor"/>
      </rPr>
      <t>be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γ</t>
    </r>
    <r>
      <rPr>
        <sz val="11"/>
        <color rgb="FF0000FF"/>
        <rFont val="宋体"/>
        <family val="3"/>
        <charset val="134"/>
        <scheme val="minor"/>
      </rPr>
      <t>)</t>
    </r>
    <phoneticPr fontId="1" type="noConversion"/>
  </si>
  <si>
    <r>
      <t>G=π/4*D</t>
    </r>
    <r>
      <rPr>
        <vertAlign val="subscript"/>
        <sz val="11"/>
        <color rgb="FF0000FF"/>
        <rFont val="宋体"/>
        <family val="3"/>
        <charset val="134"/>
        <scheme val="minor"/>
      </rPr>
      <t>av</t>
    </r>
    <r>
      <rPr>
        <vertAlign val="superscript"/>
        <sz val="11"/>
        <color rgb="FF0000FF"/>
        <rFont val="宋体"/>
        <family val="3"/>
        <charset val="134"/>
        <scheme val="minor"/>
      </rPr>
      <t>2.</t>
    </r>
    <r>
      <rPr>
        <sz val="11"/>
        <color rgb="FF0000FF"/>
        <rFont val="宋体"/>
        <family val="3"/>
        <charset val="134"/>
        <scheme val="minor"/>
      </rPr>
      <t>H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.γ</t>
    </r>
    <r>
      <rPr>
        <vertAlign val="superscript"/>
        <sz val="11"/>
        <color rgb="FF0000FF"/>
        <rFont val="宋体"/>
        <family val="3"/>
        <charset val="134"/>
        <scheme val="minor"/>
      </rPr>
      <t>tbe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× 10</t>
    </r>
    <r>
      <rPr>
        <vertAlign val="superscript"/>
        <sz val="11"/>
        <color rgb="FF0000FF"/>
        <rFont val="宋体"/>
        <family val="3"/>
        <charset val="134"/>
        <scheme val="minor"/>
      </rPr>
      <t>3</t>
    </r>
    <phoneticPr fontId="1" type="noConversion"/>
  </si>
  <si>
    <r>
      <t>C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=4.1868×（0.403+0.00081×t</t>
    </r>
    <r>
      <rPr>
        <vertAlign val="subscript"/>
        <sz val="11"/>
        <color rgb="FF0000FF"/>
        <rFont val="宋体"/>
        <family val="3"/>
        <charset val="134"/>
        <scheme val="minor"/>
      </rPr>
      <t>av</t>
    </r>
    <r>
      <rPr>
        <sz val="11"/>
        <color rgb="FF0000FF"/>
        <rFont val="宋体"/>
        <family val="3"/>
        <charset val="134"/>
        <scheme val="minor"/>
      </rPr>
      <t>)/(d</t>
    </r>
    <r>
      <rPr>
        <vertAlign val="superscript"/>
        <sz val="11"/>
        <color rgb="FF0000FF"/>
        <rFont val="宋体"/>
        <family val="3"/>
        <charset val="134"/>
        <scheme val="minor"/>
      </rPr>
      <t>15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)</t>
    </r>
    <r>
      <rPr>
        <vertAlign val="superscript"/>
        <sz val="11"/>
        <color rgb="FF0000FF"/>
        <rFont val="宋体"/>
        <family val="3"/>
        <charset val="134"/>
        <scheme val="minor"/>
      </rPr>
      <t>0.5</t>
    </r>
    <phoneticPr fontId="1" type="noConversion"/>
  </si>
  <si>
    <r>
      <t>Pr=ν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′.γ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′.C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′.</t>
    </r>
    <r>
      <rPr>
        <sz val="11"/>
        <color rgb="FFFF0000"/>
        <rFont val="宋体"/>
        <family val="3"/>
        <charset val="134"/>
        <scheme val="minor"/>
      </rPr>
      <t>10</t>
    </r>
    <r>
      <rPr>
        <vertAlign val="superscript"/>
        <sz val="11"/>
        <color rgb="FFFF0000"/>
        <rFont val="宋体"/>
        <family val="3"/>
        <charset val="134"/>
        <scheme val="minor"/>
      </rPr>
      <t>6</t>
    </r>
    <r>
      <rPr>
        <sz val="11"/>
        <color rgb="FF0000FF"/>
        <rFont val="宋体"/>
        <family val="3"/>
        <charset val="134"/>
        <scheme val="minor"/>
      </rPr>
      <t>/λ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′</t>
    </r>
    <phoneticPr fontId="1" type="noConversion"/>
  </si>
  <si>
    <t>一、基础数据</t>
    <phoneticPr fontId="1" type="noConversion"/>
  </si>
  <si>
    <r>
      <t>R——拱顶曲率半径，m；R=1.2D</t>
    </r>
    <r>
      <rPr>
        <vertAlign val="subscript"/>
        <sz val="11"/>
        <color rgb="FF0000FF"/>
        <rFont val="宋体"/>
        <family val="3"/>
        <charset val="134"/>
        <scheme val="minor"/>
      </rPr>
      <t>av</t>
    </r>
    <phoneticPr fontId="1" type="noConversion"/>
  </si>
  <si>
    <r>
      <t>τ</t>
    </r>
    <r>
      <rPr>
        <vertAlign val="subscript"/>
        <sz val="11"/>
        <color theme="1"/>
        <rFont val="宋体"/>
        <family val="3"/>
        <charset val="134"/>
        <scheme val="minor"/>
      </rPr>
      <t>he</t>
    </r>
    <r>
      <rPr>
        <sz val="11"/>
        <color theme="1"/>
        <rFont val="宋体"/>
        <family val="3"/>
        <charset val="134"/>
        <scheme val="minor"/>
      </rPr>
      <t>——升温时间，h</t>
    </r>
    <phoneticPr fontId="1" type="noConversion"/>
  </si>
  <si>
    <r>
      <t>δ</t>
    </r>
    <r>
      <rPr>
        <vertAlign val="subscript"/>
        <sz val="11"/>
        <rFont val="宋体"/>
        <family val="3"/>
        <charset val="134"/>
        <scheme val="minor"/>
      </rPr>
      <t>tw</t>
    </r>
    <r>
      <rPr>
        <sz val="11"/>
        <rFont val="宋体"/>
        <family val="3"/>
        <charset val="134"/>
        <scheme val="minor"/>
      </rPr>
      <t>——罐壁保温层厚度，m</t>
    </r>
    <phoneticPr fontId="1" type="noConversion"/>
  </si>
  <si>
    <r>
      <t>λ</t>
    </r>
    <r>
      <rPr>
        <vertAlign val="subscript"/>
        <sz val="11"/>
        <rFont val="宋体"/>
        <family val="3"/>
        <charset val="134"/>
        <scheme val="minor"/>
      </rPr>
      <t>tw</t>
    </r>
    <r>
      <rPr>
        <sz val="11"/>
        <rFont val="宋体"/>
        <family val="3"/>
        <charset val="134"/>
        <scheme val="minor"/>
      </rPr>
      <t>——罐壁保温层的导热系数，W/(m.℃)</t>
    </r>
    <phoneticPr fontId="1" type="noConversion"/>
  </si>
  <si>
    <r>
      <t>δ</t>
    </r>
    <r>
      <rPr>
        <vertAlign val="subscript"/>
        <sz val="11"/>
        <rFont val="宋体"/>
        <family val="3"/>
        <charset val="134"/>
        <scheme val="minor"/>
      </rPr>
      <t>tr</t>
    </r>
    <r>
      <rPr>
        <sz val="11"/>
        <rFont val="宋体"/>
        <family val="3"/>
        <charset val="134"/>
        <scheme val="minor"/>
      </rPr>
      <t>——罐顶保温层厚度，m</t>
    </r>
    <phoneticPr fontId="1" type="noConversion"/>
  </si>
  <si>
    <r>
      <t>λ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=λ</t>
    </r>
    <r>
      <rPr>
        <vertAlign val="subscript"/>
        <sz val="11"/>
        <color rgb="FF0000FF"/>
        <rFont val="宋体"/>
        <family val="3"/>
        <charset val="134"/>
        <scheme val="minor"/>
      </rPr>
      <t>o</t>
    </r>
    <r>
      <rPr>
        <sz val="11"/>
        <color rgb="FF0000FF"/>
        <rFont val="宋体"/>
        <family val="3"/>
        <charset val="134"/>
        <scheme val="minor"/>
      </rPr>
      <t>′.（273+C′）/（T</t>
    </r>
    <r>
      <rPr>
        <vertAlign val="sub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+C′）.(T</t>
    </r>
    <r>
      <rPr>
        <vertAlign val="sub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/273)</t>
    </r>
    <r>
      <rPr>
        <vertAlign val="superscript"/>
        <sz val="11"/>
        <color rgb="FF0000FF"/>
        <rFont val="宋体"/>
        <family val="3"/>
        <charset val="134"/>
        <scheme val="minor"/>
      </rPr>
      <t>3/2</t>
    </r>
    <phoneticPr fontId="1" type="noConversion"/>
  </si>
  <si>
    <t>λo′=1.163*0.0204</t>
    <phoneticPr fontId="1" type="noConversion"/>
  </si>
  <si>
    <r>
      <t>G</t>
    </r>
    <r>
      <rPr>
        <vertAlign val="subscript"/>
        <sz val="11"/>
        <color rgb="FF0000FF"/>
        <rFont val="宋体"/>
        <family val="3"/>
        <charset val="134"/>
        <scheme val="minor"/>
      </rPr>
      <t>r3</t>
    </r>
    <r>
      <rPr>
        <sz val="11"/>
        <color rgb="FF0000FF"/>
        <rFont val="宋体"/>
        <family val="3"/>
        <charset val="134"/>
        <scheme val="minor"/>
      </rPr>
      <t>×P</t>
    </r>
    <r>
      <rPr>
        <vertAlign val="subscript"/>
        <sz val="11"/>
        <color rgb="FF0000FF"/>
        <rFont val="宋体"/>
        <family val="3"/>
        <charset val="134"/>
        <scheme val="minor"/>
      </rPr>
      <t>r3</t>
    </r>
    <phoneticPr fontId="1" type="noConversion"/>
  </si>
  <si>
    <r>
      <t>α</t>
    </r>
    <r>
      <rPr>
        <vertAlign val="subscript"/>
        <sz val="11"/>
        <color rgb="FF0000FF"/>
        <rFont val="宋体"/>
        <family val="3"/>
        <charset val="134"/>
        <scheme val="minor"/>
      </rPr>
      <t>1tw</t>
    </r>
    <r>
      <rPr>
        <sz val="11"/>
        <color rgb="FF0000FF"/>
        <rFont val="宋体"/>
        <family val="3"/>
        <charset val="134"/>
        <scheme val="minor"/>
      </rPr>
      <t>=0.7.m.λ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 xml:space="preserve">op </t>
    </r>
    <r>
      <rPr>
        <sz val="11"/>
        <color rgb="FF0000FF"/>
        <rFont val="宋体"/>
        <family val="3"/>
        <charset val="134"/>
        <scheme val="minor"/>
      </rPr>
      <t>(Gr.Pr)</t>
    </r>
    <r>
      <rPr>
        <vertAlign val="superscript"/>
        <sz val="11"/>
        <color rgb="FF0000FF"/>
        <rFont val="宋体"/>
        <family val="3"/>
        <charset val="134"/>
        <scheme val="minor"/>
      </rPr>
      <t>n</t>
    </r>
    <r>
      <rPr>
        <sz val="11"/>
        <color rgb="FF0000FF"/>
        <rFont val="宋体"/>
        <family val="3"/>
        <charset val="134"/>
        <scheme val="minor"/>
      </rPr>
      <t>/</t>
    </r>
    <r>
      <rPr>
        <b/>
        <sz val="11"/>
        <color rgb="FF0000FF"/>
        <rFont val="宋体"/>
        <family val="3"/>
        <charset val="134"/>
        <scheme val="minor"/>
      </rPr>
      <t>D</t>
    </r>
    <r>
      <rPr>
        <b/>
        <vertAlign val="subscript"/>
        <sz val="11"/>
        <color rgb="FF0000FF"/>
        <rFont val="宋体"/>
        <family val="3"/>
        <charset val="134"/>
        <scheme val="minor"/>
      </rPr>
      <t>tb</t>
    </r>
    <phoneticPr fontId="1" type="noConversion"/>
  </si>
  <si>
    <t>0.01-0.02</t>
    <phoneticPr fontId="1" type="noConversion"/>
  </si>
  <si>
    <r>
      <t>δ</t>
    </r>
    <r>
      <rPr>
        <vertAlign val="subscript"/>
        <sz val="11"/>
        <color theme="1"/>
        <rFont val="宋体"/>
        <family val="3"/>
        <charset val="134"/>
        <scheme val="minor"/>
      </rPr>
      <t>tb</t>
    </r>
    <r>
      <rPr>
        <sz val="11"/>
        <color theme="1"/>
        <rFont val="宋体"/>
        <family val="2"/>
        <charset val="134"/>
        <scheme val="minor"/>
      </rPr>
      <t>——罐底积垢的厚度，</t>
    </r>
    <r>
      <rPr>
        <sz val="11"/>
        <color theme="1"/>
        <rFont val="宋体"/>
        <family val="3"/>
        <charset val="134"/>
        <scheme val="minor"/>
      </rPr>
      <t>m,0.01-0.02m</t>
    </r>
    <phoneticPr fontId="1" type="noConversion"/>
  </si>
  <si>
    <r>
      <t>λ</t>
    </r>
    <r>
      <rPr>
        <vertAlign val="subscript"/>
        <sz val="11"/>
        <color theme="1"/>
        <rFont val="宋体"/>
        <family val="3"/>
        <charset val="134"/>
        <scheme val="minor"/>
      </rPr>
      <t>tb</t>
    </r>
    <r>
      <rPr>
        <sz val="11"/>
        <color theme="1"/>
        <rFont val="宋体"/>
        <family val="2"/>
        <charset val="134"/>
        <scheme val="minor"/>
      </rPr>
      <t>——罐底积垢的导热系，</t>
    </r>
    <r>
      <rPr>
        <sz val="11"/>
        <color theme="1"/>
        <rFont val="宋体"/>
        <family val="3"/>
        <charset val="134"/>
        <scheme val="minor"/>
      </rPr>
      <t>W/(m.</t>
    </r>
    <r>
      <rPr>
        <sz val="11"/>
        <color theme="1"/>
        <rFont val="宋体"/>
        <family val="2"/>
        <charset val="134"/>
        <scheme val="minor"/>
      </rPr>
      <t>℃）</t>
    </r>
    <r>
      <rPr>
        <sz val="11"/>
        <color theme="1"/>
        <rFont val="宋体"/>
        <family val="3"/>
        <charset val="134"/>
        <scheme val="minor"/>
      </rPr>
      <t>,0.407</t>
    </r>
    <phoneticPr fontId="1" type="noConversion"/>
  </si>
  <si>
    <t>蒸汽压力，Mpa</t>
    <phoneticPr fontId="1" type="noConversion"/>
  </si>
  <si>
    <r>
      <t>R′——附加热阻，m</t>
    </r>
    <r>
      <rPr>
        <vertAlign val="super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.℃/W</t>
    </r>
    <phoneticPr fontId="1" type="noConversion"/>
  </si>
  <si>
    <t>`</t>
    <phoneticPr fontId="1" type="noConversion"/>
  </si>
  <si>
    <r>
      <t>Q</t>
    </r>
    <r>
      <rPr>
        <vertAlign val="subscript"/>
        <sz val="11"/>
        <color rgb="FF0000FF"/>
        <rFont val="宋体"/>
        <family val="3"/>
        <charset val="134"/>
        <scheme val="minor"/>
      </rPr>
      <t>tw</t>
    </r>
    <r>
      <rPr>
        <sz val="11"/>
        <color rgb="FF0000FF"/>
        <rFont val="宋体"/>
        <family val="3"/>
        <charset val="134"/>
        <scheme val="minor"/>
      </rPr>
      <t>=</t>
    </r>
    <r>
      <rPr>
        <sz val="11"/>
        <color rgb="FFFF0000"/>
        <rFont val="宋体"/>
        <family val="3"/>
        <charset val="134"/>
        <scheme val="minor"/>
      </rPr>
      <t>3.6</t>
    </r>
    <r>
      <rPr>
        <sz val="11"/>
        <color rgb="FF0000FF"/>
        <rFont val="宋体"/>
        <family val="3"/>
        <charset val="134"/>
        <scheme val="minor"/>
      </rPr>
      <t>.K</t>
    </r>
    <r>
      <rPr>
        <vertAlign val="subscript"/>
        <sz val="11"/>
        <color rgb="FF0000FF"/>
        <rFont val="宋体"/>
        <family val="3"/>
        <charset val="134"/>
        <scheme val="minor"/>
      </rPr>
      <t>tw</t>
    </r>
    <r>
      <rPr>
        <sz val="11"/>
        <color rgb="FF0000FF"/>
        <rFont val="宋体"/>
        <family val="3"/>
        <charset val="134"/>
        <scheme val="minor"/>
      </rPr>
      <t>.F</t>
    </r>
    <r>
      <rPr>
        <vertAlign val="subscript"/>
        <sz val="11"/>
        <color rgb="FF0000FF"/>
        <rFont val="宋体"/>
        <family val="3"/>
        <charset val="134"/>
        <scheme val="minor"/>
      </rPr>
      <t>tw</t>
    </r>
    <r>
      <rPr>
        <sz val="11"/>
        <color rgb="FF0000FF"/>
        <rFont val="宋体"/>
        <family val="3"/>
        <charset val="134"/>
        <scheme val="minor"/>
      </rPr>
      <t>.(t</t>
    </r>
    <r>
      <rPr>
        <vertAlign val="subscript"/>
        <sz val="11"/>
        <color rgb="FF0000FF"/>
        <rFont val="宋体"/>
        <family val="3"/>
        <charset val="134"/>
        <scheme val="minor"/>
      </rPr>
      <t>av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ai</t>
    </r>
    <r>
      <rPr>
        <sz val="11"/>
        <color rgb="FF0000FF"/>
        <rFont val="宋体"/>
        <family val="3"/>
        <charset val="134"/>
        <scheme val="minor"/>
      </rPr>
      <t>)</t>
    </r>
    <phoneticPr fontId="1" type="noConversion"/>
  </si>
  <si>
    <r>
      <t>Q</t>
    </r>
    <r>
      <rPr>
        <vertAlign val="subscript"/>
        <sz val="11"/>
        <color rgb="FF0000FF"/>
        <rFont val="宋体"/>
        <family val="3"/>
        <charset val="134"/>
        <scheme val="minor"/>
      </rPr>
      <t>tr</t>
    </r>
    <r>
      <rPr>
        <sz val="11"/>
        <color rgb="FF0000FF"/>
        <rFont val="宋体"/>
        <family val="3"/>
        <charset val="134"/>
        <scheme val="minor"/>
      </rPr>
      <t>=</t>
    </r>
    <r>
      <rPr>
        <sz val="11"/>
        <color rgb="FFFF0000"/>
        <rFont val="宋体"/>
        <family val="3"/>
        <charset val="134"/>
        <scheme val="minor"/>
      </rPr>
      <t>3.6</t>
    </r>
    <r>
      <rPr>
        <sz val="11"/>
        <color rgb="FF0000FF"/>
        <rFont val="宋体"/>
        <family val="3"/>
        <charset val="134"/>
        <scheme val="minor"/>
      </rPr>
      <t>K</t>
    </r>
    <r>
      <rPr>
        <vertAlign val="subscript"/>
        <sz val="11"/>
        <color rgb="FF0000FF"/>
        <rFont val="宋体"/>
        <family val="3"/>
        <charset val="134"/>
        <scheme val="minor"/>
      </rPr>
      <t>tr</t>
    </r>
    <r>
      <rPr>
        <sz val="11"/>
        <color rgb="FF0000FF"/>
        <rFont val="宋体"/>
        <family val="3"/>
        <charset val="134"/>
        <scheme val="minor"/>
      </rPr>
      <t>.F</t>
    </r>
    <r>
      <rPr>
        <vertAlign val="subscript"/>
        <sz val="11"/>
        <color rgb="FF0000FF"/>
        <rFont val="宋体"/>
        <family val="3"/>
        <charset val="134"/>
        <scheme val="minor"/>
      </rPr>
      <t>tr</t>
    </r>
    <r>
      <rPr>
        <sz val="11"/>
        <color rgb="FF0000FF"/>
        <rFont val="宋体"/>
        <family val="3"/>
        <charset val="134"/>
        <scheme val="minor"/>
      </rPr>
      <t>.(t</t>
    </r>
    <r>
      <rPr>
        <vertAlign val="subscript"/>
        <sz val="11"/>
        <color rgb="FF0000FF"/>
        <rFont val="宋体"/>
        <family val="3"/>
        <charset val="134"/>
        <scheme val="minor"/>
      </rPr>
      <t>av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ai</t>
    </r>
    <r>
      <rPr>
        <sz val="11"/>
        <color rgb="FF0000FF"/>
        <rFont val="宋体"/>
        <family val="3"/>
        <charset val="134"/>
        <scheme val="minor"/>
      </rPr>
      <t>)</t>
    </r>
    <phoneticPr fontId="1" type="noConversion"/>
  </si>
  <si>
    <r>
      <t>Q</t>
    </r>
    <r>
      <rPr>
        <vertAlign val="subscript"/>
        <sz val="11"/>
        <color rgb="FF0000FF"/>
        <rFont val="宋体"/>
        <family val="3"/>
        <charset val="134"/>
        <scheme val="minor"/>
      </rPr>
      <t>tb</t>
    </r>
    <r>
      <rPr>
        <sz val="11"/>
        <color rgb="FF0000FF"/>
        <rFont val="宋体"/>
        <family val="3"/>
        <charset val="134"/>
        <scheme val="minor"/>
      </rPr>
      <t>=</t>
    </r>
    <r>
      <rPr>
        <sz val="11"/>
        <color rgb="FFFF0000"/>
        <rFont val="宋体"/>
        <family val="3"/>
        <charset val="134"/>
        <scheme val="minor"/>
      </rPr>
      <t>3.6</t>
    </r>
    <r>
      <rPr>
        <sz val="11"/>
        <color rgb="FF0000FF"/>
        <rFont val="宋体"/>
        <family val="3"/>
        <charset val="134"/>
        <scheme val="minor"/>
      </rPr>
      <t>K</t>
    </r>
    <r>
      <rPr>
        <vertAlign val="subscript"/>
        <sz val="11"/>
        <color rgb="FF0000FF"/>
        <rFont val="宋体"/>
        <family val="3"/>
        <charset val="134"/>
        <scheme val="minor"/>
      </rPr>
      <t>tb</t>
    </r>
    <r>
      <rPr>
        <sz val="11"/>
        <color rgb="FF0000FF"/>
        <rFont val="宋体"/>
        <family val="3"/>
        <charset val="134"/>
        <scheme val="minor"/>
      </rPr>
      <t>.F</t>
    </r>
    <r>
      <rPr>
        <vertAlign val="subscript"/>
        <sz val="11"/>
        <color rgb="FF0000FF"/>
        <rFont val="宋体"/>
        <family val="3"/>
        <charset val="134"/>
        <scheme val="minor"/>
      </rPr>
      <t>tb</t>
    </r>
    <r>
      <rPr>
        <sz val="11"/>
        <color rgb="FF0000FF"/>
        <rFont val="宋体"/>
        <family val="3"/>
        <charset val="134"/>
        <scheme val="minor"/>
      </rPr>
      <t>.(t</t>
    </r>
    <r>
      <rPr>
        <vertAlign val="subscript"/>
        <sz val="11"/>
        <color rgb="FF0000FF"/>
        <rFont val="宋体"/>
        <family val="3"/>
        <charset val="134"/>
        <scheme val="minor"/>
      </rPr>
      <t>av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gr</t>
    </r>
    <r>
      <rPr>
        <sz val="11"/>
        <color rgb="FF0000FF"/>
        <rFont val="宋体"/>
        <family val="3"/>
        <charset val="134"/>
        <scheme val="minor"/>
      </rPr>
      <t>)</t>
    </r>
    <phoneticPr fontId="1" type="noConversion"/>
  </si>
  <si>
    <r>
      <t>α</t>
    </r>
    <r>
      <rPr>
        <vertAlign val="sub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——加热器外部放热系数W/(m</t>
    </r>
    <r>
      <rPr>
        <vertAlign val="super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.℃)</t>
    </r>
    <phoneticPr fontId="1" type="noConversion"/>
  </si>
  <si>
    <r>
      <t>C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2"/>
        <charset val="134"/>
        <scheme val="minor"/>
      </rPr>
      <t>——定性温度下的质量热容,KJ/(Kg.℃),</t>
    </r>
    <phoneticPr fontId="1" type="noConversion"/>
  </si>
  <si>
    <r>
      <t>C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′=4.1868×（0.403+0.00081×t</t>
    </r>
    <r>
      <rPr>
        <vertAlign val="subscript"/>
        <sz val="11"/>
        <color rgb="FF0000FF"/>
        <rFont val="宋体"/>
        <family val="3"/>
        <charset val="134"/>
        <scheme val="minor"/>
      </rPr>
      <t>qu</t>
    </r>
    <r>
      <rPr>
        <sz val="11"/>
        <color rgb="FF0000FF"/>
        <rFont val="宋体"/>
        <family val="3"/>
        <charset val="134"/>
        <scheme val="minor"/>
      </rPr>
      <t>′)/(d</t>
    </r>
    <r>
      <rPr>
        <vertAlign val="superscript"/>
        <sz val="11"/>
        <color rgb="FF0000FF"/>
        <rFont val="宋体"/>
        <family val="3"/>
        <charset val="134"/>
        <scheme val="minor"/>
      </rPr>
      <t>15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)</t>
    </r>
    <r>
      <rPr>
        <vertAlign val="superscript"/>
        <sz val="11"/>
        <color rgb="FF0000FF"/>
        <rFont val="宋体"/>
        <family val="3"/>
        <charset val="134"/>
        <scheme val="minor"/>
      </rPr>
      <t>0.5</t>
    </r>
    <phoneticPr fontId="1" type="noConversion"/>
  </si>
  <si>
    <r>
      <t>ν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′=ν</t>
    </r>
    <r>
      <rPr>
        <vertAlign val="superscript"/>
        <sz val="11"/>
        <color rgb="FF0000FF"/>
        <rFont val="宋体"/>
        <family val="3"/>
        <charset val="134"/>
        <scheme val="minor"/>
      </rPr>
      <t>t1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.e</t>
    </r>
    <r>
      <rPr>
        <vertAlign val="superscript"/>
        <sz val="11"/>
        <color rgb="FF0000FF"/>
        <rFont val="宋体"/>
        <family val="3"/>
        <charset val="134"/>
        <scheme val="minor"/>
      </rPr>
      <t>-u(tqu′-t1)</t>
    </r>
    <phoneticPr fontId="1" type="noConversion"/>
  </si>
  <si>
    <r>
      <t>γ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′=γ</t>
    </r>
    <r>
      <rPr>
        <vertAlign val="superscript"/>
        <sz val="11"/>
        <color rgb="FF0000FF"/>
        <rFont val="宋体"/>
        <family val="3"/>
        <charset val="134"/>
        <scheme val="minor"/>
      </rPr>
      <t>Tγ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-a(t</t>
    </r>
    <r>
      <rPr>
        <vertAlign val="subscript"/>
        <sz val="11"/>
        <color rgb="FF0000FF"/>
        <rFont val="宋体"/>
        <family val="3"/>
        <charset val="134"/>
        <scheme val="minor"/>
      </rPr>
      <t>qu</t>
    </r>
    <r>
      <rPr>
        <sz val="11"/>
        <color rgb="FF0000FF"/>
        <rFont val="宋体"/>
        <family val="3"/>
        <charset val="134"/>
        <scheme val="minor"/>
      </rPr>
      <t>′-Tγ)</t>
    </r>
    <phoneticPr fontId="1" type="noConversion"/>
  </si>
  <si>
    <r>
      <t>β=（γ</t>
    </r>
    <r>
      <rPr>
        <vertAlign val="superscript"/>
        <sz val="11"/>
        <color rgb="FF0000FF"/>
        <rFont val="宋体"/>
        <family val="2"/>
        <charset val="134"/>
        <scheme val="minor"/>
      </rPr>
      <t>T</t>
    </r>
    <r>
      <rPr>
        <vertAlign val="superscript"/>
        <sz val="11"/>
        <color rgb="FF0000FF"/>
        <rFont val="宋体"/>
        <family val="3"/>
        <charset val="134"/>
        <scheme val="minor"/>
      </rPr>
      <t>γ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-γ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′）/[γ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′×(t</t>
    </r>
    <r>
      <rPr>
        <vertAlign val="subscript"/>
        <sz val="11"/>
        <color rgb="FF0000FF"/>
        <rFont val="宋体"/>
        <family val="3"/>
        <charset val="134"/>
        <scheme val="minor"/>
      </rPr>
      <t>qu</t>
    </r>
    <r>
      <rPr>
        <sz val="11"/>
        <color rgb="FF0000FF"/>
        <rFont val="宋体"/>
        <family val="3"/>
        <charset val="134"/>
        <scheme val="minor"/>
      </rPr>
      <t>′-Tγ)]</t>
    </r>
    <phoneticPr fontId="1" type="noConversion"/>
  </si>
  <si>
    <r>
      <t>Gr=g.(d</t>
    </r>
    <r>
      <rPr>
        <vertAlign val="subscript"/>
        <sz val="11"/>
        <color rgb="FF0000FF"/>
        <rFont val="宋体"/>
        <family val="3"/>
        <charset val="134"/>
        <scheme val="minor"/>
      </rPr>
      <t>os</t>
    </r>
    <r>
      <rPr>
        <sz val="11"/>
        <color rgb="FF0000FF"/>
        <rFont val="宋体"/>
        <family val="3"/>
        <charset val="134"/>
        <scheme val="minor"/>
      </rPr>
      <t>)</t>
    </r>
    <r>
      <rPr>
        <vertAlign val="superscript"/>
        <sz val="11"/>
        <color rgb="FF0000FF"/>
        <rFont val="宋体"/>
        <family val="3"/>
        <charset val="134"/>
        <scheme val="minor"/>
      </rPr>
      <t>3</t>
    </r>
    <r>
      <rPr>
        <sz val="11"/>
        <color rgb="FF0000FF"/>
        <rFont val="宋体"/>
        <family val="3"/>
        <charset val="134"/>
        <scheme val="minor"/>
      </rPr>
      <t>.β.△t/(ν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)</t>
    </r>
    <r>
      <rPr>
        <vertAlign val="superscript"/>
        <sz val="11"/>
        <color rgb="FF0000FF"/>
        <rFont val="宋体"/>
        <family val="3"/>
        <charset val="134"/>
        <scheme val="minor"/>
      </rPr>
      <t>2</t>
    </r>
    <phoneticPr fontId="1" type="noConversion"/>
  </si>
  <si>
    <t>Gr——格拉晓夫准数，无因次</t>
    <phoneticPr fontId="1" type="noConversion"/>
  </si>
  <si>
    <r>
      <t>ν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′——油品在定性温度时的运动粘度，m</t>
    </r>
    <r>
      <rPr>
        <vertAlign val="super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/s</t>
    </r>
    <phoneticPr fontId="1" type="noConversion"/>
  </si>
  <si>
    <r>
      <t>γ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′——油品在定性温度时油品的密度，t/m</t>
    </r>
    <r>
      <rPr>
        <vertAlign val="superscript"/>
        <sz val="11"/>
        <color rgb="FF0000FF"/>
        <rFont val="宋体"/>
        <family val="3"/>
        <charset val="134"/>
        <scheme val="minor"/>
      </rPr>
      <t>3</t>
    </r>
    <phoneticPr fontId="1" type="noConversion"/>
  </si>
  <si>
    <t>△t——油品平均温度与加热管壁推算温度的差值，℃</t>
    <phoneticPr fontId="1" type="noConversion"/>
  </si>
  <si>
    <r>
      <t>λ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′——油品在定性温度时的导热系数，W/(m.℃）</t>
    </r>
    <phoneticPr fontId="1" type="noConversion"/>
  </si>
  <si>
    <t>一、油罐传热系数的计算</t>
    <phoneticPr fontId="1" type="noConversion"/>
  </si>
  <si>
    <r>
      <t>罐壁传热系数的计算，K</t>
    </r>
    <r>
      <rPr>
        <vertAlign val="subscript"/>
        <sz val="11"/>
        <color rgb="FF0000FF"/>
        <rFont val="宋体"/>
        <family val="3"/>
        <charset val="134"/>
        <scheme val="minor"/>
      </rPr>
      <t xml:space="preserve">tw </t>
    </r>
    <r>
      <rPr>
        <sz val="11"/>
        <color rgb="FF0000FF"/>
        <rFont val="宋体"/>
        <family val="3"/>
        <charset val="134"/>
        <scheme val="minor"/>
      </rPr>
      <t>,W/(m</t>
    </r>
    <r>
      <rPr>
        <vertAlign val="super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.℃）</t>
    </r>
    <phoneticPr fontId="1" type="noConversion"/>
  </si>
  <si>
    <r>
      <t>K</t>
    </r>
    <r>
      <rPr>
        <vertAlign val="subscript"/>
        <sz val="11"/>
        <color rgb="FF0000FF"/>
        <rFont val="宋体"/>
        <family val="3"/>
        <charset val="134"/>
        <scheme val="minor"/>
      </rPr>
      <t>tw</t>
    </r>
    <r>
      <rPr>
        <sz val="11"/>
        <color rgb="FF0000FF"/>
        <rFont val="宋体"/>
        <family val="3"/>
        <charset val="134"/>
        <scheme val="minor"/>
      </rPr>
      <t>=1/[1/α</t>
    </r>
    <r>
      <rPr>
        <vertAlign val="subscript"/>
        <sz val="11"/>
        <color rgb="FF0000FF"/>
        <rFont val="宋体"/>
        <family val="3"/>
        <charset val="134"/>
        <scheme val="minor"/>
      </rPr>
      <t>1tw</t>
    </r>
    <r>
      <rPr>
        <sz val="11"/>
        <color rgb="FF0000FF"/>
        <rFont val="宋体"/>
        <family val="3"/>
        <charset val="134"/>
        <scheme val="minor"/>
      </rPr>
      <t>+δ</t>
    </r>
    <r>
      <rPr>
        <vertAlign val="subscript"/>
        <sz val="11"/>
        <color rgb="FF0000FF"/>
        <rFont val="宋体"/>
        <family val="3"/>
        <charset val="134"/>
        <scheme val="minor"/>
      </rPr>
      <t>tw</t>
    </r>
    <r>
      <rPr>
        <sz val="11"/>
        <color rgb="FF0000FF"/>
        <rFont val="宋体"/>
        <family val="3"/>
        <charset val="134"/>
        <scheme val="minor"/>
      </rPr>
      <t>/λ</t>
    </r>
    <r>
      <rPr>
        <vertAlign val="subscript"/>
        <sz val="11"/>
        <color rgb="FF0000FF"/>
        <rFont val="宋体"/>
        <family val="3"/>
        <charset val="134"/>
        <scheme val="minor"/>
      </rPr>
      <t>tw</t>
    </r>
    <r>
      <rPr>
        <sz val="11"/>
        <color rgb="FF0000FF"/>
        <rFont val="宋体"/>
        <family val="3"/>
        <charset val="134"/>
        <scheme val="minor"/>
      </rPr>
      <t>+1/(α</t>
    </r>
    <r>
      <rPr>
        <vertAlign val="subscript"/>
        <sz val="11"/>
        <color rgb="FF0000FF"/>
        <rFont val="宋体"/>
        <family val="3"/>
        <charset val="134"/>
        <scheme val="minor"/>
      </rPr>
      <t>2tw</t>
    </r>
    <r>
      <rPr>
        <sz val="11"/>
        <color rgb="FF0000FF"/>
        <rFont val="宋体"/>
        <family val="3"/>
        <charset val="134"/>
        <scheme val="minor"/>
      </rPr>
      <t>+α</t>
    </r>
    <r>
      <rPr>
        <vertAlign val="subscript"/>
        <sz val="11"/>
        <color rgb="FF0000FF"/>
        <rFont val="宋体"/>
        <family val="3"/>
        <charset val="134"/>
        <scheme val="minor"/>
      </rPr>
      <t>3tw</t>
    </r>
    <r>
      <rPr>
        <sz val="11"/>
        <color rgb="FF0000FF"/>
        <rFont val="宋体"/>
        <family val="3"/>
        <charset val="134"/>
        <scheme val="minor"/>
      </rPr>
      <t>)]</t>
    </r>
    <phoneticPr fontId="1" type="noConversion"/>
  </si>
  <si>
    <r>
      <t>α</t>
    </r>
    <r>
      <rPr>
        <vertAlign val="subscript"/>
        <sz val="11"/>
        <color rgb="FF0000FF"/>
        <rFont val="宋体"/>
        <family val="3"/>
        <charset val="134"/>
        <scheme val="minor"/>
      </rPr>
      <t>1tw</t>
    </r>
    <r>
      <rPr>
        <sz val="11"/>
        <color rgb="FF0000FF"/>
        <rFont val="宋体"/>
        <family val="3"/>
        <charset val="134"/>
        <scheme val="minor"/>
      </rPr>
      <t>——从油品至罐壁的内部放热系数，W/(m.℃）</t>
    </r>
    <phoneticPr fontId="1" type="noConversion"/>
  </si>
  <si>
    <r>
      <t>α</t>
    </r>
    <r>
      <rPr>
        <vertAlign val="subscript"/>
        <sz val="11"/>
        <color rgb="FF0000FF"/>
        <rFont val="宋体"/>
        <family val="3"/>
        <charset val="134"/>
        <scheme val="minor"/>
      </rPr>
      <t>2tw</t>
    </r>
    <r>
      <rPr>
        <sz val="11"/>
        <color rgb="FF0000FF"/>
        <rFont val="宋体"/>
        <family val="3"/>
        <charset val="134"/>
        <scheme val="minor"/>
      </rPr>
      <t>——从罐壁至大气的外部放热系数，W/(m.℃）</t>
    </r>
    <phoneticPr fontId="1" type="noConversion"/>
  </si>
  <si>
    <r>
      <t>α</t>
    </r>
    <r>
      <rPr>
        <vertAlign val="subscript"/>
        <sz val="11"/>
        <color rgb="FF0000FF"/>
        <rFont val="宋体"/>
        <family val="3"/>
        <charset val="134"/>
        <scheme val="minor"/>
      </rPr>
      <t>3tw</t>
    </r>
    <r>
      <rPr>
        <sz val="11"/>
        <color rgb="FF0000FF"/>
        <rFont val="宋体"/>
        <family val="3"/>
        <charset val="134"/>
        <scheme val="minor"/>
      </rPr>
      <t>——罐壁辐射放热系数，W/(m.℃）</t>
    </r>
    <phoneticPr fontId="1" type="noConversion"/>
  </si>
  <si>
    <r>
      <t>罐顶传热系数的计算，K</t>
    </r>
    <r>
      <rPr>
        <vertAlign val="subscript"/>
        <sz val="11"/>
        <color rgb="FF0000FF"/>
        <rFont val="宋体"/>
        <family val="3"/>
        <charset val="134"/>
        <scheme val="minor"/>
      </rPr>
      <t>tr</t>
    </r>
    <r>
      <rPr>
        <sz val="11"/>
        <color rgb="FF0000FF"/>
        <rFont val="宋体"/>
        <family val="3"/>
        <charset val="134"/>
        <scheme val="minor"/>
      </rPr>
      <t xml:space="preserve"> ,W/(m</t>
    </r>
    <r>
      <rPr>
        <vertAlign val="super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.℃）</t>
    </r>
    <phoneticPr fontId="1" type="noConversion"/>
  </si>
  <si>
    <r>
      <t>K</t>
    </r>
    <r>
      <rPr>
        <vertAlign val="subscript"/>
        <sz val="11"/>
        <color rgb="FF0000FF"/>
        <rFont val="宋体"/>
        <family val="3"/>
        <charset val="134"/>
        <scheme val="minor"/>
      </rPr>
      <t>tr</t>
    </r>
    <r>
      <rPr>
        <sz val="11"/>
        <color rgb="FF0000FF"/>
        <rFont val="宋体"/>
        <family val="3"/>
        <charset val="134"/>
        <scheme val="minor"/>
      </rPr>
      <t>=1/[1/α</t>
    </r>
    <r>
      <rPr>
        <vertAlign val="subscript"/>
        <sz val="11"/>
        <color rgb="FF0000FF"/>
        <rFont val="宋体"/>
        <family val="3"/>
        <charset val="134"/>
        <scheme val="minor"/>
      </rPr>
      <t>1tr</t>
    </r>
    <r>
      <rPr>
        <sz val="11"/>
        <color rgb="FF0000FF"/>
        <rFont val="宋体"/>
        <family val="3"/>
        <charset val="134"/>
        <scheme val="minor"/>
      </rPr>
      <t>+1/α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+δ</t>
    </r>
    <r>
      <rPr>
        <vertAlign val="subscript"/>
        <sz val="11"/>
        <color rgb="FF0000FF"/>
        <rFont val="宋体"/>
        <family val="3"/>
        <charset val="134"/>
        <scheme val="minor"/>
      </rPr>
      <t>tr</t>
    </r>
    <r>
      <rPr>
        <sz val="11"/>
        <color rgb="FF0000FF"/>
        <rFont val="宋体"/>
        <family val="3"/>
        <charset val="134"/>
        <scheme val="minor"/>
      </rPr>
      <t>/λ</t>
    </r>
    <r>
      <rPr>
        <vertAlign val="subscript"/>
        <sz val="11"/>
        <color rgb="FF0000FF"/>
        <rFont val="宋体"/>
        <family val="3"/>
        <charset val="134"/>
        <scheme val="minor"/>
      </rPr>
      <t>tr</t>
    </r>
    <r>
      <rPr>
        <sz val="11"/>
        <color rgb="FF0000FF"/>
        <rFont val="宋体"/>
        <family val="3"/>
        <charset val="134"/>
        <scheme val="minor"/>
      </rPr>
      <t>+1/(α</t>
    </r>
    <r>
      <rPr>
        <vertAlign val="subscript"/>
        <sz val="11"/>
        <color rgb="FF0000FF"/>
        <rFont val="宋体"/>
        <family val="3"/>
        <charset val="134"/>
        <scheme val="minor"/>
      </rPr>
      <t>2tr</t>
    </r>
    <r>
      <rPr>
        <sz val="11"/>
        <color rgb="FF0000FF"/>
        <rFont val="宋体"/>
        <family val="3"/>
        <charset val="134"/>
        <scheme val="minor"/>
      </rPr>
      <t>+α</t>
    </r>
    <r>
      <rPr>
        <vertAlign val="subscript"/>
        <sz val="11"/>
        <color rgb="FF0000FF"/>
        <rFont val="宋体"/>
        <family val="3"/>
        <charset val="134"/>
        <scheme val="minor"/>
      </rPr>
      <t>3tr</t>
    </r>
    <r>
      <rPr>
        <sz val="11"/>
        <color rgb="FF0000FF"/>
        <rFont val="宋体"/>
        <family val="3"/>
        <charset val="134"/>
        <scheme val="minor"/>
      </rPr>
      <t>)]</t>
    </r>
    <phoneticPr fontId="1" type="noConversion"/>
  </si>
  <si>
    <r>
      <t>α</t>
    </r>
    <r>
      <rPr>
        <vertAlign val="subscript"/>
        <sz val="11"/>
        <color rgb="FF0000FF"/>
        <rFont val="宋体"/>
        <family val="3"/>
        <charset val="134"/>
        <scheme val="minor"/>
      </rPr>
      <t>1tr</t>
    </r>
    <r>
      <rPr>
        <sz val="11"/>
        <color rgb="FF0000FF"/>
        <rFont val="宋体"/>
        <family val="3"/>
        <charset val="134"/>
        <scheme val="minor"/>
      </rPr>
      <t>——从油面至混合气体空间的内部放热系数，W/(m</t>
    </r>
    <r>
      <rPr>
        <vertAlign val="super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.℃）</t>
    </r>
    <phoneticPr fontId="1" type="noConversion"/>
  </si>
  <si>
    <r>
      <t>α</t>
    </r>
    <r>
      <rPr>
        <vertAlign val="subscript"/>
        <sz val="11"/>
        <color rgb="FF0000FF"/>
        <rFont val="宋体"/>
        <family val="3"/>
        <charset val="134"/>
        <scheme val="minor"/>
      </rPr>
      <t>1tr</t>
    </r>
    <r>
      <rPr>
        <sz val="11"/>
        <color rgb="FF0000FF"/>
        <rFont val="宋体"/>
        <family val="3"/>
        <charset val="134"/>
        <scheme val="minor"/>
      </rPr>
      <t>≈1.14（t</t>
    </r>
    <r>
      <rPr>
        <vertAlign val="subscript"/>
        <sz val="11"/>
        <color rgb="FF0000FF"/>
        <rFont val="宋体"/>
        <family val="3"/>
        <charset val="134"/>
        <scheme val="minor"/>
      </rPr>
      <t>of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)</t>
    </r>
    <r>
      <rPr>
        <vertAlign val="superscript"/>
        <sz val="11"/>
        <color rgb="FF0000FF"/>
        <rFont val="宋体"/>
        <family val="3"/>
        <charset val="134"/>
        <scheme val="minor"/>
      </rPr>
      <t>1/3</t>
    </r>
    <r>
      <rPr>
        <sz val="11"/>
        <color rgb="FF0000FF"/>
        <rFont val="宋体"/>
        <family val="3"/>
        <charset val="134"/>
        <scheme val="minor"/>
      </rPr>
      <t>,    Gr.Pr≥2×10</t>
    </r>
    <r>
      <rPr>
        <vertAlign val="superscript"/>
        <sz val="11"/>
        <color rgb="FF0000FF"/>
        <rFont val="宋体"/>
        <family val="3"/>
        <charset val="134"/>
        <scheme val="minor"/>
      </rPr>
      <t>7</t>
    </r>
    <phoneticPr fontId="1" type="noConversion"/>
  </si>
  <si>
    <r>
      <t>α</t>
    </r>
    <r>
      <rPr>
        <vertAlign val="subscript"/>
        <sz val="11"/>
        <color rgb="FF0000FF"/>
        <rFont val="宋体"/>
        <family val="3"/>
        <charset val="134"/>
        <scheme val="minor"/>
      </rPr>
      <t>1tr</t>
    </r>
    <r>
      <rPr>
        <sz val="11"/>
        <color rgb="FF0000FF"/>
        <rFont val="宋体"/>
        <family val="3"/>
        <charset val="134"/>
        <scheme val="minor"/>
      </rPr>
      <t>≈5.47（t</t>
    </r>
    <r>
      <rPr>
        <vertAlign val="subscript"/>
        <sz val="11"/>
        <color rgb="FF0000FF"/>
        <rFont val="宋体"/>
        <family val="3"/>
        <charset val="134"/>
        <scheme val="minor"/>
      </rPr>
      <t>of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)</t>
    </r>
    <r>
      <rPr>
        <vertAlign val="superscript"/>
        <sz val="11"/>
        <color rgb="FF0000FF"/>
        <rFont val="宋体"/>
        <family val="3"/>
        <charset val="134"/>
        <scheme val="minor"/>
      </rPr>
      <t>1/4</t>
    </r>
    <r>
      <rPr>
        <sz val="11"/>
        <color rgb="FF0000FF"/>
        <rFont val="宋体"/>
        <family val="3"/>
        <charset val="134"/>
        <scheme val="minor"/>
      </rPr>
      <t>,  　5×10</t>
    </r>
    <r>
      <rPr>
        <vertAlign val="super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≤Gr.Pr&lt;2×10</t>
    </r>
    <r>
      <rPr>
        <vertAlign val="superscript"/>
        <sz val="11"/>
        <color rgb="FF0000FF"/>
        <rFont val="宋体"/>
        <family val="3"/>
        <charset val="134"/>
        <scheme val="minor"/>
      </rPr>
      <t>7</t>
    </r>
    <phoneticPr fontId="1" type="noConversion"/>
  </si>
  <si>
    <r>
      <t>t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——混合气体温度，℃</t>
    </r>
    <phoneticPr fontId="1" type="noConversion"/>
  </si>
  <si>
    <r>
      <t>t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≈12+0.4t</t>
    </r>
    <r>
      <rPr>
        <vertAlign val="subscript"/>
        <sz val="11"/>
        <color rgb="FF0000FF"/>
        <rFont val="宋体"/>
        <family val="3"/>
        <charset val="134"/>
        <scheme val="minor"/>
      </rPr>
      <t>of</t>
    </r>
    <phoneticPr fontId="1" type="noConversion"/>
  </si>
  <si>
    <r>
      <t>α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——混合气体空间放热系数</t>
    </r>
    <phoneticPr fontId="1" type="noConversion"/>
  </si>
  <si>
    <r>
      <t>α</t>
    </r>
    <r>
      <rPr>
        <vertAlign val="subscript"/>
        <sz val="11"/>
        <color rgb="FF0000FF"/>
        <rFont val="宋体"/>
        <family val="3"/>
        <charset val="134"/>
        <scheme val="minor"/>
      </rPr>
      <t>2tr</t>
    </r>
    <r>
      <rPr>
        <sz val="11"/>
        <color rgb="FF0000FF"/>
        <rFont val="宋体"/>
        <family val="3"/>
        <charset val="134"/>
        <scheme val="minor"/>
      </rPr>
      <t>——从罐顶至大气的外部放热系数，W/(m.℃）</t>
    </r>
    <phoneticPr fontId="1" type="noConversion"/>
  </si>
  <si>
    <r>
      <t>α</t>
    </r>
    <r>
      <rPr>
        <vertAlign val="subscript"/>
        <sz val="11"/>
        <color rgb="FF0000FF"/>
        <rFont val="宋体"/>
        <family val="3"/>
        <charset val="134"/>
        <scheme val="minor"/>
      </rPr>
      <t>3tr</t>
    </r>
    <r>
      <rPr>
        <sz val="11"/>
        <color rgb="FF0000FF"/>
        <rFont val="宋体"/>
        <family val="3"/>
        <charset val="134"/>
        <scheme val="minor"/>
      </rPr>
      <t>——罐顶辐射放热系数，W/(m.℃）</t>
    </r>
    <phoneticPr fontId="1" type="noConversion"/>
  </si>
  <si>
    <r>
      <t>α</t>
    </r>
    <r>
      <rPr>
        <vertAlign val="subscript"/>
        <sz val="11"/>
        <color rgb="FF0000FF"/>
        <rFont val="宋体"/>
        <family val="3"/>
        <charset val="134"/>
        <scheme val="minor"/>
      </rPr>
      <t>3tr</t>
    </r>
    <r>
      <rPr>
        <sz val="11"/>
        <color rgb="FF0000FF"/>
        <rFont val="宋体"/>
        <family val="3"/>
        <charset val="134"/>
        <scheme val="minor"/>
      </rPr>
      <t>=ε</t>
    </r>
    <r>
      <rPr>
        <vertAlign val="subscript"/>
        <sz val="11"/>
        <color rgb="FF0000FF"/>
        <rFont val="宋体"/>
        <family val="3"/>
        <charset val="134"/>
        <scheme val="minor"/>
      </rPr>
      <t>tr</t>
    </r>
    <r>
      <rPr>
        <sz val="11"/>
        <color rgb="FF0000FF"/>
        <rFont val="宋体"/>
        <family val="3"/>
        <charset val="134"/>
        <scheme val="minor"/>
      </rPr>
      <t>.C</t>
    </r>
    <r>
      <rPr>
        <vertAlign val="subscript"/>
        <sz val="11"/>
        <color rgb="FF0000FF"/>
        <rFont val="宋体"/>
        <family val="3"/>
        <charset val="134"/>
        <scheme val="minor"/>
      </rPr>
      <t>s</t>
    </r>
    <r>
      <rPr>
        <sz val="11"/>
        <color rgb="FF0000FF"/>
        <rFont val="宋体"/>
        <family val="3"/>
        <charset val="134"/>
        <scheme val="minor"/>
      </rPr>
      <t>.{[(t</t>
    </r>
    <r>
      <rPr>
        <vertAlign val="subscript"/>
        <sz val="11"/>
        <color rgb="FF0000FF"/>
        <rFont val="宋体"/>
        <family val="3"/>
        <charset val="134"/>
        <scheme val="minor"/>
      </rPr>
      <t>rc</t>
    </r>
    <r>
      <rPr>
        <sz val="11"/>
        <color rgb="FF0000FF"/>
        <rFont val="宋体"/>
        <family val="3"/>
        <charset val="134"/>
        <scheme val="minor"/>
      </rPr>
      <t>+273)/100]</t>
    </r>
    <r>
      <rPr>
        <vertAlign val="superscript"/>
        <sz val="11"/>
        <color rgb="FF0000FF"/>
        <rFont val="宋体"/>
        <family val="3"/>
        <charset val="134"/>
        <scheme val="minor"/>
      </rPr>
      <t>4</t>
    </r>
    <r>
      <rPr>
        <sz val="11"/>
        <color rgb="FF0000FF"/>
        <rFont val="宋体"/>
        <family val="3"/>
        <charset val="134"/>
        <scheme val="minor"/>
      </rPr>
      <t>-[(t</t>
    </r>
    <r>
      <rPr>
        <vertAlign val="subscript"/>
        <sz val="11"/>
        <color rgb="FF0000FF"/>
        <rFont val="宋体"/>
        <family val="3"/>
        <charset val="134"/>
        <scheme val="minor"/>
      </rPr>
      <t>ai</t>
    </r>
    <r>
      <rPr>
        <sz val="11"/>
        <color rgb="FF0000FF"/>
        <rFont val="宋体"/>
        <family val="3"/>
        <charset val="134"/>
        <scheme val="minor"/>
      </rPr>
      <t>+273)/100]</t>
    </r>
    <r>
      <rPr>
        <vertAlign val="superscript"/>
        <sz val="11"/>
        <color rgb="FF0000FF"/>
        <rFont val="宋体"/>
        <family val="3"/>
        <charset val="134"/>
        <scheme val="minor"/>
      </rPr>
      <t>4</t>
    </r>
    <r>
      <rPr>
        <sz val="11"/>
        <color rgb="FF0000FF"/>
        <rFont val="宋体"/>
        <family val="3"/>
        <charset val="134"/>
        <scheme val="minor"/>
      </rPr>
      <t>}/(t</t>
    </r>
    <r>
      <rPr>
        <vertAlign val="subscript"/>
        <sz val="11"/>
        <color rgb="FF0000FF"/>
        <rFont val="宋体"/>
        <family val="3"/>
        <charset val="134"/>
        <scheme val="minor"/>
      </rPr>
      <t>rc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ai</t>
    </r>
    <r>
      <rPr>
        <sz val="11"/>
        <color rgb="FF0000FF"/>
        <rFont val="宋体"/>
        <family val="3"/>
        <charset val="134"/>
        <scheme val="minor"/>
      </rPr>
      <t>)</t>
    </r>
    <phoneticPr fontId="1" type="noConversion"/>
  </si>
  <si>
    <r>
      <t>罐底传热系数的计算，K</t>
    </r>
    <r>
      <rPr>
        <vertAlign val="subscript"/>
        <sz val="11"/>
        <color rgb="FF0000FF"/>
        <rFont val="宋体"/>
        <family val="3"/>
        <charset val="134"/>
        <scheme val="minor"/>
      </rPr>
      <t>tb</t>
    </r>
    <r>
      <rPr>
        <sz val="11"/>
        <color rgb="FF0000FF"/>
        <rFont val="宋体"/>
        <family val="3"/>
        <charset val="134"/>
        <scheme val="minor"/>
      </rPr>
      <t>,W/(m2.℃）</t>
    </r>
    <phoneticPr fontId="1" type="noConversion"/>
  </si>
  <si>
    <r>
      <t>K</t>
    </r>
    <r>
      <rPr>
        <vertAlign val="subscript"/>
        <sz val="11"/>
        <color rgb="FF0000FF"/>
        <rFont val="宋体"/>
        <family val="3"/>
        <charset val="134"/>
        <scheme val="minor"/>
      </rPr>
      <t>tb</t>
    </r>
    <r>
      <rPr>
        <sz val="11"/>
        <color rgb="FF0000FF"/>
        <rFont val="宋体"/>
        <family val="3"/>
        <charset val="134"/>
        <scheme val="minor"/>
      </rPr>
      <t>=1/(1/α</t>
    </r>
    <r>
      <rPr>
        <vertAlign val="subscript"/>
        <sz val="11"/>
        <color rgb="FF0000FF"/>
        <rFont val="宋体"/>
        <family val="3"/>
        <charset val="134"/>
        <scheme val="minor"/>
      </rPr>
      <t>1tb</t>
    </r>
    <r>
      <rPr>
        <sz val="11"/>
        <color rgb="FF0000FF"/>
        <rFont val="宋体"/>
        <family val="3"/>
        <charset val="134"/>
        <scheme val="minor"/>
      </rPr>
      <t>+δ</t>
    </r>
    <r>
      <rPr>
        <vertAlign val="subscript"/>
        <sz val="11"/>
        <color rgb="FF0000FF"/>
        <rFont val="宋体"/>
        <family val="3"/>
        <charset val="134"/>
        <scheme val="minor"/>
      </rPr>
      <t>tb</t>
    </r>
    <r>
      <rPr>
        <sz val="11"/>
        <color rgb="FF0000FF"/>
        <rFont val="宋体"/>
        <family val="3"/>
        <charset val="134"/>
        <scheme val="minor"/>
      </rPr>
      <t>/λ</t>
    </r>
    <r>
      <rPr>
        <vertAlign val="subscript"/>
        <sz val="11"/>
        <color rgb="FF0000FF"/>
        <rFont val="宋体"/>
        <family val="3"/>
        <charset val="134"/>
        <scheme val="minor"/>
      </rPr>
      <t>tb</t>
    </r>
    <r>
      <rPr>
        <sz val="11"/>
        <color rgb="FF0000FF"/>
        <rFont val="宋体"/>
        <family val="3"/>
        <charset val="134"/>
        <scheme val="minor"/>
      </rPr>
      <t>+πD</t>
    </r>
    <r>
      <rPr>
        <vertAlign val="subscript"/>
        <sz val="11"/>
        <color rgb="FF0000FF"/>
        <rFont val="宋体"/>
        <family val="3"/>
        <charset val="134"/>
        <scheme val="minor"/>
      </rPr>
      <t>tb</t>
    </r>
    <r>
      <rPr>
        <sz val="11"/>
        <color rgb="FF0000FF"/>
        <rFont val="宋体"/>
        <family val="3"/>
        <charset val="134"/>
        <scheme val="minor"/>
      </rPr>
      <t>/8λ</t>
    </r>
    <r>
      <rPr>
        <vertAlign val="subscript"/>
        <sz val="11"/>
        <color rgb="FF0000FF"/>
        <rFont val="宋体"/>
        <family val="3"/>
        <charset val="134"/>
        <scheme val="minor"/>
      </rPr>
      <t>so</t>
    </r>
    <r>
      <rPr>
        <sz val="11"/>
        <color rgb="FF0000FF"/>
        <rFont val="宋体"/>
        <family val="3"/>
        <charset val="134"/>
        <scheme val="minor"/>
      </rPr>
      <t>)</t>
    </r>
    <phoneticPr fontId="1" type="noConversion"/>
  </si>
  <si>
    <r>
      <t>α</t>
    </r>
    <r>
      <rPr>
        <vertAlign val="subscript"/>
        <sz val="11"/>
        <color rgb="FF0000FF"/>
        <rFont val="宋体"/>
        <family val="3"/>
        <charset val="134"/>
        <scheme val="minor"/>
      </rPr>
      <t>1tb</t>
    </r>
    <r>
      <rPr>
        <sz val="11"/>
        <color rgb="FF0000FF"/>
        <rFont val="宋体"/>
        <family val="3"/>
        <charset val="134"/>
        <scheme val="minor"/>
      </rPr>
      <t>——从油品至罐底的内部放热系数，W/(m2.℃）</t>
    </r>
    <phoneticPr fontId="1" type="noConversion"/>
  </si>
  <si>
    <r>
      <t>单位时间内油罐加热热量消耗的计算Q</t>
    </r>
    <r>
      <rPr>
        <vertAlign val="subscript"/>
        <sz val="11"/>
        <color rgb="FF0000FF"/>
        <rFont val="宋体"/>
        <family val="3"/>
        <charset val="134"/>
        <scheme val="minor"/>
      </rPr>
      <t>al</t>
    </r>
    <r>
      <rPr>
        <sz val="11"/>
        <color rgb="FF0000FF"/>
        <rFont val="宋体"/>
        <family val="3"/>
        <charset val="134"/>
        <scheme val="minor"/>
      </rPr>
      <t>,KJ/h</t>
    </r>
    <phoneticPr fontId="1" type="noConversion"/>
  </si>
  <si>
    <r>
      <t>Q</t>
    </r>
    <r>
      <rPr>
        <vertAlign val="subscript"/>
        <sz val="11"/>
        <color rgb="FF0000FF"/>
        <rFont val="宋体"/>
        <family val="3"/>
        <charset val="134"/>
        <scheme val="minor"/>
      </rPr>
      <t>al</t>
    </r>
    <r>
      <rPr>
        <sz val="11"/>
        <color rgb="FF0000FF"/>
        <rFont val="宋体"/>
        <family val="3"/>
        <charset val="134"/>
        <scheme val="minor"/>
      </rPr>
      <t>=Q</t>
    </r>
    <r>
      <rPr>
        <vertAlign val="subscript"/>
        <sz val="11"/>
        <color rgb="FF0000FF"/>
        <rFont val="宋体"/>
        <family val="3"/>
        <charset val="134"/>
        <scheme val="minor"/>
      </rPr>
      <t>rt</t>
    </r>
    <r>
      <rPr>
        <sz val="11"/>
        <color rgb="FF0000FF"/>
        <rFont val="宋体"/>
        <family val="3"/>
        <charset val="134"/>
        <scheme val="minor"/>
      </rPr>
      <t>/τ</t>
    </r>
    <r>
      <rPr>
        <vertAlign val="subscript"/>
        <sz val="11"/>
        <color rgb="FF0000FF"/>
        <rFont val="宋体"/>
        <family val="3"/>
        <charset val="134"/>
        <scheme val="minor"/>
      </rPr>
      <t>he</t>
    </r>
    <r>
      <rPr>
        <sz val="11"/>
        <color rgb="FF0000FF"/>
        <rFont val="宋体"/>
        <family val="3"/>
        <charset val="134"/>
        <scheme val="minor"/>
      </rPr>
      <t>+Q</t>
    </r>
    <r>
      <rPr>
        <vertAlign val="subscript"/>
        <sz val="11"/>
        <color rgb="FF0000FF"/>
        <rFont val="宋体"/>
        <family val="3"/>
        <charset val="134"/>
        <scheme val="minor"/>
      </rPr>
      <t>tw</t>
    </r>
    <r>
      <rPr>
        <sz val="11"/>
        <color rgb="FF0000FF"/>
        <rFont val="宋体"/>
        <family val="3"/>
        <charset val="134"/>
        <scheme val="minor"/>
      </rPr>
      <t>+Q</t>
    </r>
    <r>
      <rPr>
        <vertAlign val="subscript"/>
        <sz val="11"/>
        <color rgb="FF0000FF"/>
        <rFont val="宋体"/>
        <family val="3"/>
        <charset val="134"/>
        <scheme val="minor"/>
      </rPr>
      <t>tr</t>
    </r>
    <r>
      <rPr>
        <sz val="11"/>
        <color rgb="FF0000FF"/>
        <rFont val="宋体"/>
        <family val="3"/>
        <charset val="134"/>
        <scheme val="minor"/>
      </rPr>
      <t>+Q</t>
    </r>
    <r>
      <rPr>
        <vertAlign val="subscript"/>
        <sz val="11"/>
        <color rgb="FF0000FF"/>
        <rFont val="宋体"/>
        <family val="3"/>
        <charset val="134"/>
        <scheme val="minor"/>
      </rPr>
      <t>tb</t>
    </r>
    <phoneticPr fontId="1" type="noConversion"/>
  </si>
  <si>
    <r>
      <t>Q</t>
    </r>
    <r>
      <rPr>
        <vertAlign val="subscript"/>
        <sz val="11"/>
        <color rgb="FF0000FF"/>
        <rFont val="宋体"/>
        <family val="3"/>
        <charset val="134"/>
        <scheme val="minor"/>
      </rPr>
      <t>rt</t>
    </r>
    <r>
      <rPr>
        <sz val="11"/>
        <color rgb="FF0000FF"/>
        <rFont val="宋体"/>
        <family val="3"/>
        <charset val="134"/>
        <scheme val="minor"/>
      </rPr>
      <t>——油品升温时所需的热量（若维持油温，该项为零）KJ</t>
    </r>
    <phoneticPr fontId="1" type="noConversion"/>
  </si>
  <si>
    <r>
      <t>Q</t>
    </r>
    <r>
      <rPr>
        <vertAlign val="subscript"/>
        <sz val="11"/>
        <color rgb="FF0000FF"/>
        <rFont val="宋体"/>
        <family val="3"/>
        <charset val="134"/>
        <scheme val="minor"/>
      </rPr>
      <t>rt</t>
    </r>
    <r>
      <rPr>
        <sz val="11"/>
        <color rgb="FF0000FF"/>
        <rFont val="宋体"/>
        <family val="3"/>
        <charset val="134"/>
        <scheme val="minor"/>
      </rPr>
      <t>/τ</t>
    </r>
    <r>
      <rPr>
        <vertAlign val="subscript"/>
        <sz val="11"/>
        <color rgb="FF0000FF"/>
        <rFont val="宋体"/>
        <family val="3"/>
        <charset val="134"/>
        <scheme val="minor"/>
      </rPr>
      <t>he</t>
    </r>
    <r>
      <rPr>
        <sz val="11"/>
        <color rgb="FF0000FF"/>
        <rFont val="宋体"/>
        <family val="3"/>
        <charset val="134"/>
        <scheme val="minor"/>
      </rPr>
      <t>=G.C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.(t</t>
    </r>
    <r>
      <rPr>
        <vertAlign val="subscript"/>
        <sz val="11"/>
        <color rgb="FF0000FF"/>
        <rFont val="宋体"/>
        <family val="3"/>
        <charset val="134"/>
        <scheme val="minor"/>
      </rPr>
      <t>en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be</t>
    </r>
    <r>
      <rPr>
        <sz val="11"/>
        <color rgb="FF0000FF"/>
        <rFont val="宋体"/>
        <family val="3"/>
        <charset val="134"/>
        <scheme val="minor"/>
      </rPr>
      <t>)/τ</t>
    </r>
    <r>
      <rPr>
        <vertAlign val="subscript"/>
        <sz val="11"/>
        <color rgb="FF0000FF"/>
        <rFont val="宋体"/>
        <family val="3"/>
        <charset val="134"/>
        <scheme val="minor"/>
      </rPr>
      <t>he</t>
    </r>
    <phoneticPr fontId="1" type="noConversion"/>
  </si>
  <si>
    <t>G——被加热油品的总质量，kg</t>
    <phoneticPr fontId="1" type="noConversion"/>
  </si>
  <si>
    <r>
      <t>Q</t>
    </r>
    <r>
      <rPr>
        <vertAlign val="subscript"/>
        <sz val="11"/>
        <color rgb="FF0000FF"/>
        <rFont val="宋体"/>
        <family val="3"/>
        <charset val="134"/>
        <scheme val="minor"/>
      </rPr>
      <t>tw</t>
    </r>
    <r>
      <rPr>
        <sz val="11"/>
        <color rgb="FF0000FF"/>
        <rFont val="宋体"/>
        <family val="3"/>
        <charset val="134"/>
        <scheme val="minor"/>
      </rPr>
      <t>——罐壁热量损失,KJ/h</t>
    </r>
    <phoneticPr fontId="1" type="noConversion"/>
  </si>
  <si>
    <r>
      <t>F</t>
    </r>
    <r>
      <rPr>
        <vertAlign val="subscript"/>
        <sz val="11"/>
        <color rgb="FF0000FF"/>
        <rFont val="宋体"/>
        <family val="3"/>
        <charset val="134"/>
        <scheme val="minor"/>
      </rPr>
      <t>tw</t>
    </r>
    <r>
      <rPr>
        <sz val="11"/>
        <color rgb="FF0000FF"/>
        <rFont val="宋体"/>
        <family val="3"/>
        <charset val="134"/>
        <scheme val="minor"/>
      </rPr>
      <t>——罐壁散热面积，m</t>
    </r>
    <r>
      <rPr>
        <vertAlign val="superscript"/>
        <sz val="11"/>
        <color rgb="FF0000FF"/>
        <rFont val="宋体"/>
        <family val="3"/>
        <charset val="134"/>
        <scheme val="minor"/>
      </rPr>
      <t>2</t>
    </r>
    <phoneticPr fontId="1" type="noConversion"/>
  </si>
  <si>
    <r>
      <t>F</t>
    </r>
    <r>
      <rPr>
        <vertAlign val="subscript"/>
        <sz val="11"/>
        <color rgb="FF0000FF"/>
        <rFont val="宋体"/>
        <family val="3"/>
        <charset val="134"/>
        <scheme val="minor"/>
      </rPr>
      <t>tw</t>
    </r>
    <r>
      <rPr>
        <sz val="11"/>
        <color rgb="FF0000FF"/>
        <rFont val="宋体"/>
        <family val="3"/>
        <charset val="134"/>
        <scheme val="minor"/>
      </rPr>
      <t>=π.D</t>
    </r>
    <r>
      <rPr>
        <vertAlign val="subscript"/>
        <sz val="11"/>
        <color rgb="FF0000FF"/>
        <rFont val="宋体"/>
        <family val="3"/>
        <charset val="134"/>
        <scheme val="minor"/>
      </rPr>
      <t>av</t>
    </r>
    <r>
      <rPr>
        <sz val="11"/>
        <color rgb="FF0000FF"/>
        <rFont val="宋体"/>
        <family val="3"/>
        <charset val="134"/>
        <scheme val="minor"/>
      </rPr>
      <t>.H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phoneticPr fontId="1" type="noConversion"/>
  </si>
  <si>
    <r>
      <t>Q</t>
    </r>
    <r>
      <rPr>
        <vertAlign val="subscript"/>
        <sz val="11"/>
        <color rgb="FF0000FF"/>
        <rFont val="宋体"/>
        <family val="3"/>
        <charset val="134"/>
        <scheme val="minor"/>
      </rPr>
      <t>tr</t>
    </r>
    <r>
      <rPr>
        <sz val="11"/>
        <color rgb="FF0000FF"/>
        <rFont val="宋体"/>
        <family val="3"/>
        <charset val="134"/>
        <scheme val="minor"/>
      </rPr>
      <t>——罐顶热量损失，KJ/h</t>
    </r>
    <phoneticPr fontId="1" type="noConversion"/>
  </si>
  <si>
    <r>
      <t>F</t>
    </r>
    <r>
      <rPr>
        <vertAlign val="subscript"/>
        <sz val="11"/>
        <color rgb="FF0000FF"/>
        <rFont val="宋体"/>
        <family val="3"/>
        <charset val="134"/>
        <scheme val="minor"/>
      </rPr>
      <t>tr</t>
    </r>
    <r>
      <rPr>
        <sz val="11"/>
        <color rgb="FF0000FF"/>
        <rFont val="宋体"/>
        <family val="3"/>
        <charset val="134"/>
        <scheme val="minor"/>
      </rPr>
      <t>——罐顶面积及罐壁混合气体空间的面积之和，m</t>
    </r>
    <r>
      <rPr>
        <vertAlign val="superscript"/>
        <sz val="11"/>
        <color rgb="FF0000FF"/>
        <rFont val="宋体"/>
        <family val="3"/>
        <charset val="134"/>
        <scheme val="minor"/>
      </rPr>
      <t>2</t>
    </r>
    <phoneticPr fontId="1" type="noConversion"/>
  </si>
  <si>
    <r>
      <t>F</t>
    </r>
    <r>
      <rPr>
        <vertAlign val="subscript"/>
        <sz val="11"/>
        <color rgb="FF0000FF"/>
        <rFont val="宋体"/>
        <family val="3"/>
        <charset val="134"/>
        <scheme val="minor"/>
      </rPr>
      <t>tr</t>
    </r>
    <r>
      <rPr>
        <sz val="11"/>
        <color rgb="FF0000FF"/>
        <rFont val="宋体"/>
        <family val="3"/>
        <charset val="134"/>
        <scheme val="minor"/>
      </rPr>
      <t>=2πRh+π.D</t>
    </r>
    <r>
      <rPr>
        <vertAlign val="subscript"/>
        <sz val="11"/>
        <color rgb="FF0000FF"/>
        <rFont val="宋体"/>
        <family val="3"/>
        <charset val="134"/>
        <scheme val="minor"/>
      </rPr>
      <t>av</t>
    </r>
    <r>
      <rPr>
        <sz val="11"/>
        <color rgb="FF0000FF"/>
        <rFont val="宋体"/>
        <family val="3"/>
        <charset val="134"/>
        <scheme val="minor"/>
      </rPr>
      <t>.(H-H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)</t>
    </r>
    <phoneticPr fontId="1" type="noConversion"/>
  </si>
  <si>
    <t>R——拱顶曲率半径，m</t>
    <phoneticPr fontId="1" type="noConversion"/>
  </si>
  <si>
    <r>
      <t>F</t>
    </r>
    <r>
      <rPr>
        <vertAlign val="subscript"/>
        <sz val="11"/>
        <color rgb="FF0000FF"/>
        <rFont val="宋体"/>
        <family val="3"/>
        <charset val="134"/>
        <scheme val="minor"/>
      </rPr>
      <t>tb</t>
    </r>
    <r>
      <rPr>
        <sz val="11"/>
        <color rgb="FF0000FF"/>
        <rFont val="宋体"/>
        <family val="3"/>
        <charset val="134"/>
        <scheme val="minor"/>
      </rPr>
      <t>——罐底散热面积，m</t>
    </r>
    <r>
      <rPr>
        <vertAlign val="superscript"/>
        <sz val="11"/>
        <color rgb="FF0000FF"/>
        <rFont val="宋体"/>
        <family val="3"/>
        <charset val="134"/>
        <scheme val="minor"/>
      </rPr>
      <t>2</t>
    </r>
    <phoneticPr fontId="1" type="noConversion"/>
  </si>
  <si>
    <r>
      <t>加热器蒸汽消耗量G</t>
    </r>
    <r>
      <rPr>
        <vertAlign val="subscript"/>
        <sz val="11"/>
        <color rgb="FF0000FF"/>
        <rFont val="宋体"/>
        <family val="3"/>
        <charset val="134"/>
        <scheme val="minor"/>
      </rPr>
      <t>st</t>
    </r>
    <r>
      <rPr>
        <sz val="11"/>
        <color rgb="FF0000FF"/>
        <rFont val="宋体"/>
        <family val="3"/>
        <charset val="134"/>
        <scheme val="minor"/>
      </rPr>
      <t>,kg/h</t>
    </r>
    <phoneticPr fontId="1" type="noConversion"/>
  </si>
  <si>
    <r>
      <t>G</t>
    </r>
    <r>
      <rPr>
        <vertAlign val="subscript"/>
        <sz val="11"/>
        <color rgb="FF0000FF"/>
        <rFont val="宋体"/>
        <family val="3"/>
        <charset val="134"/>
        <scheme val="minor"/>
      </rPr>
      <t>st</t>
    </r>
    <r>
      <rPr>
        <sz val="11"/>
        <color rgb="FF0000FF"/>
        <rFont val="宋体"/>
        <family val="3"/>
        <charset val="134"/>
        <scheme val="minor"/>
      </rPr>
      <t>=Q</t>
    </r>
    <r>
      <rPr>
        <vertAlign val="subscript"/>
        <sz val="11"/>
        <color rgb="FF0000FF"/>
        <rFont val="宋体"/>
        <family val="3"/>
        <charset val="134"/>
        <scheme val="minor"/>
      </rPr>
      <t>al</t>
    </r>
    <r>
      <rPr>
        <sz val="11"/>
        <color rgb="FF0000FF"/>
        <rFont val="宋体"/>
        <family val="3"/>
        <charset val="134"/>
        <scheme val="minor"/>
      </rPr>
      <t>/(i</t>
    </r>
    <r>
      <rPr>
        <vertAlign val="subscript"/>
        <sz val="11"/>
        <color rgb="FF0000FF"/>
        <rFont val="宋体"/>
        <family val="3"/>
        <charset val="134"/>
        <scheme val="minor"/>
      </rPr>
      <t>st</t>
    </r>
    <r>
      <rPr>
        <sz val="11"/>
        <color rgb="FF0000FF"/>
        <rFont val="宋体"/>
        <family val="3"/>
        <charset val="134"/>
        <scheme val="minor"/>
      </rPr>
      <t>-i</t>
    </r>
    <r>
      <rPr>
        <vertAlign val="subscript"/>
        <sz val="11"/>
        <color rgb="FF0000FF"/>
        <rFont val="宋体"/>
        <family val="3"/>
        <charset val="134"/>
        <scheme val="minor"/>
      </rPr>
      <t>wa</t>
    </r>
    <r>
      <rPr>
        <sz val="11"/>
        <color rgb="FF0000FF"/>
        <rFont val="宋体"/>
        <family val="3"/>
        <charset val="134"/>
        <scheme val="minor"/>
      </rPr>
      <t>)</t>
    </r>
    <phoneticPr fontId="1" type="noConversion"/>
  </si>
  <si>
    <r>
      <t>i</t>
    </r>
    <r>
      <rPr>
        <vertAlign val="subscript"/>
        <sz val="11"/>
        <rFont val="宋体"/>
        <family val="3"/>
        <charset val="134"/>
        <scheme val="minor"/>
      </rPr>
      <t>st</t>
    </r>
    <r>
      <rPr>
        <sz val="11"/>
        <rFont val="宋体"/>
        <family val="3"/>
        <charset val="134"/>
        <scheme val="minor"/>
      </rPr>
      <t>——干饱和蒸汽热焓，KJ/kg</t>
    </r>
    <phoneticPr fontId="1" type="noConversion"/>
  </si>
  <si>
    <t>表5-5-9</t>
    <phoneticPr fontId="1" type="noConversion"/>
  </si>
  <si>
    <r>
      <t>加热器计算面积F</t>
    </r>
    <r>
      <rPr>
        <vertAlign val="subscript"/>
        <sz val="11"/>
        <color rgb="FF0000FF"/>
        <rFont val="宋体"/>
        <family val="3"/>
        <charset val="134"/>
        <scheme val="minor"/>
      </rPr>
      <t>ht</t>
    </r>
    <r>
      <rPr>
        <sz val="11"/>
        <color rgb="FF0000FF"/>
        <rFont val="宋体"/>
        <family val="3"/>
        <charset val="134"/>
        <scheme val="minor"/>
      </rPr>
      <t>,m</t>
    </r>
    <r>
      <rPr>
        <vertAlign val="superscript"/>
        <sz val="11"/>
        <color rgb="FF0000FF"/>
        <rFont val="宋体"/>
        <family val="3"/>
        <charset val="134"/>
        <scheme val="minor"/>
      </rPr>
      <t>2</t>
    </r>
    <phoneticPr fontId="1" type="noConversion"/>
  </si>
  <si>
    <r>
      <t>F</t>
    </r>
    <r>
      <rPr>
        <vertAlign val="subscript"/>
        <sz val="11"/>
        <color rgb="FF0000FF"/>
        <rFont val="宋体"/>
        <family val="3"/>
        <charset val="134"/>
        <scheme val="minor"/>
      </rPr>
      <t>ht</t>
    </r>
    <r>
      <rPr>
        <sz val="11"/>
        <color rgb="FF0000FF"/>
        <rFont val="宋体"/>
        <family val="3"/>
        <charset val="134"/>
        <scheme val="minor"/>
      </rPr>
      <t>=Q</t>
    </r>
    <r>
      <rPr>
        <vertAlign val="subscript"/>
        <sz val="11"/>
        <color rgb="FF0000FF"/>
        <rFont val="宋体"/>
        <family val="3"/>
        <charset val="134"/>
        <scheme val="minor"/>
      </rPr>
      <t>al</t>
    </r>
    <r>
      <rPr>
        <sz val="11"/>
        <color rgb="FF0000FF"/>
        <rFont val="宋体"/>
        <family val="3"/>
        <charset val="134"/>
        <scheme val="minor"/>
      </rPr>
      <t>/{K</t>
    </r>
    <r>
      <rPr>
        <vertAlign val="subscript"/>
        <sz val="11"/>
        <color rgb="FF0000FF"/>
        <rFont val="宋体"/>
        <family val="3"/>
        <charset val="134"/>
        <scheme val="minor"/>
      </rPr>
      <t>ht</t>
    </r>
    <r>
      <rPr>
        <sz val="11"/>
        <color rgb="FF0000FF"/>
        <rFont val="宋体"/>
        <family val="3"/>
        <charset val="134"/>
        <scheme val="minor"/>
      </rPr>
      <t>.[(t</t>
    </r>
    <r>
      <rPr>
        <vertAlign val="subscript"/>
        <sz val="11"/>
        <color rgb="FF0000FF"/>
        <rFont val="宋体"/>
        <family val="3"/>
        <charset val="134"/>
        <scheme val="minor"/>
      </rPr>
      <t>1</t>
    </r>
    <r>
      <rPr>
        <sz val="11"/>
        <color rgb="FF0000FF"/>
        <rFont val="宋体"/>
        <family val="3"/>
        <charset val="134"/>
        <scheme val="minor"/>
      </rPr>
      <t>+t</t>
    </r>
    <r>
      <rPr>
        <vertAlign val="sub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)/2-t</t>
    </r>
    <r>
      <rPr>
        <vertAlign val="subscript"/>
        <sz val="11"/>
        <color rgb="FF0000FF"/>
        <rFont val="宋体"/>
        <family val="3"/>
        <charset val="134"/>
        <scheme val="minor"/>
      </rPr>
      <t>av</t>
    </r>
    <r>
      <rPr>
        <sz val="11"/>
        <color rgb="FF0000FF"/>
        <rFont val="宋体"/>
        <family val="3"/>
        <charset val="134"/>
        <scheme val="minor"/>
      </rPr>
      <t>]}/3.6</t>
    </r>
    <phoneticPr fontId="1" type="noConversion"/>
  </si>
  <si>
    <t>二、油罐消耗热量的计算</t>
    <phoneticPr fontId="1" type="noConversion"/>
  </si>
  <si>
    <t>三、加热器面积的计算</t>
    <phoneticPr fontId="1" type="noConversion"/>
  </si>
  <si>
    <t>四、油罐蒸汽消耗量的计算</t>
    <phoneticPr fontId="1" type="noConversion"/>
  </si>
  <si>
    <t>G——车内油品的质量，kg</t>
    <phoneticPr fontId="1" type="noConversion"/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</si>
  <si>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yz</t>
    </r>
    <r>
      <rPr>
        <sz val="11"/>
        <color theme="1"/>
        <rFont val="宋体"/>
        <family val="3"/>
        <charset val="134"/>
        <scheme val="minor"/>
      </rPr>
      <t>——油品加热终了温度，℃</t>
    </r>
    <phoneticPr fontId="1" type="noConversion"/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</si>
  <si>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ys</t>
    </r>
    <r>
      <rPr>
        <sz val="11"/>
        <color theme="1"/>
        <rFont val="宋体"/>
        <family val="3"/>
        <charset val="134"/>
        <scheme val="minor"/>
      </rPr>
      <t>——油品加热起始温度，℃</t>
    </r>
    <phoneticPr fontId="1" type="noConversion"/>
  </si>
  <si>
    <t>N——凝固石蜡在油品中的含量，%</t>
    <phoneticPr fontId="1" type="noConversion"/>
  </si>
  <si>
    <t>x——石蜡的熔解潜热，J/kg</t>
    <phoneticPr fontId="1" type="noConversion"/>
  </si>
  <si>
    <r>
      <t>K</t>
    </r>
    <r>
      <rPr>
        <vertAlign val="subscript"/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——油品经罐车壁至周围大气的传热系数，W/m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.℃</t>
    </r>
    <phoneticPr fontId="1" type="noConversion"/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</si>
  <si>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j</t>
    </r>
    <r>
      <rPr>
        <sz val="11"/>
        <color theme="1"/>
        <rFont val="宋体"/>
        <family val="2"/>
        <charset val="134"/>
        <scheme val="minor"/>
      </rPr>
      <t>——罐车周围的大气温度，℃</t>
    </r>
    <phoneticPr fontId="1" type="noConversion"/>
  </si>
  <si>
    <r>
      <t>K</t>
    </r>
    <r>
      <rPr>
        <vertAlign val="subscript"/>
        <sz val="11"/>
        <color theme="1"/>
        <rFont val="宋体"/>
        <family val="2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——蒸汽经加热套外壁向周围大气的传热系数，W/m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.℃</t>
    </r>
    <phoneticPr fontId="1" type="noConversion"/>
  </si>
  <si>
    <r>
      <t>t</t>
    </r>
    <r>
      <rPr>
        <vertAlign val="subscript"/>
        <sz val="11"/>
        <color theme="1"/>
        <rFont val="宋体"/>
        <family val="2"/>
        <charset val="134"/>
        <scheme val="minor"/>
      </rPr>
      <t>bi</t>
    </r>
    <r>
      <rPr>
        <sz val="11"/>
        <color theme="1"/>
        <rFont val="宋体"/>
        <family val="2"/>
        <charset val="134"/>
        <scheme val="minor"/>
      </rPr>
      <t>——加热套外壁的表面温度，</t>
    </r>
    <phoneticPr fontId="1" type="noConversion"/>
  </si>
  <si>
    <r>
      <t>K</t>
    </r>
    <r>
      <rPr>
        <vertAlign val="subscript"/>
        <sz val="11"/>
        <color theme="1"/>
        <rFont val="宋体"/>
        <family val="2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——蒸汽经加热套内壁向油品的传热系数，W/m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.℃</t>
    </r>
    <phoneticPr fontId="1" type="noConversion"/>
  </si>
  <si>
    <r>
      <t>t</t>
    </r>
    <r>
      <rPr>
        <vertAlign val="subscript"/>
        <sz val="11"/>
        <color theme="1"/>
        <rFont val="宋体"/>
        <family val="2"/>
        <charset val="134"/>
        <scheme val="minor"/>
      </rPr>
      <t>bi</t>
    </r>
    <r>
      <rPr>
        <sz val="11"/>
        <color theme="1"/>
        <rFont val="宋体"/>
        <family val="2"/>
        <charset val="134"/>
        <scheme val="minor"/>
      </rPr>
      <t>可近似地认为低于冷凝水温度20～30℃</t>
    </r>
    <phoneticPr fontId="1" type="noConversion"/>
  </si>
  <si>
    <r>
      <t>K</t>
    </r>
    <r>
      <rPr>
        <vertAlign val="subscript"/>
        <sz val="11"/>
        <color theme="1"/>
        <rFont val="宋体"/>
        <family val="2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>=116～174.5</t>
    </r>
    <r>
      <rPr>
        <sz val="11"/>
        <color theme="1"/>
        <rFont val="宋体"/>
        <family val="3"/>
        <charset val="134"/>
        <scheme val="minor"/>
      </rPr>
      <t>W/m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.℃，当蒸汽与油品温差较大时取大值，反之取小值</t>
    </r>
    <phoneticPr fontId="1" type="noConversion"/>
  </si>
  <si>
    <r>
      <t>t</t>
    </r>
    <r>
      <rPr>
        <vertAlign val="subscript"/>
        <sz val="11"/>
        <color theme="1"/>
        <rFont val="宋体"/>
        <family val="2"/>
        <charset val="134"/>
        <scheme val="minor"/>
      </rPr>
      <t>z</t>
    </r>
    <r>
      <rPr>
        <sz val="11"/>
        <color theme="1"/>
        <rFont val="宋体"/>
        <family val="2"/>
        <charset val="134"/>
        <scheme val="minor"/>
      </rPr>
      <t>——蒸汽温度，℃</t>
    </r>
    <phoneticPr fontId="1" type="noConversion"/>
  </si>
  <si>
    <r>
      <t>t</t>
    </r>
    <r>
      <rPr>
        <vertAlign val="subscript"/>
        <sz val="11"/>
        <color theme="1"/>
        <rFont val="宋体"/>
        <family val="2"/>
        <charset val="134"/>
        <scheme val="minor"/>
      </rPr>
      <t>n</t>
    </r>
    <r>
      <rPr>
        <sz val="11"/>
        <color theme="1"/>
        <rFont val="宋体"/>
        <family val="2"/>
        <charset val="134"/>
        <scheme val="minor"/>
      </rPr>
      <t>——冷凝水温度，℃</t>
    </r>
    <phoneticPr fontId="1" type="noConversion"/>
  </si>
  <si>
    <t>φ——冷凝水过冷系数，</t>
    <phoneticPr fontId="1" type="noConversion"/>
  </si>
  <si>
    <r>
      <t>t</t>
    </r>
    <r>
      <rPr>
        <vertAlign val="subscript"/>
        <sz val="11"/>
        <color rgb="FF0000FF"/>
        <rFont val="宋体"/>
        <family val="3"/>
        <charset val="134"/>
        <scheme val="minor"/>
      </rPr>
      <t>av</t>
    </r>
    <r>
      <rPr>
        <sz val="11"/>
        <color rgb="FF0000FF"/>
        <rFont val="宋体"/>
        <family val="3"/>
        <charset val="134"/>
        <scheme val="minor"/>
      </rPr>
      <t>=t</t>
    </r>
    <r>
      <rPr>
        <vertAlign val="subscript"/>
        <sz val="11"/>
        <color rgb="FF0000FF"/>
        <rFont val="宋体"/>
        <family val="3"/>
        <charset val="134"/>
        <scheme val="minor"/>
      </rPr>
      <t>av1,</t>
    </r>
    <r>
      <rPr>
        <sz val="11"/>
        <color rgb="FF0000FF"/>
        <rFont val="宋体"/>
        <family val="3"/>
        <charset val="134"/>
        <scheme val="minor"/>
      </rPr>
      <t>(t</t>
    </r>
    <r>
      <rPr>
        <vertAlign val="subscript"/>
        <sz val="11"/>
        <color rgb="FF0000FF"/>
        <rFont val="宋体"/>
        <family val="3"/>
        <charset val="134"/>
        <scheme val="minor"/>
      </rPr>
      <t>en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ai</t>
    </r>
    <r>
      <rPr>
        <sz val="11"/>
        <color rgb="FF0000FF"/>
        <rFont val="宋体"/>
        <family val="3"/>
        <charset val="134"/>
        <scheme val="minor"/>
      </rPr>
      <t>)/(t</t>
    </r>
    <r>
      <rPr>
        <vertAlign val="subscript"/>
        <sz val="11"/>
        <color rgb="FF0000FF"/>
        <rFont val="宋体"/>
        <family val="3"/>
        <charset val="134"/>
        <scheme val="minor"/>
      </rPr>
      <t>be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ai</t>
    </r>
    <r>
      <rPr>
        <sz val="11"/>
        <color rgb="FF0000FF"/>
        <rFont val="宋体"/>
        <family val="3"/>
        <charset val="134"/>
        <scheme val="minor"/>
      </rPr>
      <t>)≤2；t</t>
    </r>
    <r>
      <rPr>
        <vertAlign val="subscript"/>
        <sz val="11"/>
        <color rgb="FF0000FF"/>
        <rFont val="宋体"/>
        <family val="3"/>
        <charset val="134"/>
        <scheme val="minor"/>
      </rPr>
      <t>av</t>
    </r>
    <r>
      <rPr>
        <sz val="11"/>
        <color rgb="FF0000FF"/>
        <rFont val="宋体"/>
        <family val="3"/>
        <charset val="134"/>
        <scheme val="minor"/>
      </rPr>
      <t>=t</t>
    </r>
    <r>
      <rPr>
        <vertAlign val="subscript"/>
        <sz val="11"/>
        <color rgb="FF0000FF"/>
        <rFont val="宋体"/>
        <family val="3"/>
        <charset val="134"/>
        <scheme val="minor"/>
      </rPr>
      <t>av2</t>
    </r>
    <r>
      <rPr>
        <sz val="11"/>
        <color rgb="FF0000FF"/>
        <rFont val="宋体"/>
        <family val="3"/>
        <charset val="134"/>
        <scheme val="minor"/>
      </rPr>
      <t>,(t</t>
    </r>
    <r>
      <rPr>
        <vertAlign val="subscript"/>
        <sz val="11"/>
        <color rgb="FF0000FF"/>
        <rFont val="宋体"/>
        <family val="3"/>
        <charset val="134"/>
        <scheme val="minor"/>
      </rPr>
      <t>en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ai</t>
    </r>
    <r>
      <rPr>
        <sz val="11"/>
        <color rgb="FF0000FF"/>
        <rFont val="宋体"/>
        <family val="3"/>
        <charset val="134"/>
        <scheme val="minor"/>
      </rPr>
      <t>)/(t</t>
    </r>
    <r>
      <rPr>
        <vertAlign val="subscript"/>
        <sz val="11"/>
        <color rgb="FF0000FF"/>
        <rFont val="宋体"/>
        <family val="3"/>
        <charset val="134"/>
        <scheme val="minor"/>
      </rPr>
      <t>be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ai</t>
    </r>
    <r>
      <rPr>
        <sz val="11"/>
        <color rgb="FF0000FF"/>
        <rFont val="宋体"/>
        <family val="3"/>
        <charset val="134"/>
        <scheme val="minor"/>
      </rPr>
      <t>)＞2</t>
    </r>
    <phoneticPr fontId="1" type="noConversion"/>
  </si>
  <si>
    <r>
      <t>(t</t>
    </r>
    <r>
      <rPr>
        <vertAlign val="subscript"/>
        <sz val="11"/>
        <color rgb="FF0000FF"/>
        <rFont val="宋体"/>
        <family val="2"/>
        <charset val="134"/>
        <scheme val="minor"/>
      </rPr>
      <t>yz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j</t>
    </r>
    <r>
      <rPr>
        <sz val="11"/>
        <color rgb="FF0000FF"/>
        <rFont val="宋体"/>
        <family val="3"/>
        <charset val="134"/>
        <scheme val="minor"/>
      </rPr>
      <t>)/(t</t>
    </r>
    <r>
      <rPr>
        <vertAlign val="subscript"/>
        <sz val="11"/>
        <color rgb="FF0000FF"/>
        <rFont val="宋体"/>
        <family val="3"/>
        <charset val="134"/>
        <scheme val="minor"/>
      </rPr>
      <t>ys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j</t>
    </r>
    <r>
      <rPr>
        <sz val="11"/>
        <color rgb="FF0000FF"/>
        <rFont val="宋体"/>
        <family val="3"/>
        <charset val="134"/>
        <scheme val="minor"/>
      </rPr>
      <t>)</t>
    </r>
    <phoneticPr fontId="1" type="noConversion"/>
  </si>
  <si>
    <r>
      <t>t</t>
    </r>
    <r>
      <rPr>
        <vertAlign val="subscript"/>
        <sz val="11"/>
        <color rgb="FF0000FF"/>
        <rFont val="宋体"/>
        <family val="2"/>
        <charset val="134"/>
        <scheme val="minor"/>
      </rPr>
      <t>y</t>
    </r>
    <r>
      <rPr>
        <vertAlign val="sub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=t</t>
    </r>
    <r>
      <rPr>
        <vertAlign val="subscript"/>
        <sz val="11"/>
        <color rgb="FF0000FF"/>
        <rFont val="宋体"/>
        <family val="3"/>
        <charset val="134"/>
        <scheme val="minor"/>
      </rPr>
      <t>j</t>
    </r>
    <r>
      <rPr>
        <sz val="11"/>
        <color rgb="FF0000FF"/>
        <rFont val="宋体"/>
        <family val="3"/>
        <charset val="134"/>
        <scheme val="minor"/>
      </rPr>
      <t>+{(t</t>
    </r>
    <r>
      <rPr>
        <vertAlign val="subscript"/>
        <sz val="11"/>
        <color rgb="FF0000FF"/>
        <rFont val="宋体"/>
        <family val="3"/>
        <charset val="134"/>
        <scheme val="minor"/>
      </rPr>
      <t>yz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ys</t>
    </r>
    <r>
      <rPr>
        <sz val="11"/>
        <color rgb="FF0000FF"/>
        <rFont val="宋体"/>
        <family val="3"/>
        <charset val="134"/>
        <scheme val="minor"/>
      </rPr>
      <t>)/ln[(t</t>
    </r>
    <r>
      <rPr>
        <vertAlign val="subscript"/>
        <sz val="11"/>
        <color rgb="FF0000FF"/>
        <rFont val="宋体"/>
        <family val="3"/>
        <charset val="134"/>
        <scheme val="minor"/>
      </rPr>
      <t>yz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j</t>
    </r>
    <r>
      <rPr>
        <sz val="11"/>
        <color rgb="FF0000FF"/>
        <rFont val="宋体"/>
        <family val="3"/>
        <charset val="134"/>
        <scheme val="minor"/>
      </rPr>
      <t>)/(t</t>
    </r>
    <r>
      <rPr>
        <vertAlign val="subscript"/>
        <sz val="11"/>
        <color rgb="FF0000FF"/>
        <rFont val="宋体"/>
        <family val="3"/>
        <charset val="134"/>
        <scheme val="minor"/>
      </rPr>
      <t>ys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j</t>
    </r>
    <r>
      <rPr>
        <sz val="11"/>
        <color rgb="FF0000FF"/>
        <rFont val="宋体"/>
        <family val="3"/>
        <charset val="134"/>
        <scheme val="minor"/>
      </rPr>
      <t>)]}</t>
    </r>
    <phoneticPr fontId="1" type="noConversion"/>
  </si>
  <si>
    <t>G=Vρ</t>
    <phoneticPr fontId="1" type="noConversion"/>
  </si>
  <si>
    <r>
      <t>V——罐车体积，m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phoneticPr fontId="1" type="noConversion"/>
  </si>
  <si>
    <r>
      <t>ρ——油品密度，kg/m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phoneticPr fontId="1" type="noConversion"/>
  </si>
  <si>
    <r>
      <t>Q</t>
    </r>
    <r>
      <rPr>
        <vertAlign val="subscript"/>
        <sz val="11"/>
        <color rgb="FF0000FF"/>
        <rFont val="宋体"/>
        <family val="3"/>
        <charset val="134"/>
        <scheme val="minor"/>
      </rPr>
      <t>1</t>
    </r>
    <r>
      <rPr>
        <sz val="11"/>
        <color rgb="FF0000FF"/>
        <rFont val="宋体"/>
        <family val="3"/>
        <charset val="134"/>
        <scheme val="minor"/>
      </rPr>
      <t>——加热槽车中的油品所需的热量,J</t>
    </r>
    <phoneticPr fontId="1" type="noConversion"/>
  </si>
  <si>
    <r>
      <t>表4-9(t</t>
    </r>
    <r>
      <rPr>
        <vertAlign val="subscript"/>
        <sz val="11"/>
        <color theme="1"/>
        <rFont val="宋体"/>
        <family val="3"/>
        <charset val="134"/>
        <scheme val="minor"/>
      </rPr>
      <t>y</t>
    </r>
    <r>
      <rPr>
        <sz val="11"/>
        <color theme="1"/>
        <rFont val="宋体"/>
        <family val="2"/>
        <charset val="134"/>
        <scheme val="minor"/>
      </rPr>
      <t>)</t>
    </r>
    <phoneticPr fontId="1" type="noConversion"/>
  </si>
  <si>
    <t>罐车形式G</t>
    <phoneticPr fontId="1" type="noConversion"/>
  </si>
  <si>
    <r>
      <t>F</t>
    </r>
    <r>
      <rPr>
        <vertAlign val="subscript"/>
        <sz val="11"/>
        <color rgb="FF0000FF"/>
        <rFont val="宋体"/>
        <family val="3"/>
        <charset val="134"/>
        <scheme val="minor"/>
      </rPr>
      <t>1</t>
    </r>
    <r>
      <rPr>
        <sz val="11"/>
        <color rgb="FF0000FF"/>
        <rFont val="宋体"/>
        <family val="3"/>
        <charset val="134"/>
        <scheme val="minor"/>
      </rPr>
      <t>——罐车的上部（未被加热套覆盖的部分）罐壁表面积，m</t>
    </r>
    <r>
      <rPr>
        <vertAlign val="superscript"/>
        <sz val="11"/>
        <color rgb="FF0000FF"/>
        <rFont val="宋体"/>
        <family val="3"/>
        <charset val="134"/>
        <scheme val="minor"/>
      </rPr>
      <t>2</t>
    </r>
    <phoneticPr fontId="1" type="noConversion"/>
  </si>
  <si>
    <r>
      <t>F</t>
    </r>
    <r>
      <rPr>
        <vertAlign val="sub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——罐车加热套外壁表面积，m</t>
    </r>
    <r>
      <rPr>
        <vertAlign val="superscript"/>
        <sz val="11"/>
        <color rgb="FF0000FF"/>
        <rFont val="宋体"/>
        <family val="3"/>
        <charset val="134"/>
        <scheme val="minor"/>
      </rPr>
      <t>2</t>
    </r>
    <phoneticPr fontId="1" type="noConversion"/>
  </si>
  <si>
    <r>
      <t>F</t>
    </r>
    <r>
      <rPr>
        <vertAlign val="subscript"/>
        <sz val="11"/>
        <color rgb="FF0000FF"/>
        <rFont val="宋体"/>
        <family val="3"/>
        <charset val="134"/>
        <scheme val="minor"/>
      </rPr>
      <t>3</t>
    </r>
    <r>
      <rPr>
        <sz val="11"/>
        <color rgb="FF0000FF"/>
        <rFont val="宋体"/>
        <family val="3"/>
        <charset val="134"/>
        <scheme val="minor"/>
      </rPr>
      <t>——罐车加热套内壁表面积，m</t>
    </r>
    <r>
      <rPr>
        <vertAlign val="superscript"/>
        <sz val="11"/>
        <color rgb="FF0000FF"/>
        <rFont val="宋体"/>
        <family val="3"/>
        <charset val="134"/>
        <scheme val="minor"/>
      </rPr>
      <t>2</t>
    </r>
    <phoneticPr fontId="1" type="noConversion"/>
  </si>
  <si>
    <r>
      <t>K</t>
    </r>
    <r>
      <rPr>
        <vertAlign val="subscript"/>
        <sz val="11"/>
        <color theme="1"/>
        <rFont val="宋体"/>
        <family val="2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≈</t>
    </r>
    <r>
      <rPr>
        <sz val="11"/>
        <color theme="1"/>
        <rFont val="宋体"/>
        <family val="2"/>
        <charset val="134"/>
        <scheme val="minor"/>
      </rPr>
      <t>29W/m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.℃</t>
    </r>
    <phoneticPr fontId="1" type="noConversion"/>
  </si>
  <si>
    <r>
      <t>K</t>
    </r>
    <r>
      <rPr>
        <vertAlign val="subscript"/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可按卧罐总传热系数计算，或K=7～9W/m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.℃</t>
    </r>
    <phoneticPr fontId="1" type="noConversion"/>
  </si>
  <si>
    <r>
      <t>q</t>
    </r>
    <r>
      <rPr>
        <vertAlign val="subscript"/>
        <sz val="11"/>
        <color rgb="FF0000FF"/>
        <rFont val="宋体"/>
        <family val="3"/>
        <charset val="134"/>
        <scheme val="minor"/>
      </rPr>
      <t>1</t>
    </r>
    <r>
      <rPr>
        <sz val="11"/>
        <color rgb="FF0000FF"/>
        <rFont val="宋体"/>
        <family val="3"/>
        <charset val="134"/>
        <scheme val="minor"/>
      </rPr>
      <t>——油品经罐车上部罐壁散失的热量，J</t>
    </r>
    <phoneticPr fontId="1" type="noConversion"/>
  </si>
  <si>
    <r>
      <t>q</t>
    </r>
    <r>
      <rPr>
        <vertAlign val="subscript"/>
        <sz val="11"/>
        <color rgb="FF0000FF"/>
        <rFont val="宋体"/>
        <family val="3"/>
        <charset val="134"/>
        <scheme val="minor"/>
      </rPr>
      <t>1</t>
    </r>
    <r>
      <rPr>
        <sz val="11"/>
        <color rgb="FF0000FF"/>
        <rFont val="宋体"/>
        <family val="3"/>
        <charset val="134"/>
        <scheme val="minor"/>
      </rPr>
      <t>=K</t>
    </r>
    <r>
      <rPr>
        <vertAlign val="subscript"/>
        <sz val="11"/>
        <color rgb="FF0000FF"/>
        <rFont val="宋体"/>
        <family val="3"/>
        <charset val="134"/>
        <scheme val="minor"/>
      </rPr>
      <t>1</t>
    </r>
    <r>
      <rPr>
        <sz val="11"/>
        <color rgb="FF0000FF"/>
        <rFont val="宋体"/>
        <family val="3"/>
        <charset val="134"/>
        <scheme val="minor"/>
      </rPr>
      <t>F</t>
    </r>
    <r>
      <rPr>
        <vertAlign val="subscript"/>
        <sz val="11"/>
        <color rgb="FF0000FF"/>
        <rFont val="宋体"/>
        <family val="3"/>
        <charset val="134"/>
        <scheme val="minor"/>
      </rPr>
      <t>1</t>
    </r>
    <r>
      <rPr>
        <sz val="11"/>
        <color rgb="FF0000FF"/>
        <rFont val="宋体"/>
        <family val="3"/>
        <charset val="134"/>
        <scheme val="minor"/>
      </rPr>
      <t>(t</t>
    </r>
    <r>
      <rPr>
        <vertAlign val="subscript"/>
        <sz val="11"/>
        <color rgb="FF0000FF"/>
        <rFont val="宋体"/>
        <family val="3"/>
        <charset val="134"/>
        <scheme val="minor"/>
      </rPr>
      <t>y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j</t>
    </r>
    <r>
      <rPr>
        <sz val="11"/>
        <color rgb="FF0000FF"/>
        <rFont val="宋体"/>
        <family val="3"/>
        <charset val="134"/>
        <scheme val="minor"/>
      </rPr>
      <t>)τ</t>
    </r>
    <phoneticPr fontId="1" type="noConversion"/>
  </si>
  <si>
    <r>
      <t>Q</t>
    </r>
    <r>
      <rPr>
        <vertAlign val="subscript"/>
        <sz val="11"/>
        <color rgb="FF0000FF"/>
        <rFont val="宋体"/>
        <family val="3"/>
        <charset val="134"/>
        <scheme val="minor"/>
      </rPr>
      <t>3</t>
    </r>
    <r>
      <rPr>
        <sz val="11"/>
        <color rgb="FF0000FF"/>
        <rFont val="宋体"/>
        <family val="3"/>
        <charset val="134"/>
        <scheme val="minor"/>
      </rPr>
      <t>=K</t>
    </r>
    <r>
      <rPr>
        <vertAlign val="subscript"/>
        <sz val="11"/>
        <color rgb="FF0000FF"/>
        <rFont val="宋体"/>
        <family val="3"/>
        <charset val="134"/>
        <scheme val="minor"/>
      </rPr>
      <t>3</t>
    </r>
    <r>
      <rPr>
        <sz val="11"/>
        <color rgb="FF0000FF"/>
        <rFont val="宋体"/>
        <family val="3"/>
        <charset val="134"/>
        <scheme val="minor"/>
      </rPr>
      <t>F</t>
    </r>
    <r>
      <rPr>
        <vertAlign val="subscript"/>
        <sz val="11"/>
        <color rgb="FF0000FF"/>
        <rFont val="宋体"/>
        <family val="3"/>
        <charset val="134"/>
        <scheme val="minor"/>
      </rPr>
      <t>3</t>
    </r>
    <r>
      <rPr>
        <sz val="11"/>
        <color rgb="FF0000FF"/>
        <rFont val="宋体"/>
        <family val="3"/>
        <charset val="134"/>
        <scheme val="minor"/>
      </rPr>
      <t>[(t</t>
    </r>
    <r>
      <rPr>
        <vertAlign val="subscript"/>
        <sz val="11"/>
        <color rgb="FF0000FF"/>
        <rFont val="宋体"/>
        <family val="3"/>
        <charset val="134"/>
        <scheme val="minor"/>
      </rPr>
      <t>z</t>
    </r>
    <r>
      <rPr>
        <sz val="11"/>
        <color rgb="FF0000FF"/>
        <rFont val="宋体"/>
        <family val="3"/>
        <charset val="134"/>
        <scheme val="minor"/>
      </rPr>
      <t>+t</t>
    </r>
    <r>
      <rPr>
        <vertAlign val="subscript"/>
        <sz val="11"/>
        <color rgb="FF0000FF"/>
        <rFont val="宋体"/>
        <family val="3"/>
        <charset val="134"/>
        <scheme val="minor"/>
      </rPr>
      <t>n</t>
    </r>
    <r>
      <rPr>
        <sz val="11"/>
        <color rgb="FF0000FF"/>
        <rFont val="宋体"/>
        <family val="3"/>
        <charset val="134"/>
        <scheme val="minor"/>
      </rPr>
      <t>)/2-t</t>
    </r>
    <r>
      <rPr>
        <vertAlign val="subscript"/>
        <sz val="11"/>
        <color rgb="FF0000FF"/>
        <rFont val="宋体"/>
        <family val="3"/>
        <charset val="134"/>
        <scheme val="minor"/>
      </rPr>
      <t>y</t>
    </r>
    <r>
      <rPr>
        <sz val="11"/>
        <color rgb="FF0000FF"/>
        <rFont val="宋体"/>
        <family val="3"/>
        <charset val="134"/>
        <scheme val="minor"/>
      </rPr>
      <t>]/φ</t>
    </r>
    <phoneticPr fontId="1" type="noConversion"/>
  </si>
  <si>
    <r>
      <t>Q</t>
    </r>
    <r>
      <rPr>
        <vertAlign val="subscript"/>
        <sz val="11"/>
        <color rgb="FF0000FF"/>
        <rFont val="宋体"/>
        <family val="3"/>
        <charset val="134"/>
        <scheme val="minor"/>
      </rPr>
      <t>3</t>
    </r>
    <r>
      <rPr>
        <sz val="11"/>
        <color rgb="FF0000FF"/>
        <rFont val="宋体"/>
        <family val="3"/>
        <charset val="134"/>
        <scheme val="minor"/>
      </rPr>
      <t>——单位时间内蒸汽经罐车加热套传给油品的热量，W</t>
    </r>
    <phoneticPr fontId="1" type="noConversion"/>
  </si>
  <si>
    <r>
      <t>τ=(Q</t>
    </r>
    <r>
      <rPr>
        <vertAlign val="subscript"/>
        <sz val="11"/>
        <color rgb="FF0000FF"/>
        <rFont val="宋体"/>
        <family val="3"/>
        <charset val="134"/>
        <scheme val="minor"/>
      </rPr>
      <t>1</t>
    </r>
    <r>
      <rPr>
        <sz val="11"/>
        <color rgb="FF0000FF"/>
        <rFont val="宋体"/>
        <family val="3"/>
        <charset val="134"/>
        <scheme val="minor"/>
      </rPr>
      <t>+q</t>
    </r>
    <r>
      <rPr>
        <vertAlign val="subscript"/>
        <sz val="11"/>
        <color rgb="FF0000FF"/>
        <rFont val="宋体"/>
        <family val="3"/>
        <charset val="134"/>
        <scheme val="minor"/>
      </rPr>
      <t>1</t>
    </r>
    <r>
      <rPr>
        <sz val="11"/>
        <color rgb="FF0000FF"/>
        <rFont val="宋体"/>
        <family val="3"/>
        <charset val="134"/>
        <scheme val="minor"/>
      </rPr>
      <t>)/Q</t>
    </r>
    <r>
      <rPr>
        <vertAlign val="subscript"/>
        <sz val="11"/>
        <color rgb="FF0000FF"/>
        <rFont val="宋体"/>
        <family val="3"/>
        <charset val="134"/>
        <scheme val="minor"/>
      </rPr>
      <t>3</t>
    </r>
    <phoneticPr fontId="1" type="noConversion"/>
  </si>
  <si>
    <r>
      <t>q</t>
    </r>
    <r>
      <rPr>
        <vertAlign val="sub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=K</t>
    </r>
    <r>
      <rPr>
        <vertAlign val="sub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F</t>
    </r>
    <r>
      <rPr>
        <vertAlign val="sub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(t</t>
    </r>
    <r>
      <rPr>
        <vertAlign val="subscript"/>
        <sz val="11"/>
        <color rgb="FF0000FF"/>
        <rFont val="宋体"/>
        <family val="3"/>
        <charset val="134"/>
        <scheme val="minor"/>
      </rPr>
      <t>bi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j</t>
    </r>
    <r>
      <rPr>
        <sz val="11"/>
        <color rgb="FF0000FF"/>
        <rFont val="宋体"/>
        <family val="3"/>
        <charset val="134"/>
        <scheme val="minor"/>
      </rPr>
      <t>)τ</t>
    </r>
    <phoneticPr fontId="1" type="noConversion"/>
  </si>
  <si>
    <r>
      <t>q</t>
    </r>
    <r>
      <rPr>
        <vertAlign val="sub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——蒸汽经罐车加热套外壁散失的热量，J</t>
    </r>
    <phoneticPr fontId="1" type="noConversion"/>
  </si>
  <si>
    <r>
      <t>Q</t>
    </r>
    <r>
      <rPr>
        <vertAlign val="sub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——散失在周围大气中的热量，J</t>
    </r>
    <phoneticPr fontId="1" type="noConversion"/>
  </si>
  <si>
    <r>
      <t>Q</t>
    </r>
    <r>
      <rPr>
        <vertAlign val="sub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=q</t>
    </r>
    <r>
      <rPr>
        <vertAlign val="subscript"/>
        <sz val="11"/>
        <color rgb="FF0000FF"/>
        <rFont val="宋体"/>
        <family val="3"/>
        <charset val="134"/>
        <scheme val="minor"/>
      </rPr>
      <t>1</t>
    </r>
    <r>
      <rPr>
        <sz val="11"/>
        <color rgb="FF0000FF"/>
        <rFont val="宋体"/>
        <family val="3"/>
        <charset val="134"/>
        <scheme val="minor"/>
      </rPr>
      <t>+q</t>
    </r>
    <r>
      <rPr>
        <vertAlign val="subscript"/>
        <sz val="11"/>
        <color rgb="FF0000FF"/>
        <rFont val="宋体"/>
        <family val="3"/>
        <charset val="134"/>
        <scheme val="minor"/>
      </rPr>
      <t>2</t>
    </r>
    <phoneticPr fontId="1" type="noConversion"/>
  </si>
  <si>
    <r>
      <t>Q=Q</t>
    </r>
    <r>
      <rPr>
        <vertAlign val="subscript"/>
        <sz val="11"/>
        <color rgb="FF0000FF"/>
        <rFont val="宋体"/>
        <family val="3"/>
        <charset val="134"/>
        <scheme val="minor"/>
      </rPr>
      <t>1</t>
    </r>
    <r>
      <rPr>
        <sz val="11"/>
        <color rgb="FF0000FF"/>
        <rFont val="宋体"/>
        <family val="3"/>
        <charset val="134"/>
        <scheme val="minor"/>
      </rPr>
      <t>+Q</t>
    </r>
    <r>
      <rPr>
        <vertAlign val="subscript"/>
        <sz val="11"/>
        <color rgb="FF0000FF"/>
        <rFont val="宋体"/>
        <family val="3"/>
        <charset val="134"/>
        <scheme val="minor"/>
      </rPr>
      <t>2</t>
    </r>
    <phoneticPr fontId="1" type="noConversion"/>
  </si>
  <si>
    <t>罐车加热所需的总热量Q，J,</t>
    <phoneticPr fontId="1" type="noConversion"/>
  </si>
  <si>
    <r>
      <t>t</t>
    </r>
    <r>
      <rPr>
        <vertAlign val="subscript"/>
        <sz val="11"/>
        <color rgb="FF0000FF"/>
        <rFont val="宋体"/>
        <family val="3"/>
        <charset val="134"/>
        <scheme val="minor"/>
      </rPr>
      <t>y</t>
    </r>
    <r>
      <rPr>
        <sz val="11"/>
        <color rgb="FF0000FF"/>
        <rFont val="宋体"/>
        <family val="3"/>
        <charset val="134"/>
        <scheme val="minor"/>
      </rPr>
      <t>——油品在加热过程中的平均温度，℃</t>
    </r>
    <phoneticPr fontId="1" type="noConversion"/>
  </si>
  <si>
    <t>每辆罐车所需的蒸汽量G，kg/s</t>
    <phoneticPr fontId="1" type="noConversion"/>
  </si>
  <si>
    <r>
      <t>i</t>
    </r>
    <r>
      <rPr>
        <vertAlign val="subscript"/>
        <sz val="11"/>
        <color theme="1"/>
        <rFont val="宋体"/>
        <family val="2"/>
        <charset val="134"/>
        <scheme val="minor"/>
      </rPr>
      <t>s</t>
    </r>
    <r>
      <rPr>
        <sz val="11"/>
        <color theme="1"/>
        <rFont val="宋体"/>
        <family val="2"/>
        <charset val="134"/>
        <scheme val="minor"/>
      </rPr>
      <t>——冷凝水的热焓，</t>
    </r>
    <r>
      <rPr>
        <sz val="11"/>
        <color theme="1"/>
        <rFont val="宋体"/>
        <family val="3"/>
        <charset val="134"/>
        <scheme val="minor"/>
      </rPr>
      <t>KJ/kg</t>
    </r>
    <phoneticPr fontId="1" type="noConversion"/>
  </si>
  <si>
    <r>
      <t>i</t>
    </r>
    <r>
      <rPr>
        <vertAlign val="subscript"/>
        <sz val="11"/>
        <color theme="1"/>
        <rFont val="宋体"/>
        <family val="3"/>
        <charset val="134"/>
        <scheme val="minor"/>
      </rPr>
      <t>z</t>
    </r>
    <r>
      <rPr>
        <sz val="11"/>
        <color theme="1"/>
        <rFont val="宋体"/>
        <family val="2"/>
        <charset val="134"/>
        <scheme val="minor"/>
      </rPr>
      <t>——蒸汽的热焓，</t>
    </r>
    <r>
      <rPr>
        <sz val="11"/>
        <color theme="1"/>
        <rFont val="宋体"/>
        <family val="3"/>
        <charset val="134"/>
        <scheme val="minor"/>
      </rPr>
      <t>KJ/kg</t>
    </r>
    <phoneticPr fontId="1" type="noConversion"/>
  </si>
  <si>
    <r>
      <t>t</t>
    </r>
    <r>
      <rPr>
        <vertAlign val="subscript"/>
        <sz val="11"/>
        <color rgb="FF0000FF"/>
        <rFont val="宋体"/>
        <family val="2"/>
        <charset val="134"/>
        <scheme val="minor"/>
      </rPr>
      <t>y</t>
    </r>
    <r>
      <rPr>
        <vertAlign val="subscript"/>
        <sz val="11"/>
        <color rgb="FF0000FF"/>
        <rFont val="宋体"/>
        <family val="3"/>
        <charset val="134"/>
        <scheme val="minor"/>
      </rPr>
      <t>1</t>
    </r>
    <r>
      <rPr>
        <sz val="11"/>
        <color rgb="FF0000FF"/>
        <rFont val="宋体"/>
        <family val="3"/>
        <charset val="134"/>
        <scheme val="minor"/>
      </rPr>
      <t>=(t</t>
    </r>
    <r>
      <rPr>
        <vertAlign val="subscript"/>
        <sz val="11"/>
        <color rgb="FF0000FF"/>
        <rFont val="宋体"/>
        <family val="3"/>
        <charset val="134"/>
        <scheme val="minor"/>
      </rPr>
      <t>yz</t>
    </r>
    <r>
      <rPr>
        <sz val="11"/>
        <color rgb="FF0000FF"/>
        <rFont val="宋体"/>
        <family val="3"/>
        <charset val="134"/>
        <scheme val="minor"/>
      </rPr>
      <t>+t</t>
    </r>
    <r>
      <rPr>
        <vertAlign val="subscript"/>
        <sz val="11"/>
        <color rgb="FF0000FF"/>
        <rFont val="宋体"/>
        <family val="3"/>
        <charset val="134"/>
        <scheme val="minor"/>
      </rPr>
      <t>ys</t>
    </r>
    <r>
      <rPr>
        <sz val="11"/>
        <color rgb="FF0000FF"/>
        <rFont val="宋体"/>
        <family val="3"/>
        <charset val="134"/>
        <scheme val="minor"/>
      </rPr>
      <t>)/2</t>
    </r>
    <phoneticPr fontId="1" type="noConversion"/>
  </si>
  <si>
    <r>
      <t>t</t>
    </r>
    <r>
      <rPr>
        <vertAlign val="subscript"/>
        <sz val="11"/>
        <color rgb="FF0000FF"/>
        <rFont val="宋体"/>
        <family val="2"/>
        <charset val="134"/>
        <scheme val="minor"/>
      </rPr>
      <t>y</t>
    </r>
    <r>
      <rPr>
        <sz val="11"/>
        <color rgb="FF0000FF"/>
        <rFont val="宋体"/>
        <family val="3"/>
        <charset val="134"/>
        <scheme val="minor"/>
      </rPr>
      <t>=t</t>
    </r>
    <r>
      <rPr>
        <vertAlign val="subscript"/>
        <sz val="11"/>
        <color rgb="FF0000FF"/>
        <rFont val="宋体"/>
        <family val="3"/>
        <charset val="134"/>
        <scheme val="minor"/>
      </rPr>
      <t>y1,</t>
    </r>
    <r>
      <rPr>
        <sz val="11"/>
        <color rgb="FF0000FF"/>
        <rFont val="宋体"/>
        <family val="3"/>
        <charset val="134"/>
        <scheme val="minor"/>
      </rPr>
      <t>(t</t>
    </r>
    <r>
      <rPr>
        <vertAlign val="subscript"/>
        <sz val="11"/>
        <color rgb="FF0000FF"/>
        <rFont val="宋体"/>
        <family val="3"/>
        <charset val="134"/>
        <scheme val="minor"/>
      </rPr>
      <t>yz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j</t>
    </r>
    <r>
      <rPr>
        <sz val="11"/>
        <color rgb="FF0000FF"/>
        <rFont val="宋体"/>
        <family val="3"/>
        <charset val="134"/>
        <scheme val="minor"/>
      </rPr>
      <t>)/(t</t>
    </r>
    <r>
      <rPr>
        <vertAlign val="subscript"/>
        <sz val="11"/>
        <color rgb="FF0000FF"/>
        <rFont val="宋体"/>
        <family val="3"/>
        <charset val="134"/>
        <scheme val="minor"/>
      </rPr>
      <t>ys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j</t>
    </r>
    <r>
      <rPr>
        <sz val="11"/>
        <color rgb="FF0000FF"/>
        <rFont val="宋体"/>
        <family val="3"/>
        <charset val="134"/>
        <scheme val="minor"/>
      </rPr>
      <t>)≤2；t</t>
    </r>
    <r>
      <rPr>
        <vertAlign val="subscript"/>
        <sz val="11"/>
        <color rgb="FF0000FF"/>
        <rFont val="宋体"/>
        <family val="3"/>
        <charset val="134"/>
        <scheme val="minor"/>
      </rPr>
      <t>y</t>
    </r>
    <r>
      <rPr>
        <sz val="11"/>
        <color rgb="FF0000FF"/>
        <rFont val="宋体"/>
        <family val="3"/>
        <charset val="134"/>
        <scheme val="minor"/>
      </rPr>
      <t>=t</t>
    </r>
    <r>
      <rPr>
        <vertAlign val="subscript"/>
        <sz val="11"/>
        <color rgb="FF0000FF"/>
        <rFont val="宋体"/>
        <family val="3"/>
        <charset val="134"/>
        <scheme val="minor"/>
      </rPr>
      <t>y2</t>
    </r>
    <r>
      <rPr>
        <sz val="11"/>
        <color rgb="FF0000FF"/>
        <rFont val="宋体"/>
        <family val="3"/>
        <charset val="134"/>
        <scheme val="minor"/>
      </rPr>
      <t>,(t</t>
    </r>
    <r>
      <rPr>
        <vertAlign val="subscript"/>
        <sz val="11"/>
        <color rgb="FF0000FF"/>
        <rFont val="宋体"/>
        <family val="3"/>
        <charset val="134"/>
        <scheme val="minor"/>
      </rPr>
      <t>yz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j</t>
    </r>
    <r>
      <rPr>
        <sz val="11"/>
        <color rgb="FF0000FF"/>
        <rFont val="宋体"/>
        <family val="3"/>
        <charset val="134"/>
        <scheme val="minor"/>
      </rPr>
      <t>)/(t</t>
    </r>
    <r>
      <rPr>
        <vertAlign val="subscript"/>
        <sz val="11"/>
        <color rgb="FF0000FF"/>
        <rFont val="宋体"/>
        <family val="3"/>
        <charset val="134"/>
        <scheme val="minor"/>
      </rPr>
      <t>ys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j</t>
    </r>
    <r>
      <rPr>
        <sz val="11"/>
        <color rgb="FF0000FF"/>
        <rFont val="宋体"/>
        <family val="3"/>
        <charset val="134"/>
        <scheme val="minor"/>
      </rPr>
      <t>)＞2</t>
    </r>
    <phoneticPr fontId="1" type="noConversion"/>
  </si>
  <si>
    <r>
      <t>Q</t>
    </r>
    <r>
      <rPr>
        <vertAlign val="subscript"/>
        <sz val="11"/>
        <color rgb="FF0000FF"/>
        <rFont val="宋体"/>
        <family val="3"/>
        <charset val="134"/>
        <scheme val="minor"/>
      </rPr>
      <t>1</t>
    </r>
    <r>
      <rPr>
        <sz val="11"/>
        <color rgb="FF0000FF"/>
        <rFont val="宋体"/>
        <family val="3"/>
        <charset val="134"/>
        <scheme val="minor"/>
      </rPr>
      <t>=(G.c.(t</t>
    </r>
    <r>
      <rPr>
        <vertAlign val="subscript"/>
        <sz val="11"/>
        <color rgb="FF0000FF"/>
        <rFont val="宋体"/>
        <family val="3"/>
        <charset val="134"/>
        <scheme val="minor"/>
      </rPr>
      <t>yz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ys</t>
    </r>
    <r>
      <rPr>
        <sz val="11"/>
        <color rgb="FF0000FF"/>
        <rFont val="宋体"/>
        <family val="3"/>
        <charset val="134"/>
        <scheme val="minor"/>
      </rPr>
      <t>)+GNx/100*10</t>
    </r>
    <r>
      <rPr>
        <vertAlign val="superscript"/>
        <sz val="11"/>
        <color rgb="FF0000FF"/>
        <rFont val="宋体"/>
        <family val="3"/>
        <charset val="134"/>
        <scheme val="minor"/>
      </rPr>
      <t>3</t>
    </r>
    <phoneticPr fontId="1" type="noConversion"/>
  </si>
  <si>
    <t>τ——罐车的加热时间，s</t>
    <phoneticPr fontId="1" type="noConversion"/>
  </si>
  <si>
    <r>
      <t>q</t>
    </r>
    <r>
      <rPr>
        <vertAlign val="subscript"/>
        <sz val="11"/>
        <color rgb="FF0000FF"/>
        <rFont val="宋体"/>
        <family val="3"/>
        <charset val="134"/>
        <scheme val="minor"/>
      </rPr>
      <t>1</t>
    </r>
    <r>
      <rPr>
        <sz val="11"/>
        <color rgb="FF0000FF"/>
        <rFont val="宋体"/>
        <family val="3"/>
        <charset val="134"/>
        <scheme val="minor"/>
      </rPr>
      <t>/τ=K</t>
    </r>
    <r>
      <rPr>
        <vertAlign val="subscript"/>
        <sz val="11"/>
        <color rgb="FF0000FF"/>
        <rFont val="宋体"/>
        <family val="3"/>
        <charset val="134"/>
        <scheme val="minor"/>
      </rPr>
      <t>1</t>
    </r>
    <r>
      <rPr>
        <sz val="11"/>
        <color rgb="FF0000FF"/>
        <rFont val="宋体"/>
        <family val="3"/>
        <charset val="134"/>
        <scheme val="minor"/>
      </rPr>
      <t>F</t>
    </r>
    <r>
      <rPr>
        <vertAlign val="subscript"/>
        <sz val="11"/>
        <color rgb="FF0000FF"/>
        <rFont val="宋体"/>
        <family val="3"/>
        <charset val="134"/>
        <scheme val="minor"/>
      </rPr>
      <t>1</t>
    </r>
    <r>
      <rPr>
        <sz val="11"/>
        <color rgb="FF0000FF"/>
        <rFont val="宋体"/>
        <family val="3"/>
        <charset val="134"/>
        <scheme val="minor"/>
      </rPr>
      <t>(t</t>
    </r>
    <r>
      <rPr>
        <vertAlign val="subscript"/>
        <sz val="11"/>
        <color rgb="FF0000FF"/>
        <rFont val="宋体"/>
        <family val="3"/>
        <charset val="134"/>
        <scheme val="minor"/>
      </rPr>
      <t>y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j</t>
    </r>
    <r>
      <rPr>
        <sz val="11"/>
        <color rgb="FF0000FF"/>
        <rFont val="宋体"/>
        <family val="3"/>
        <charset val="134"/>
        <scheme val="minor"/>
      </rPr>
      <t>)</t>
    </r>
    <phoneticPr fontId="1" type="noConversion"/>
  </si>
  <si>
    <t>蒸汽量G,t/h</t>
    <phoneticPr fontId="1" type="noConversion"/>
  </si>
  <si>
    <t>表4-5终温</t>
    <phoneticPr fontId="1" type="noConversion"/>
  </si>
  <si>
    <t>表4-11油凝点25</t>
    <phoneticPr fontId="1" type="noConversion"/>
  </si>
  <si>
    <t>罐车的加热时间，h</t>
    <phoneticPr fontId="1" type="noConversion"/>
  </si>
  <si>
    <r>
      <t>G=(Q</t>
    </r>
    <r>
      <rPr>
        <vertAlign val="subscript"/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2"/>
        <charset val="134"/>
        <scheme val="minor"/>
      </rPr>
      <t>+Q</t>
    </r>
    <r>
      <rPr>
        <vertAlign val="sub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)*10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>/(i</t>
    </r>
    <r>
      <rPr>
        <vertAlign val="subscript"/>
        <sz val="11"/>
        <color theme="1"/>
        <rFont val="宋体"/>
        <family val="3"/>
        <charset val="134"/>
        <scheme val="minor"/>
      </rPr>
      <t>z</t>
    </r>
    <r>
      <rPr>
        <sz val="11"/>
        <color theme="1"/>
        <rFont val="宋体"/>
        <family val="2"/>
        <charset val="134"/>
        <scheme val="minor"/>
      </rPr>
      <t>-i</t>
    </r>
    <r>
      <rPr>
        <vertAlign val="subscript"/>
        <sz val="11"/>
        <color theme="1"/>
        <rFont val="宋体"/>
        <family val="3"/>
        <charset val="134"/>
        <scheme val="minor"/>
      </rPr>
      <t>n</t>
    </r>
    <r>
      <rPr>
        <sz val="11"/>
        <color theme="1"/>
        <rFont val="宋体"/>
        <family val="2"/>
        <charset val="134"/>
        <scheme val="minor"/>
      </rPr>
      <t>)/τ</t>
    </r>
    <phoneticPr fontId="1" type="noConversion"/>
  </si>
  <si>
    <r>
      <t>c——油品的质量比热，J/kg，（t</t>
    </r>
    <r>
      <rPr>
        <vertAlign val="subscript"/>
        <sz val="11"/>
        <color theme="1"/>
        <rFont val="宋体"/>
        <family val="3"/>
        <charset val="134"/>
        <scheme val="minor"/>
      </rPr>
      <t>y</t>
    </r>
    <r>
      <rPr>
        <sz val="11"/>
        <color theme="1"/>
        <rFont val="宋体"/>
        <family val="2"/>
        <charset val="134"/>
        <scheme val="minor"/>
      </rPr>
      <t>-t</t>
    </r>
    <r>
      <rPr>
        <vertAlign val="subscript"/>
        <sz val="11"/>
        <color theme="1"/>
        <rFont val="宋体"/>
        <family val="3"/>
        <charset val="134"/>
        <scheme val="minor"/>
      </rPr>
      <t>小</t>
    </r>
    <r>
      <rPr>
        <sz val="11"/>
        <color theme="1"/>
        <rFont val="宋体"/>
        <family val="2"/>
        <charset val="134"/>
        <scheme val="minor"/>
      </rPr>
      <t>）*（C</t>
    </r>
    <r>
      <rPr>
        <vertAlign val="subscript"/>
        <sz val="11"/>
        <color theme="1"/>
        <rFont val="宋体"/>
        <family val="3"/>
        <charset val="134"/>
        <scheme val="minor"/>
      </rPr>
      <t>大</t>
    </r>
    <r>
      <rPr>
        <sz val="11"/>
        <color theme="1"/>
        <rFont val="宋体"/>
        <family val="2"/>
        <charset val="134"/>
        <scheme val="minor"/>
      </rPr>
      <t>-C</t>
    </r>
    <r>
      <rPr>
        <vertAlign val="subscript"/>
        <sz val="11"/>
        <color theme="1"/>
        <rFont val="宋体"/>
        <family val="3"/>
        <charset val="134"/>
        <scheme val="minor"/>
      </rPr>
      <t>小</t>
    </r>
    <r>
      <rPr>
        <sz val="11"/>
        <color theme="1"/>
        <rFont val="宋体"/>
        <family val="2"/>
        <charset val="134"/>
        <scheme val="minor"/>
      </rPr>
      <t>）/（t</t>
    </r>
    <r>
      <rPr>
        <vertAlign val="subscript"/>
        <sz val="11"/>
        <color theme="1"/>
        <rFont val="宋体"/>
        <family val="3"/>
        <charset val="134"/>
        <scheme val="minor"/>
      </rPr>
      <t>大</t>
    </r>
    <r>
      <rPr>
        <sz val="11"/>
        <color theme="1"/>
        <rFont val="宋体"/>
        <family val="2"/>
        <charset val="134"/>
        <scheme val="minor"/>
      </rPr>
      <t>-t</t>
    </r>
    <r>
      <rPr>
        <vertAlign val="subscript"/>
        <sz val="11"/>
        <color theme="1"/>
        <rFont val="宋体"/>
        <family val="3"/>
        <charset val="134"/>
        <scheme val="minor"/>
      </rPr>
      <t>小</t>
    </r>
    <r>
      <rPr>
        <sz val="11"/>
        <color theme="1"/>
        <rFont val="宋体"/>
        <family val="2"/>
        <charset val="134"/>
        <scheme val="minor"/>
      </rPr>
      <t>）+C</t>
    </r>
    <r>
      <rPr>
        <vertAlign val="subscript"/>
        <sz val="11"/>
        <color theme="1"/>
        <rFont val="宋体"/>
        <family val="3"/>
        <charset val="134"/>
        <scheme val="minor"/>
      </rPr>
      <t>小</t>
    </r>
    <phoneticPr fontId="1" type="noConversion"/>
  </si>
  <si>
    <t>石油库设计与管理</t>
    <phoneticPr fontId="1" type="noConversion"/>
  </si>
  <si>
    <t>表5-5-9蒸汽温度</t>
    <phoneticPr fontId="1" type="noConversion"/>
  </si>
  <si>
    <t>表5-5-9冷凝水温度</t>
    <phoneticPr fontId="1" type="noConversion"/>
  </si>
  <si>
    <t>表5-5-2  Gr.Pr</t>
    <phoneticPr fontId="1" type="noConversion"/>
  </si>
  <si>
    <t>表5-5-3  Re</t>
    <phoneticPr fontId="1" type="noConversion"/>
  </si>
  <si>
    <t>亚粘土，中等湿度</t>
    <phoneticPr fontId="1" type="noConversion"/>
  </si>
  <si>
    <r>
      <t>t</t>
    </r>
    <r>
      <rPr>
        <b/>
        <vertAlign val="subscript"/>
        <sz val="11"/>
        <color rgb="FF0000FF"/>
        <rFont val="宋体"/>
        <family val="3"/>
        <charset val="134"/>
        <scheme val="minor"/>
      </rPr>
      <t>wc</t>
    </r>
    <r>
      <rPr>
        <b/>
        <sz val="11"/>
        <color rgb="FF0000FF"/>
        <rFont val="宋体"/>
        <family val="3"/>
        <charset val="134"/>
        <scheme val="minor"/>
      </rPr>
      <t>+(t</t>
    </r>
    <r>
      <rPr>
        <b/>
        <vertAlign val="subscript"/>
        <sz val="11"/>
        <color rgb="FF0000FF"/>
        <rFont val="宋体"/>
        <family val="3"/>
        <charset val="134"/>
        <scheme val="minor"/>
      </rPr>
      <t>av</t>
    </r>
    <r>
      <rPr>
        <b/>
        <sz val="11"/>
        <color rgb="FF0000FF"/>
        <rFont val="宋体"/>
        <family val="3"/>
        <charset val="134"/>
        <scheme val="minor"/>
      </rPr>
      <t>-t</t>
    </r>
    <r>
      <rPr>
        <b/>
        <vertAlign val="subscript"/>
        <sz val="11"/>
        <color rgb="FF0000FF"/>
        <rFont val="宋体"/>
        <family val="3"/>
        <charset val="134"/>
        <scheme val="minor"/>
      </rPr>
      <t>ai</t>
    </r>
    <r>
      <rPr>
        <b/>
        <sz val="11"/>
        <color rgb="FF0000FF"/>
        <rFont val="宋体"/>
        <family val="3"/>
        <charset val="134"/>
        <scheme val="minor"/>
      </rPr>
      <t>)K</t>
    </r>
    <r>
      <rPr>
        <b/>
        <vertAlign val="subscript"/>
        <sz val="11"/>
        <color rgb="FF0000FF"/>
        <rFont val="宋体"/>
        <family val="3"/>
        <charset val="134"/>
        <scheme val="minor"/>
      </rPr>
      <t>tw</t>
    </r>
    <r>
      <rPr>
        <b/>
        <sz val="11"/>
        <color rgb="FF0000FF"/>
        <rFont val="宋体"/>
        <family val="3"/>
        <charset val="134"/>
        <scheme val="minor"/>
      </rPr>
      <t>/α</t>
    </r>
    <r>
      <rPr>
        <b/>
        <vertAlign val="subscript"/>
        <sz val="11"/>
        <color rgb="FF0000FF"/>
        <rFont val="宋体"/>
        <family val="3"/>
        <charset val="134"/>
        <scheme val="minor"/>
      </rPr>
      <t>1tw</t>
    </r>
    <r>
      <rPr>
        <b/>
        <sz val="11"/>
        <color rgb="FF0000FF"/>
        <rFont val="宋体"/>
        <family val="3"/>
        <charset val="134"/>
        <scheme val="minor"/>
      </rPr>
      <t>-t</t>
    </r>
    <r>
      <rPr>
        <b/>
        <vertAlign val="subscript"/>
        <sz val="11"/>
        <color rgb="FF0000FF"/>
        <rFont val="宋体"/>
        <family val="3"/>
        <charset val="134"/>
        <scheme val="minor"/>
      </rPr>
      <t>av</t>
    </r>
    <r>
      <rPr>
        <b/>
        <sz val="11"/>
        <color rgb="FFFF0000"/>
        <rFont val="宋体"/>
        <family val="3"/>
        <charset val="134"/>
        <scheme val="minor"/>
      </rPr>
      <t>&lt;0.1</t>
    </r>
    <phoneticPr fontId="1" type="noConversion"/>
  </si>
  <si>
    <t>绝对值小于0.1</t>
    <phoneticPr fontId="1" type="noConversion"/>
  </si>
  <si>
    <r>
      <t>t</t>
    </r>
    <r>
      <rPr>
        <b/>
        <vertAlign val="subscript"/>
        <sz val="11"/>
        <color rgb="FF0000FF"/>
        <rFont val="宋体"/>
        <family val="3"/>
        <charset val="134"/>
        <scheme val="minor"/>
      </rPr>
      <t>av</t>
    </r>
    <r>
      <rPr>
        <b/>
        <sz val="11"/>
        <color rgb="FF0000FF"/>
        <rFont val="宋体"/>
        <family val="3"/>
        <charset val="134"/>
        <scheme val="minor"/>
      </rPr>
      <t>+(t</t>
    </r>
    <r>
      <rPr>
        <b/>
        <vertAlign val="subscript"/>
        <sz val="11"/>
        <color rgb="FF0000FF"/>
        <rFont val="宋体"/>
        <family val="3"/>
        <charset val="134"/>
        <scheme val="minor"/>
      </rPr>
      <t>1</t>
    </r>
    <r>
      <rPr>
        <b/>
        <sz val="11"/>
        <color rgb="FF0000FF"/>
        <rFont val="宋体"/>
        <family val="3"/>
        <charset val="134"/>
        <scheme val="minor"/>
      </rPr>
      <t>-t</t>
    </r>
    <r>
      <rPr>
        <b/>
        <vertAlign val="subscript"/>
        <sz val="11"/>
        <color rgb="FF0000FF"/>
        <rFont val="宋体"/>
        <family val="3"/>
        <charset val="134"/>
        <scheme val="minor"/>
      </rPr>
      <t>av</t>
    </r>
    <r>
      <rPr>
        <b/>
        <sz val="11"/>
        <color rgb="FF0000FF"/>
        <rFont val="宋体"/>
        <family val="3"/>
        <charset val="134"/>
        <scheme val="minor"/>
      </rPr>
      <t>)K</t>
    </r>
    <r>
      <rPr>
        <b/>
        <vertAlign val="subscript"/>
        <sz val="11"/>
        <color rgb="FF0000FF"/>
        <rFont val="宋体"/>
        <family val="3"/>
        <charset val="134"/>
        <scheme val="minor"/>
      </rPr>
      <t>ht</t>
    </r>
    <r>
      <rPr>
        <b/>
        <sz val="11"/>
        <color rgb="FF0000FF"/>
        <rFont val="宋体"/>
        <family val="3"/>
        <charset val="134"/>
        <scheme val="minor"/>
      </rPr>
      <t>/α</t>
    </r>
    <r>
      <rPr>
        <b/>
        <vertAlign val="subscript"/>
        <sz val="11"/>
        <color rgb="FF0000FF"/>
        <rFont val="宋体"/>
        <family val="3"/>
        <charset val="134"/>
        <scheme val="minor"/>
      </rPr>
      <t>2</t>
    </r>
    <r>
      <rPr>
        <b/>
        <sz val="11"/>
        <color rgb="FF0000FF"/>
        <rFont val="宋体"/>
        <family val="3"/>
        <charset val="134"/>
        <scheme val="minor"/>
      </rPr>
      <t>-t</t>
    </r>
    <r>
      <rPr>
        <b/>
        <vertAlign val="subscript"/>
        <sz val="11"/>
        <color rgb="FF0000FF"/>
        <rFont val="宋体"/>
        <family val="3"/>
        <charset val="134"/>
        <scheme val="minor"/>
      </rPr>
      <t>wc′</t>
    </r>
    <r>
      <rPr>
        <b/>
        <sz val="11"/>
        <color rgb="FFFF0000"/>
        <rFont val="宋体"/>
        <family val="3"/>
        <charset val="134"/>
        <scheme val="minor"/>
      </rPr>
      <t>&lt;0.1</t>
    </r>
    <phoneticPr fontId="1" type="noConversion"/>
  </si>
  <si>
    <t>调整数值使191行合适，大小成正比</t>
    <phoneticPr fontId="1" type="noConversion"/>
  </si>
  <si>
    <t>调整数值使223行合适，大小成反比</t>
    <phoneticPr fontId="1" type="noConversion"/>
  </si>
  <si>
    <t>脱硫渣油储罐</t>
  </si>
  <si>
    <t>混合重油储罐</t>
    <phoneticPr fontId="1" type="noConversion"/>
  </si>
  <si>
    <t>减压渣油储罐</t>
    <phoneticPr fontId="1" type="noConversion"/>
  </si>
  <si>
    <t>减压渣油</t>
    <phoneticPr fontId="1" type="noConversion"/>
  </si>
  <si>
    <t>维温</t>
    <phoneticPr fontId="1" type="noConversion"/>
  </si>
  <si>
    <r>
      <t>D</t>
    </r>
    <r>
      <rPr>
        <vertAlign val="subscript"/>
        <sz val="11"/>
        <color rgb="FF0000FF"/>
        <rFont val="宋体"/>
        <family val="3"/>
        <charset val="134"/>
        <scheme val="minor"/>
      </rPr>
      <t>tb</t>
    </r>
    <r>
      <rPr>
        <sz val="11"/>
        <color rgb="FF0000FF"/>
        <rFont val="宋体"/>
        <family val="3"/>
        <charset val="134"/>
        <scheme val="minor"/>
      </rPr>
      <t>——罐底直径，m</t>
    </r>
    <phoneticPr fontId="1" type="noConversion"/>
  </si>
  <si>
    <t>减压蜡油</t>
    <phoneticPr fontId="1" type="noConversion"/>
  </si>
  <si>
    <t>催化油浆</t>
    <phoneticPr fontId="1" type="noConversion"/>
  </si>
  <si>
    <t>扫线罐</t>
    <phoneticPr fontId="1" type="noConversion"/>
  </si>
  <si>
    <t>重污油罐</t>
    <phoneticPr fontId="1" type="noConversion"/>
  </si>
  <si>
    <t>2200-T-1001A-F、2200-T-2001A-D、2200-T-2002A/B</t>
    <phoneticPr fontId="1" type="noConversion"/>
  </si>
  <si>
    <t>2200-T-3001A/B</t>
    <phoneticPr fontId="1" type="noConversion"/>
  </si>
  <si>
    <t>2200-T-3002A-C</t>
  </si>
  <si>
    <t>2200-T-3002A-C</t>
    <phoneticPr fontId="1" type="noConversion"/>
  </si>
  <si>
    <t>2200-T-7001</t>
    <phoneticPr fontId="1" type="noConversion"/>
  </si>
  <si>
    <t>2200-T-7002/7003</t>
    <phoneticPr fontId="1" type="noConversion"/>
  </si>
  <si>
    <t>加热器计算面积Fht,m2</t>
    <phoneticPr fontId="1" type="noConversion"/>
  </si>
  <si>
    <t>加热器蒸汽消耗量Gst,kg/h</t>
    <phoneticPr fontId="1" type="noConversion"/>
  </si>
  <si>
    <r>
      <t>h——油罐拱顶的拱高，m，h=1.2Dav-[(1.2Dav)</t>
    </r>
    <r>
      <rPr>
        <vertAlign val="super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-(Dav/2)</t>
    </r>
    <r>
      <rPr>
        <vertAlign val="super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]</t>
    </r>
    <r>
      <rPr>
        <vertAlign val="superscript"/>
        <sz val="11"/>
        <color rgb="FF0000FF"/>
        <rFont val="宋体"/>
        <family val="3"/>
        <charset val="134"/>
        <scheme val="minor"/>
      </rPr>
      <t>1/2</t>
    </r>
    <phoneticPr fontId="1" type="noConversion"/>
  </si>
  <si>
    <t>表5-5-8蒸汽压、加热管新旧、油品洁净度、油温</t>
    <phoneticPr fontId="1" type="noConversion"/>
  </si>
  <si>
    <t>罐壁传热系数，Ktw ,W/(m2.℃）</t>
    <phoneticPr fontId="1" type="noConversion"/>
  </si>
  <si>
    <t>罐顶传热系数，Ktr ,W/(m2.℃）</t>
    <phoneticPr fontId="1" type="noConversion"/>
  </si>
  <si>
    <t>罐底传热系数，Ktb,W/(m2.℃）</t>
    <phoneticPr fontId="1" type="noConversion"/>
  </si>
  <si>
    <t>油品升温时所需的热量（若维持油温，该项为零）KJ</t>
    <phoneticPr fontId="1" type="noConversion"/>
  </si>
  <si>
    <t>罐壁热量损失,KJ/h</t>
    <phoneticPr fontId="1" type="noConversion"/>
  </si>
  <si>
    <t>罐顶热量损失，KJ/h</t>
    <phoneticPr fontId="1" type="noConversion"/>
  </si>
  <si>
    <r>
      <t>Q</t>
    </r>
    <r>
      <rPr>
        <vertAlign val="subscript"/>
        <sz val="11"/>
        <color rgb="FF0000FF"/>
        <rFont val="宋体"/>
        <family val="3"/>
        <charset val="134"/>
        <scheme val="minor"/>
      </rPr>
      <t>tb</t>
    </r>
    <r>
      <rPr>
        <sz val="11"/>
        <color rgb="FF0000FF"/>
        <rFont val="宋体"/>
        <family val="3"/>
        <charset val="134"/>
        <scheme val="minor"/>
      </rPr>
      <t>——罐底热量损失，KJ/h</t>
    </r>
    <phoneticPr fontId="1" type="noConversion"/>
  </si>
  <si>
    <t>罐底热量损失，KJ/h</t>
    <phoneticPr fontId="1" type="noConversion"/>
  </si>
  <si>
    <t>油罐加热总热量消耗Qal,KJ/h</t>
    <phoneticPr fontId="1" type="noConversion"/>
  </si>
  <si>
    <r>
      <t>K</t>
    </r>
    <r>
      <rPr>
        <vertAlign val="subscript"/>
        <sz val="11"/>
        <color rgb="FF0000FF"/>
        <rFont val="宋体"/>
        <family val="3"/>
        <charset val="134"/>
        <scheme val="minor"/>
      </rPr>
      <t>ht</t>
    </r>
    <r>
      <rPr>
        <sz val="11"/>
        <color rgb="FF0000FF"/>
        <rFont val="宋体"/>
        <family val="3"/>
        <charset val="134"/>
        <scheme val="minor"/>
      </rPr>
      <t>——加热器的传热系数，W/(m</t>
    </r>
    <r>
      <rPr>
        <vertAlign val="superscript"/>
        <sz val="11"/>
        <color rgb="FF0000FF"/>
        <rFont val="宋体"/>
        <family val="3"/>
        <charset val="134"/>
        <scheme val="minor"/>
      </rPr>
      <t>2</t>
    </r>
    <r>
      <rPr>
        <sz val="11"/>
        <color rgb="FF0000FF"/>
        <rFont val="宋体"/>
        <family val="3"/>
        <charset val="134"/>
        <scheme val="minor"/>
      </rPr>
      <t>.℃)</t>
    </r>
    <phoneticPr fontId="1" type="noConversion"/>
  </si>
  <si>
    <t>加热器的传热系数，W/(m2.℃)</t>
    <phoneticPr fontId="1" type="noConversion"/>
  </si>
  <si>
    <t>油罐加热总热量消耗Qal,KJ/h</t>
    <phoneticPr fontId="1" type="noConversion"/>
  </si>
  <si>
    <t>罐壁热量损失,KJ/h</t>
    <phoneticPr fontId="1" type="noConversion"/>
  </si>
  <si>
    <t>罐顶热量损失，KJ/h</t>
    <phoneticPr fontId="1" type="noConversion"/>
  </si>
  <si>
    <t>罐底热量损失，KJ/h</t>
    <phoneticPr fontId="1" type="noConversion"/>
  </si>
  <si>
    <r>
      <t>加热器的传热系数，W/(m</t>
    </r>
    <r>
      <rPr>
        <b/>
        <vertAlign val="superscript"/>
        <sz val="11"/>
        <rFont val="宋体"/>
        <family val="3"/>
        <charset val="134"/>
        <scheme val="minor"/>
      </rPr>
      <t>2</t>
    </r>
    <r>
      <rPr>
        <b/>
        <sz val="11"/>
        <rFont val="宋体"/>
        <family val="3"/>
        <charset val="134"/>
        <scheme val="minor"/>
      </rPr>
      <t>.℃)</t>
    </r>
    <phoneticPr fontId="1" type="noConversion"/>
  </si>
  <si>
    <t>油品升温时所需的热量（若维持油温，该项为零）KJ/h</t>
    <phoneticPr fontId="1" type="noConversion"/>
  </si>
  <si>
    <t>选用蒸汽消耗量,kg/h</t>
    <phoneticPr fontId="1" type="noConversion"/>
  </si>
  <si>
    <r>
      <t>选用加热面积,m</t>
    </r>
    <r>
      <rPr>
        <b/>
        <vertAlign val="superscript"/>
        <sz val="11"/>
        <color rgb="FF0000FF"/>
        <rFont val="宋体"/>
        <family val="3"/>
        <charset val="134"/>
        <scheme val="minor"/>
      </rPr>
      <t>2</t>
    </r>
    <phoneticPr fontId="1" type="noConversion"/>
  </si>
  <si>
    <r>
      <t>加热器面积,m</t>
    </r>
    <r>
      <rPr>
        <b/>
        <vertAlign val="superscript"/>
        <sz val="11"/>
        <rFont val="宋体"/>
        <family val="3"/>
        <charset val="134"/>
        <scheme val="minor"/>
      </rPr>
      <t>2</t>
    </r>
    <phoneticPr fontId="1" type="noConversion"/>
  </si>
  <si>
    <t>加热器蒸汽消耗量,kg/h</t>
    <phoneticPr fontId="1" type="noConversion"/>
  </si>
  <si>
    <t>储罐加热器的计算（油品储运设计手册）</t>
    <phoneticPr fontId="1" type="noConversion"/>
  </si>
  <si>
    <r>
      <t>Kcal/m</t>
    </r>
    <r>
      <rPr>
        <b/>
        <vertAlign val="superscript"/>
        <sz val="11"/>
        <color theme="1"/>
        <rFont val="宋体"/>
        <family val="3"/>
        <charset val="134"/>
        <scheme val="minor"/>
      </rPr>
      <t>2</t>
    </r>
    <r>
      <rPr>
        <b/>
        <sz val="11"/>
        <color theme="1"/>
        <rFont val="宋体"/>
        <family val="3"/>
        <charset val="134"/>
        <scheme val="minor"/>
      </rPr>
      <t>h℃</t>
    </r>
    <phoneticPr fontId="1" type="noConversion"/>
  </si>
  <si>
    <t>Kcal/h</t>
    <phoneticPr fontId="1" type="noConversion"/>
  </si>
  <si>
    <t>五、计算结果统计</t>
    <phoneticPr fontId="1" type="noConversion"/>
  </si>
  <si>
    <t>1、储存油品数据</t>
    <phoneticPr fontId="1" type="noConversion"/>
  </si>
  <si>
    <t>2、储罐数据</t>
    <phoneticPr fontId="1" type="noConversion"/>
  </si>
  <si>
    <t>3、环境数据</t>
    <phoneticPr fontId="1" type="noConversion"/>
  </si>
  <si>
    <t>3、加热介质数据</t>
    <phoneticPr fontId="1" type="noConversion"/>
  </si>
  <si>
    <r>
      <t>α</t>
    </r>
    <r>
      <rPr>
        <vertAlign val="subscript"/>
        <sz val="11"/>
        <color rgb="FF0000FF"/>
        <rFont val="宋体"/>
        <family val="3"/>
        <charset val="134"/>
        <scheme val="minor"/>
      </rPr>
      <t>gas</t>
    </r>
    <r>
      <rPr>
        <sz val="11"/>
        <color rgb="FF0000FF"/>
        <rFont val="宋体"/>
        <family val="3"/>
        <charset val="134"/>
        <scheme val="minor"/>
      </rPr>
      <t>=1.31×（t</t>
    </r>
    <r>
      <rPr>
        <vertAlign val="subscript"/>
        <sz val="11"/>
        <color rgb="FF0000FF"/>
        <rFont val="宋体"/>
        <family val="3"/>
        <charset val="134"/>
        <scheme val="minor"/>
      </rPr>
      <t>of</t>
    </r>
    <r>
      <rPr>
        <sz val="11"/>
        <color rgb="FF0000FF"/>
        <rFont val="宋体"/>
        <family val="3"/>
        <charset val="134"/>
        <scheme val="minor"/>
      </rPr>
      <t>-t</t>
    </r>
    <r>
      <rPr>
        <vertAlign val="subscript"/>
        <sz val="11"/>
        <color rgb="FF0000FF"/>
        <rFont val="宋体"/>
        <family val="3"/>
        <charset val="134"/>
        <scheme val="minor"/>
      </rPr>
      <t>rc</t>
    </r>
    <r>
      <rPr>
        <sz val="11"/>
        <color rgb="FF0000FF"/>
        <rFont val="宋体"/>
        <family val="3"/>
        <charset val="134"/>
        <scheme val="minor"/>
      </rPr>
      <t>)</t>
    </r>
    <r>
      <rPr>
        <vertAlign val="superscript"/>
        <sz val="11"/>
        <color rgb="FF0000FF"/>
        <rFont val="宋体"/>
        <family val="3"/>
        <charset val="134"/>
        <scheme val="minor"/>
      </rPr>
      <t>1/4</t>
    </r>
    <phoneticPr fontId="1" type="noConversion"/>
  </si>
  <si>
    <r>
      <t>λ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 xml:space="preserve">op </t>
    </r>
    <r>
      <rPr>
        <sz val="11"/>
        <color rgb="FF0000FF"/>
        <rFont val="宋体"/>
        <family val="3"/>
        <charset val="134"/>
        <scheme val="minor"/>
      </rPr>
      <t>=0.101（1-0.00054t</t>
    </r>
    <r>
      <rPr>
        <vertAlign val="subscript"/>
        <sz val="11"/>
        <color rgb="FF0000FF"/>
        <rFont val="宋体"/>
        <family val="3"/>
        <charset val="134"/>
        <scheme val="minor"/>
      </rPr>
      <t>qu</t>
    </r>
    <r>
      <rPr>
        <sz val="11"/>
        <color rgb="FF0000FF"/>
        <rFont val="宋体"/>
        <family val="3"/>
        <charset val="134"/>
        <scheme val="minor"/>
      </rPr>
      <t>)/γ</t>
    </r>
    <r>
      <rPr>
        <vertAlign val="superscript"/>
        <sz val="11"/>
        <color rgb="FF0000FF"/>
        <rFont val="宋体"/>
        <family val="3"/>
        <charset val="134"/>
        <scheme val="minor"/>
      </rPr>
      <t>15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phoneticPr fontId="1" type="noConversion"/>
  </si>
  <si>
    <r>
      <t>λ</t>
    </r>
    <r>
      <rPr>
        <vertAlign val="superscript"/>
        <sz val="11"/>
        <color rgb="FF0000FF"/>
        <rFont val="宋体"/>
        <family val="3"/>
        <charset val="134"/>
        <scheme val="minor"/>
      </rPr>
      <t>tqu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r>
      <rPr>
        <sz val="11"/>
        <color rgb="FF0000FF"/>
        <rFont val="宋体"/>
        <family val="3"/>
        <charset val="134"/>
        <scheme val="minor"/>
      </rPr>
      <t>′</t>
    </r>
    <r>
      <rPr>
        <vertAlign val="subscript"/>
        <sz val="11"/>
        <color rgb="FF0000FF"/>
        <rFont val="宋体"/>
        <family val="3"/>
        <charset val="134"/>
        <scheme val="minor"/>
      </rPr>
      <t xml:space="preserve"> </t>
    </r>
    <r>
      <rPr>
        <sz val="11"/>
        <color rgb="FF0000FF"/>
        <rFont val="宋体"/>
        <family val="3"/>
        <charset val="134"/>
        <scheme val="minor"/>
      </rPr>
      <t>=0.101（1-0.00054t</t>
    </r>
    <r>
      <rPr>
        <vertAlign val="subscript"/>
        <sz val="11"/>
        <color rgb="FF0000FF"/>
        <rFont val="宋体"/>
        <family val="3"/>
        <charset val="134"/>
        <scheme val="minor"/>
      </rPr>
      <t>qu</t>
    </r>
    <r>
      <rPr>
        <sz val="11"/>
        <color rgb="FF0000FF"/>
        <rFont val="宋体"/>
        <family val="3"/>
        <charset val="134"/>
        <scheme val="minor"/>
      </rPr>
      <t>′)/γ</t>
    </r>
    <r>
      <rPr>
        <vertAlign val="superscript"/>
        <sz val="11"/>
        <color rgb="FF0000FF"/>
        <rFont val="宋体"/>
        <family val="3"/>
        <charset val="134"/>
        <scheme val="minor"/>
      </rPr>
      <t>15</t>
    </r>
    <r>
      <rPr>
        <vertAlign val="subscript"/>
        <sz val="11"/>
        <color rgb="FF0000FF"/>
        <rFont val="宋体"/>
        <family val="3"/>
        <charset val="134"/>
        <scheme val="minor"/>
      </rPr>
      <t>op</t>
    </r>
    <phoneticPr fontId="1" type="noConversion"/>
  </si>
</sst>
</file>

<file path=xl/styles.xml><?xml version="1.0" encoding="utf-8"?>
<styleSheet xmlns="http://schemas.openxmlformats.org/spreadsheetml/2006/main">
  <fonts count="3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vertAlign val="subscript"/>
      <sz val="11"/>
      <color theme="1"/>
      <name val="宋体"/>
      <family val="3"/>
      <charset val="134"/>
      <scheme val="minor"/>
    </font>
    <font>
      <vertAlign val="subscript"/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FF"/>
      <name val="宋体"/>
      <family val="2"/>
      <charset val="134"/>
      <scheme val="minor"/>
    </font>
    <font>
      <vertAlign val="subscript"/>
      <sz val="11"/>
      <color rgb="FF0000FF"/>
      <name val="宋体"/>
      <family val="3"/>
      <charset val="134"/>
      <scheme val="minor"/>
    </font>
    <font>
      <sz val="11"/>
      <color rgb="FF0000FF"/>
      <name val="宋体"/>
      <family val="3"/>
      <charset val="134"/>
      <scheme val="minor"/>
    </font>
    <font>
      <vertAlign val="superscript"/>
      <sz val="11"/>
      <color theme="1"/>
      <name val="宋体"/>
      <family val="3"/>
      <charset val="134"/>
      <scheme val="minor"/>
    </font>
    <font>
      <vertAlign val="superscript"/>
      <sz val="11"/>
      <color rgb="FF0000FF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vertAlign val="superscript"/>
      <sz val="11"/>
      <name val="宋体"/>
      <family val="3"/>
      <charset val="134"/>
      <scheme val="minor"/>
    </font>
    <font>
      <vertAlign val="subscript"/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0000FF"/>
      <name val="宋体"/>
      <family val="3"/>
      <charset val="134"/>
      <scheme val="minor"/>
    </font>
    <font>
      <b/>
      <vertAlign val="subscript"/>
      <sz val="11"/>
      <color rgb="FF0000FF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vertAlign val="subscript"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vertAlign val="subscript"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vertAlign val="superscript"/>
      <sz val="11"/>
      <color rgb="FF0000FF"/>
      <name val="宋体"/>
      <family val="2"/>
      <charset val="134"/>
      <scheme val="minor"/>
    </font>
    <font>
      <vertAlign val="superscript"/>
      <sz val="11"/>
      <color rgb="FFFF0000"/>
      <name val="宋体"/>
      <family val="3"/>
      <charset val="134"/>
      <scheme val="minor"/>
    </font>
    <font>
      <b/>
      <sz val="11"/>
      <color theme="5" tint="-0.249977111117893"/>
      <name val="宋体"/>
      <family val="3"/>
      <charset val="134"/>
      <scheme val="minor"/>
    </font>
    <font>
      <vertAlign val="subscript"/>
      <sz val="11"/>
      <color rgb="FF0000FF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vertAlign val="superscript"/>
      <sz val="11"/>
      <name val="宋体"/>
      <family val="3"/>
      <charset val="134"/>
      <scheme val="minor"/>
    </font>
    <font>
      <b/>
      <vertAlign val="superscript"/>
      <sz val="11"/>
      <color rgb="FF0000FF"/>
      <name val="宋体"/>
      <family val="3"/>
      <charset val="134"/>
      <scheme val="minor"/>
    </font>
    <font>
      <b/>
      <vertAlign val="superscript"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7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0" fillId="0" borderId="0" xfId="0" applyFill="1">
      <alignment vertical="center"/>
    </xf>
    <xf numFmtId="0" fontId="7" fillId="0" borderId="0" xfId="0" applyFont="1" applyFill="1">
      <alignment vertical="center"/>
    </xf>
    <xf numFmtId="0" fontId="16" fillId="0" borderId="0" xfId="0" applyFont="1" applyFill="1">
      <alignment vertical="center"/>
    </xf>
    <xf numFmtId="0" fontId="16" fillId="3" borderId="0" xfId="0" applyFont="1" applyFill="1">
      <alignment vertical="center"/>
    </xf>
    <xf numFmtId="0" fontId="17" fillId="3" borderId="0" xfId="0" applyFont="1" applyFill="1">
      <alignment vertical="center"/>
    </xf>
    <xf numFmtId="0" fontId="21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6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16" fillId="3" borderId="1" xfId="0" applyFont="1" applyFill="1" applyBorder="1">
      <alignment vertical="center"/>
    </xf>
    <xf numFmtId="0" fontId="16" fillId="3" borderId="1" xfId="0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7" fillId="3" borderId="1" xfId="0" applyFont="1" applyFill="1" applyBorder="1">
      <alignment vertical="center"/>
    </xf>
    <xf numFmtId="0" fontId="17" fillId="3" borderId="1" xfId="0" applyFont="1" applyFill="1" applyBorder="1" applyAlignment="1">
      <alignment horizontal="center" vertical="center"/>
    </xf>
    <xf numFmtId="0" fontId="16" fillId="0" borderId="1" xfId="0" applyFont="1" applyFill="1" applyBorder="1">
      <alignment vertical="center"/>
    </xf>
    <xf numFmtId="0" fontId="16" fillId="0" borderId="1" xfId="0" applyFont="1" applyFill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0" fillId="0" borderId="0" xfId="0" applyFill="1" applyBorder="1">
      <alignment vertical="center"/>
    </xf>
    <xf numFmtId="0" fontId="10" fillId="0" borderId="0" xfId="0" applyFont="1" applyFill="1">
      <alignment vertical="center"/>
    </xf>
    <xf numFmtId="0" fontId="17" fillId="0" borderId="1" xfId="0" applyFont="1" applyFill="1" applyBorder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10" fillId="0" borderId="1" xfId="0" applyFont="1" applyFill="1" applyBorder="1">
      <alignment vertical="center"/>
    </xf>
    <xf numFmtId="0" fontId="1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14" fillId="3" borderId="1" xfId="0" applyFont="1" applyFill="1" applyBorder="1">
      <alignment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0" xfId="0" applyFont="1" applyFill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5" borderId="1" xfId="0" applyFont="1" applyFill="1" applyBorder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>
      <alignment vertical="center"/>
    </xf>
    <xf numFmtId="0" fontId="24" fillId="6" borderId="1" xfId="0" applyFont="1" applyFill="1" applyBorder="1">
      <alignment vertical="center"/>
    </xf>
    <xf numFmtId="0" fontId="24" fillId="6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14" fillId="0" borderId="1" xfId="0" applyFont="1" applyFill="1" applyBorder="1">
      <alignment vertical="center"/>
    </xf>
    <xf numFmtId="0" fontId="5" fillId="0" borderId="0" xfId="0" applyFont="1" applyAlignment="1">
      <alignment horizontal="center" vertical="center"/>
    </xf>
    <xf numFmtId="0" fontId="16" fillId="0" borderId="1" xfId="0" applyFont="1" applyBorder="1">
      <alignment vertical="center"/>
    </xf>
    <xf numFmtId="0" fontId="16" fillId="0" borderId="0" xfId="0" applyFo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0" xfId="0" applyFont="1" applyFill="1">
      <alignment vertical="center"/>
    </xf>
    <xf numFmtId="0" fontId="16" fillId="0" borderId="0" xfId="0" applyFont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26" fillId="0" borderId="0" xfId="0" applyFont="1" applyFill="1">
      <alignment vertical="center"/>
    </xf>
    <xf numFmtId="0" fontId="27" fillId="3" borderId="0" xfId="0" applyFont="1" applyFill="1">
      <alignment vertical="center"/>
    </xf>
    <xf numFmtId="0" fontId="16" fillId="0" borderId="1" xfId="0" applyFont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24" fillId="6" borderId="0" xfId="0" applyFont="1" applyFill="1" applyBorder="1">
      <alignment vertical="center"/>
    </xf>
    <xf numFmtId="0" fontId="14" fillId="6" borderId="1" xfId="0" applyFont="1" applyFill="1" applyBorder="1">
      <alignment vertical="center"/>
    </xf>
    <xf numFmtId="0" fontId="14" fillId="6" borderId="1" xfId="0" applyFont="1" applyFill="1" applyBorder="1" applyAlignment="1">
      <alignment horizontal="center" vertical="center"/>
    </xf>
    <xf numFmtId="0" fontId="7" fillId="6" borderId="1" xfId="0" applyFont="1" applyFill="1" applyBorder="1">
      <alignment vertical="center"/>
    </xf>
    <xf numFmtId="0" fontId="7" fillId="6" borderId="0" xfId="0" applyFont="1" applyFill="1">
      <alignment vertical="center"/>
    </xf>
    <xf numFmtId="0" fontId="17" fillId="0" borderId="1" xfId="0" applyFont="1" applyBorder="1" applyAlignment="1">
      <alignment horizontal="center" vertical="center" shrinkToFit="1"/>
    </xf>
    <xf numFmtId="0" fontId="16" fillId="2" borderId="1" xfId="0" applyFont="1" applyFill="1" applyBorder="1">
      <alignment vertical="center"/>
    </xf>
    <xf numFmtId="0" fontId="17" fillId="2" borderId="1" xfId="0" applyFont="1" applyFill="1" applyBorder="1">
      <alignment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6" fillId="0" borderId="5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X401"/>
  <sheetViews>
    <sheetView tabSelected="1" view="pageBreakPreview" topLeftCell="A238" zoomScaleSheetLayoutView="100" workbookViewId="0">
      <selection activeCell="G17" sqref="G17"/>
    </sheetView>
  </sheetViews>
  <sheetFormatPr defaultRowHeight="13.5"/>
  <cols>
    <col min="1" max="1" width="62.25" style="11" customWidth="1"/>
    <col min="2" max="3" width="12.625" style="10" customWidth="1"/>
    <col min="4" max="4" width="12.625" style="24" customWidth="1"/>
    <col min="5" max="5" width="10.625" style="10" customWidth="1"/>
    <col min="6" max="11" width="12.625" style="39" customWidth="1"/>
    <col min="12" max="12" width="15.125" style="11" customWidth="1"/>
    <col min="13" max="13" width="17.25" style="4" customWidth="1"/>
    <col min="14" max="19" width="9" style="4"/>
  </cols>
  <sheetData>
    <row r="1" spans="1:19" ht="24.95" customHeight="1">
      <c r="A1" s="9" t="s">
        <v>300</v>
      </c>
      <c r="B1" s="89" t="s">
        <v>269</v>
      </c>
      <c r="C1" s="90"/>
      <c r="D1" s="90"/>
      <c r="E1" s="91"/>
      <c r="F1" s="86" t="s">
        <v>270</v>
      </c>
      <c r="G1" s="86" t="s">
        <v>272</v>
      </c>
      <c r="H1" s="86" t="s">
        <v>271</v>
      </c>
      <c r="I1" s="86" t="s">
        <v>273</v>
      </c>
      <c r="J1" s="86" t="s">
        <v>274</v>
      </c>
      <c r="K1" s="86"/>
    </row>
    <row r="2" spans="1:19" ht="20.100000000000001" customHeight="1">
      <c r="A2" s="9" t="s">
        <v>120</v>
      </c>
      <c r="B2" s="79" t="s">
        <v>260</v>
      </c>
      <c r="C2" s="79" t="s">
        <v>261</v>
      </c>
      <c r="D2" s="79" t="s">
        <v>259</v>
      </c>
      <c r="E2" s="12" t="s">
        <v>263</v>
      </c>
      <c r="F2" s="40" t="s">
        <v>262</v>
      </c>
      <c r="G2" s="40" t="s">
        <v>265</v>
      </c>
      <c r="H2" s="40" t="s">
        <v>266</v>
      </c>
      <c r="I2" s="40" t="s">
        <v>267</v>
      </c>
      <c r="J2" s="40" t="s">
        <v>268</v>
      </c>
      <c r="K2" s="40"/>
    </row>
    <row r="3" spans="1:19" ht="20.100000000000001" customHeight="1">
      <c r="A3" s="87" t="s">
        <v>304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9" ht="20.100000000000001" customHeight="1">
      <c r="A4" s="13" t="s">
        <v>1</v>
      </c>
      <c r="B4" s="14">
        <v>120</v>
      </c>
      <c r="C4" s="14">
        <v>120</v>
      </c>
      <c r="D4" s="14">
        <v>120</v>
      </c>
      <c r="E4" s="14">
        <v>120</v>
      </c>
      <c r="F4" s="14">
        <v>120</v>
      </c>
      <c r="G4" s="14">
        <v>120</v>
      </c>
      <c r="H4" s="14">
        <v>90</v>
      </c>
      <c r="I4" s="14">
        <v>90</v>
      </c>
      <c r="J4" s="14">
        <v>90</v>
      </c>
      <c r="K4" s="14">
        <v>90</v>
      </c>
    </row>
    <row r="5" spans="1:19" ht="20.100000000000001" customHeight="1">
      <c r="A5" s="13" t="s">
        <v>3</v>
      </c>
      <c r="B5" s="14">
        <v>150</v>
      </c>
      <c r="C5" s="14">
        <v>150</v>
      </c>
      <c r="D5" s="14">
        <v>150</v>
      </c>
      <c r="E5" s="14">
        <v>120</v>
      </c>
      <c r="F5" s="14">
        <v>150</v>
      </c>
      <c r="G5" s="14">
        <v>130</v>
      </c>
      <c r="H5" s="14">
        <v>90</v>
      </c>
      <c r="I5" s="14">
        <v>90</v>
      </c>
      <c r="J5" s="14">
        <v>90</v>
      </c>
      <c r="K5" s="14">
        <v>90</v>
      </c>
    </row>
    <row r="6" spans="1:19" s="1" customFormat="1" ht="20.100000000000001" customHeight="1">
      <c r="A6" s="33" t="s">
        <v>107</v>
      </c>
      <c r="B6" s="27">
        <f t="shared" ref="B6:J6" si="0">B5</f>
        <v>150</v>
      </c>
      <c r="C6" s="27">
        <f t="shared" si="0"/>
        <v>150</v>
      </c>
      <c r="D6" s="27">
        <f t="shared" si="0"/>
        <v>150</v>
      </c>
      <c r="E6" s="27">
        <f t="shared" si="0"/>
        <v>120</v>
      </c>
      <c r="F6" s="27">
        <f t="shared" si="0"/>
        <v>150</v>
      </c>
      <c r="G6" s="27">
        <f t="shared" si="0"/>
        <v>130</v>
      </c>
      <c r="H6" s="27">
        <f t="shared" si="0"/>
        <v>90</v>
      </c>
      <c r="I6" s="27">
        <f t="shared" si="0"/>
        <v>90</v>
      </c>
      <c r="J6" s="27">
        <f t="shared" si="0"/>
        <v>90</v>
      </c>
      <c r="K6" s="27">
        <f t="shared" ref="K6" si="1">K5</f>
        <v>90</v>
      </c>
      <c r="L6" s="20"/>
      <c r="M6" s="5"/>
      <c r="N6" s="5"/>
      <c r="O6" s="5"/>
      <c r="P6" s="5"/>
      <c r="Q6" s="5"/>
      <c r="R6" s="5"/>
      <c r="S6" s="5"/>
    </row>
    <row r="7" spans="1:19" ht="20.100000000000001" customHeight="1">
      <c r="A7" s="13" t="s">
        <v>102</v>
      </c>
      <c r="B7" s="76">
        <v>0.90100000000000002</v>
      </c>
      <c r="C7" s="76">
        <v>0.95499999999999996</v>
      </c>
      <c r="D7" s="14">
        <v>0.87150000000000005</v>
      </c>
      <c r="E7" s="76">
        <v>0.95499999999999996</v>
      </c>
      <c r="F7" s="14">
        <v>0.95499999999999996</v>
      </c>
      <c r="G7" s="14">
        <v>0.84599999999999997</v>
      </c>
      <c r="H7" s="14">
        <v>0.99099999999999999</v>
      </c>
      <c r="I7" s="14">
        <v>0.95499999999999996</v>
      </c>
      <c r="J7" s="14">
        <v>0.99099999999999999</v>
      </c>
      <c r="K7" s="14">
        <v>0.99099999999999999</v>
      </c>
      <c r="L7" s="23"/>
    </row>
    <row r="8" spans="1:19" ht="20.100000000000001" customHeight="1">
      <c r="A8" s="22" t="s">
        <v>101</v>
      </c>
      <c r="B8" s="76">
        <v>130</v>
      </c>
      <c r="C8" s="76">
        <v>150</v>
      </c>
      <c r="D8" s="76">
        <v>150</v>
      </c>
      <c r="E8" s="76">
        <v>150</v>
      </c>
      <c r="F8" s="76">
        <v>150</v>
      </c>
      <c r="G8" s="76">
        <v>120</v>
      </c>
      <c r="H8" s="76">
        <v>90</v>
      </c>
      <c r="I8" s="76">
        <v>90</v>
      </c>
      <c r="J8" s="76">
        <v>90</v>
      </c>
      <c r="K8" s="76">
        <v>90</v>
      </c>
      <c r="L8" s="24"/>
    </row>
    <row r="9" spans="1:19" ht="20.100000000000001" customHeight="1">
      <c r="A9" s="22" t="s">
        <v>49</v>
      </c>
      <c r="B9" s="76">
        <v>130</v>
      </c>
      <c r="C9" s="76">
        <v>150</v>
      </c>
      <c r="D9" s="76">
        <v>150</v>
      </c>
      <c r="E9" s="76">
        <v>150</v>
      </c>
      <c r="F9" s="76">
        <v>150</v>
      </c>
      <c r="G9" s="76">
        <v>120</v>
      </c>
      <c r="H9" s="76">
        <v>90</v>
      </c>
      <c r="I9" s="76">
        <v>90</v>
      </c>
      <c r="J9" s="76">
        <v>90</v>
      </c>
      <c r="K9" s="76">
        <v>90</v>
      </c>
      <c r="L9" s="23"/>
    </row>
    <row r="10" spans="1:19" ht="20.100000000000001" customHeight="1">
      <c r="A10" s="13" t="s">
        <v>18</v>
      </c>
      <c r="B10" s="76">
        <f>15.9/B7*10^(-6)</f>
        <v>1.7647058823529414E-5</v>
      </c>
      <c r="C10" s="76">
        <f>79.2/C7*10^(-6)</f>
        <v>8.2931937172774873E-5</v>
      </c>
      <c r="D10" s="76">
        <f>15.5/D7*10^(-6)</f>
        <v>1.7785427423981642E-5</v>
      </c>
      <c r="E10" s="76">
        <f>79.2/E7*10^(-6)</f>
        <v>8.2931937172774873E-5</v>
      </c>
      <c r="F10" s="76">
        <f>79.2/F7*10^(-6)</f>
        <v>8.2931937172774873E-5</v>
      </c>
      <c r="G10" s="76">
        <f>4.62/G7*10^(-6)</f>
        <v>5.4609929078014191E-6</v>
      </c>
      <c r="H10" s="76">
        <f>9.09/H7*10^(-6)</f>
        <v>9.17255297679112E-6</v>
      </c>
      <c r="I10" s="76">
        <f>79.2/I7*10^(-6)</f>
        <v>8.2931937172774873E-5</v>
      </c>
      <c r="J10" s="76">
        <f>80.3/J7*10^(-6)</f>
        <v>8.1029263370332988E-5</v>
      </c>
      <c r="K10" s="76">
        <f>80.3/K7*10^(-6)</f>
        <v>8.1029263370332988E-5</v>
      </c>
    </row>
    <row r="11" spans="1:19" ht="20.100000000000001" customHeight="1">
      <c r="A11" s="22" t="s">
        <v>50</v>
      </c>
      <c r="B11" s="76">
        <v>100</v>
      </c>
      <c r="C11" s="76">
        <v>100</v>
      </c>
      <c r="D11" s="76">
        <v>100</v>
      </c>
      <c r="E11" s="76">
        <v>100</v>
      </c>
      <c r="F11" s="76">
        <v>100</v>
      </c>
      <c r="G11" s="76">
        <v>100</v>
      </c>
      <c r="H11" s="76">
        <v>100</v>
      </c>
      <c r="I11" s="76">
        <v>100</v>
      </c>
      <c r="J11" s="76">
        <v>100</v>
      </c>
      <c r="K11" s="76">
        <v>100</v>
      </c>
      <c r="P11" s="4" t="s">
        <v>135</v>
      </c>
    </row>
    <row r="12" spans="1:19" ht="20.100000000000001" customHeight="1">
      <c r="A12" s="13" t="s">
        <v>19</v>
      </c>
      <c r="B12" s="76">
        <f>30/B7*10^(-6)</f>
        <v>3.3296337402885681E-5</v>
      </c>
      <c r="C12" s="76">
        <f>200/C7*10^(-6)</f>
        <v>2.094240837696335E-4</v>
      </c>
      <c r="D12" s="76">
        <f>30/D7*10^(-6)</f>
        <v>3.4423407917383816E-5</v>
      </c>
      <c r="E12" s="76">
        <f>200/E7*10^(-6)</f>
        <v>2.094240837696335E-4</v>
      </c>
      <c r="F12" s="76">
        <f>200/F7*10^(-6)</f>
        <v>2.094240837696335E-4</v>
      </c>
      <c r="G12" s="76">
        <f>8/G7*10^(-6)</f>
        <v>9.4562647754137106E-6</v>
      </c>
      <c r="H12" s="76">
        <f>8/H7*10^(-6)</f>
        <v>8.0726538849646814E-6</v>
      </c>
      <c r="I12" s="76">
        <f>70/I7*10^(-6)</f>
        <v>7.3298429319371735E-5</v>
      </c>
      <c r="J12" s="76">
        <f>70/J7*10^(-6)</f>
        <v>7.0635721493440964E-5</v>
      </c>
      <c r="K12" s="76">
        <f>70/K7*10^(-6)</f>
        <v>7.0635721493440964E-5</v>
      </c>
    </row>
    <row r="13" spans="1:19" ht="20.100000000000001" customHeight="1">
      <c r="A13" s="22" t="s">
        <v>122</v>
      </c>
      <c r="B13" s="28">
        <f>15*24</f>
        <v>360</v>
      </c>
      <c r="C13" s="28">
        <f t="shared" ref="C13:F13" si="2">15*24</f>
        <v>360</v>
      </c>
      <c r="D13" s="28">
        <f t="shared" si="2"/>
        <v>360</v>
      </c>
      <c r="E13" s="28">
        <v>9.9999999999999995E-8</v>
      </c>
      <c r="F13" s="28">
        <f t="shared" si="2"/>
        <v>360</v>
      </c>
      <c r="G13" s="28">
        <f>8*24</f>
        <v>192</v>
      </c>
      <c r="H13" s="28">
        <v>9.9999999999999995E-8</v>
      </c>
      <c r="I13" s="28">
        <v>9.9999999999999995E-8</v>
      </c>
      <c r="J13" s="28">
        <v>9.9999999999999995E-8</v>
      </c>
      <c r="K13" s="28">
        <v>9.9999999999999995E-8</v>
      </c>
      <c r="L13" s="25"/>
    </row>
    <row r="14" spans="1:19" ht="20.100000000000001" customHeight="1">
      <c r="A14" s="87" t="s">
        <v>305</v>
      </c>
      <c r="B14" s="28"/>
      <c r="C14" s="28"/>
      <c r="D14" s="14"/>
      <c r="E14" s="28"/>
      <c r="F14" s="14"/>
      <c r="G14" s="14"/>
      <c r="H14" s="14"/>
      <c r="I14" s="14"/>
      <c r="J14" s="14"/>
      <c r="K14" s="14"/>
      <c r="L14" s="25"/>
    </row>
    <row r="15" spans="1:19" ht="20.100000000000001" customHeight="1">
      <c r="A15" s="13" t="s">
        <v>34</v>
      </c>
      <c r="B15" s="28">
        <v>37</v>
      </c>
      <c r="C15" s="28">
        <v>37</v>
      </c>
      <c r="D15" s="14">
        <v>37</v>
      </c>
      <c r="E15" s="28">
        <v>37</v>
      </c>
      <c r="F15" s="14">
        <v>28</v>
      </c>
      <c r="G15" s="14">
        <v>28</v>
      </c>
      <c r="H15" s="14">
        <v>17</v>
      </c>
      <c r="I15" s="14">
        <v>20</v>
      </c>
      <c r="J15" s="14">
        <v>20</v>
      </c>
      <c r="K15" s="14">
        <v>20</v>
      </c>
    </row>
    <row r="16" spans="1:19" s="1" customFormat="1" ht="20.100000000000001" customHeight="1">
      <c r="A16" s="26" t="s">
        <v>264</v>
      </c>
      <c r="B16" s="27">
        <f t="shared" ref="B16:J16" si="3">B15</f>
        <v>37</v>
      </c>
      <c r="C16" s="27">
        <f t="shared" si="3"/>
        <v>37</v>
      </c>
      <c r="D16" s="27">
        <f t="shared" si="3"/>
        <v>37</v>
      </c>
      <c r="E16" s="27">
        <f t="shared" si="3"/>
        <v>37</v>
      </c>
      <c r="F16" s="27">
        <f t="shared" si="3"/>
        <v>28</v>
      </c>
      <c r="G16" s="27">
        <f t="shared" si="3"/>
        <v>28</v>
      </c>
      <c r="H16" s="27">
        <f t="shared" si="3"/>
        <v>17</v>
      </c>
      <c r="I16" s="27">
        <f t="shared" si="3"/>
        <v>20</v>
      </c>
      <c r="J16" s="27">
        <f t="shared" si="3"/>
        <v>20</v>
      </c>
      <c r="K16" s="27">
        <f t="shared" ref="K16" si="4">K15</f>
        <v>20</v>
      </c>
      <c r="L16" s="20"/>
      <c r="M16" s="5"/>
      <c r="N16" s="5"/>
      <c r="O16" s="5"/>
      <c r="P16" s="5"/>
      <c r="Q16" s="5"/>
      <c r="R16" s="5"/>
      <c r="S16" s="5"/>
    </row>
    <row r="17" spans="1:19" ht="20.100000000000001" customHeight="1">
      <c r="A17" s="13" t="s">
        <v>63</v>
      </c>
      <c r="B17" s="28">
        <v>20.100000000000001</v>
      </c>
      <c r="C17" s="28">
        <v>20.100000000000001</v>
      </c>
      <c r="D17" s="14">
        <v>20.100000000000001</v>
      </c>
      <c r="E17" s="28">
        <v>20.100000000000001</v>
      </c>
      <c r="F17" s="14">
        <v>16.899999999999999</v>
      </c>
      <c r="G17" s="14">
        <v>16.899999999999999</v>
      </c>
      <c r="H17" s="14">
        <v>15.84</v>
      </c>
      <c r="I17" s="14">
        <v>16.079999999999998</v>
      </c>
      <c r="J17" s="14">
        <v>16.079999999999998</v>
      </c>
      <c r="K17" s="14">
        <v>16.079999999999998</v>
      </c>
    </row>
    <row r="18" spans="1:19" ht="20.100000000000001" customHeight="1">
      <c r="A18" s="13" t="s">
        <v>62</v>
      </c>
      <c r="B18" s="28">
        <v>0.9</v>
      </c>
      <c r="C18" s="28">
        <v>0.9</v>
      </c>
      <c r="D18" s="14">
        <v>0.9</v>
      </c>
      <c r="E18" s="28">
        <v>0.9</v>
      </c>
      <c r="F18" s="14">
        <v>0.9</v>
      </c>
      <c r="G18" s="14">
        <v>0.9</v>
      </c>
      <c r="H18" s="14">
        <v>0.9</v>
      </c>
      <c r="I18" s="14">
        <v>0.9</v>
      </c>
      <c r="J18" s="14">
        <v>0.9</v>
      </c>
      <c r="K18" s="14">
        <v>0.9</v>
      </c>
    </row>
    <row r="19" spans="1:19" s="1" customFormat="1" ht="20.100000000000001" customHeight="1">
      <c r="A19" s="26" t="s">
        <v>121</v>
      </c>
      <c r="B19" s="27">
        <f t="shared" ref="B19:J19" si="5">1.2*B15</f>
        <v>44.4</v>
      </c>
      <c r="C19" s="27">
        <f t="shared" si="5"/>
        <v>44.4</v>
      </c>
      <c r="D19" s="27">
        <f t="shared" si="5"/>
        <v>44.4</v>
      </c>
      <c r="E19" s="27">
        <f t="shared" si="5"/>
        <v>44.4</v>
      </c>
      <c r="F19" s="27">
        <f t="shared" si="5"/>
        <v>33.6</v>
      </c>
      <c r="G19" s="27">
        <f t="shared" si="5"/>
        <v>33.6</v>
      </c>
      <c r="H19" s="27">
        <f t="shared" si="5"/>
        <v>20.399999999999999</v>
      </c>
      <c r="I19" s="27">
        <f t="shared" si="5"/>
        <v>24</v>
      </c>
      <c r="J19" s="27">
        <f t="shared" si="5"/>
        <v>24</v>
      </c>
      <c r="K19" s="27">
        <f t="shared" ref="K19" si="6">1.2*K15</f>
        <v>24</v>
      </c>
      <c r="L19" s="80"/>
      <c r="M19" s="5"/>
      <c r="N19" s="5"/>
      <c r="O19" s="5"/>
      <c r="P19" s="5"/>
      <c r="Q19" s="5"/>
      <c r="R19" s="5"/>
      <c r="S19" s="5"/>
    </row>
    <row r="20" spans="1:19" s="20" customFormat="1" ht="20.100000000000001" customHeight="1">
      <c r="A20" s="26" t="s">
        <v>277</v>
      </c>
      <c r="B20" s="26">
        <f t="shared" ref="B20:J20" si="7">1.2*B15-((1.2*B15)^2-(B15/2)^2)^0.5</f>
        <v>4.0377651758478592</v>
      </c>
      <c r="C20" s="26">
        <f t="shared" si="7"/>
        <v>4.0377651758478592</v>
      </c>
      <c r="D20" s="27">
        <f t="shared" si="7"/>
        <v>4.0377651758478592</v>
      </c>
      <c r="E20" s="26">
        <f t="shared" si="7"/>
        <v>4.0377651758478592</v>
      </c>
      <c r="F20" s="26">
        <f t="shared" si="7"/>
        <v>3.0556060790200021</v>
      </c>
      <c r="G20" s="26">
        <f t="shared" si="7"/>
        <v>3.0556060790200021</v>
      </c>
      <c r="H20" s="26">
        <f t="shared" si="7"/>
        <v>1.8551894051192832</v>
      </c>
      <c r="I20" s="26">
        <f t="shared" si="7"/>
        <v>2.1825757707285725</v>
      </c>
      <c r="J20" s="26">
        <f t="shared" si="7"/>
        <v>2.1825757707285725</v>
      </c>
      <c r="K20" s="26">
        <f t="shared" ref="K20" si="8">1.2*K15-((1.2*K15)^2-(K15/2)^2)^0.5</f>
        <v>2.1825757707285725</v>
      </c>
      <c r="Q20" s="5"/>
    </row>
    <row r="21" spans="1:19" ht="20.100000000000001" customHeight="1">
      <c r="A21" s="22" t="s">
        <v>77</v>
      </c>
      <c r="B21" s="34">
        <v>8.8999999999999996E-2</v>
      </c>
      <c r="C21" s="34">
        <v>8.8999999999999996E-2</v>
      </c>
      <c r="D21" s="14">
        <v>8.8999999999999996E-2</v>
      </c>
      <c r="E21" s="34">
        <v>8.8999999999999996E-2</v>
      </c>
      <c r="F21" s="14">
        <v>8.8999999999999996E-2</v>
      </c>
      <c r="G21" s="14">
        <v>8.8999999999999996E-2</v>
      </c>
      <c r="H21" s="14">
        <v>8.8999999999999996E-2</v>
      </c>
      <c r="I21" s="14">
        <v>8.8999999999999996E-2</v>
      </c>
      <c r="J21" s="14">
        <v>8.8999999999999996E-2</v>
      </c>
      <c r="K21" s="14">
        <v>8.8999999999999996E-2</v>
      </c>
      <c r="L21" s="25"/>
    </row>
    <row r="22" spans="1:19" s="1" customFormat="1" ht="20.100000000000001" customHeight="1">
      <c r="A22" s="26" t="s">
        <v>134</v>
      </c>
      <c r="B22" s="27">
        <v>1.6999999999999999E-3</v>
      </c>
      <c r="C22" s="27">
        <v>1.6999999999999999E-3</v>
      </c>
      <c r="D22" s="27">
        <v>1.6999999999999999E-3</v>
      </c>
      <c r="E22" s="27">
        <v>1.6999999999999999E-3</v>
      </c>
      <c r="F22" s="27">
        <v>1.6999999999999999E-3</v>
      </c>
      <c r="G22" s="27">
        <v>1.6999999999999999E-3</v>
      </c>
      <c r="H22" s="27">
        <v>1.6999999999999999E-3</v>
      </c>
      <c r="I22" s="27">
        <v>1.6999999999999999E-3</v>
      </c>
      <c r="J22" s="27">
        <v>1.6999999999999999E-3</v>
      </c>
      <c r="K22" s="27">
        <v>1.6999999999999999E-3</v>
      </c>
      <c r="L22" s="20" t="s">
        <v>278</v>
      </c>
      <c r="M22" s="5"/>
      <c r="N22" s="5"/>
      <c r="O22" s="5"/>
      <c r="P22" s="5"/>
      <c r="Q22" s="5"/>
      <c r="R22" s="5"/>
      <c r="S22" s="5"/>
    </row>
    <row r="23" spans="1:19" ht="20.100000000000001" customHeight="1">
      <c r="A23" s="37" t="s">
        <v>123</v>
      </c>
      <c r="B23" s="34">
        <v>0.1</v>
      </c>
      <c r="C23" s="34">
        <v>0.1</v>
      </c>
      <c r="D23" s="14">
        <v>0.1</v>
      </c>
      <c r="E23" s="34">
        <v>0.1</v>
      </c>
      <c r="F23" s="14">
        <v>0.1</v>
      </c>
      <c r="G23" s="14">
        <v>0.1</v>
      </c>
      <c r="H23" s="14">
        <v>0.08</v>
      </c>
      <c r="I23" s="14">
        <v>0.08</v>
      </c>
      <c r="J23" s="14">
        <v>0.08</v>
      </c>
      <c r="K23" s="14">
        <v>0.08</v>
      </c>
      <c r="L23" s="23"/>
    </row>
    <row r="24" spans="1:19" ht="20.100000000000001" customHeight="1">
      <c r="A24" s="22" t="s">
        <v>124</v>
      </c>
      <c r="B24" s="28">
        <f>0.041*0.8598</f>
        <v>3.52518E-2</v>
      </c>
      <c r="C24" s="28">
        <f t="shared" ref="C24:K24" si="9">0.041*0.8598</f>
        <v>3.52518E-2</v>
      </c>
      <c r="D24" s="28">
        <f t="shared" si="9"/>
        <v>3.52518E-2</v>
      </c>
      <c r="E24" s="28">
        <f t="shared" si="9"/>
        <v>3.52518E-2</v>
      </c>
      <c r="F24" s="28">
        <f t="shared" si="9"/>
        <v>3.52518E-2</v>
      </c>
      <c r="G24" s="28">
        <f t="shared" si="9"/>
        <v>3.52518E-2</v>
      </c>
      <c r="H24" s="28">
        <f t="shared" si="9"/>
        <v>3.52518E-2</v>
      </c>
      <c r="I24" s="28">
        <f t="shared" si="9"/>
        <v>3.52518E-2</v>
      </c>
      <c r="J24" s="28">
        <f t="shared" si="9"/>
        <v>3.52518E-2</v>
      </c>
      <c r="K24" s="28">
        <f t="shared" si="9"/>
        <v>3.52518E-2</v>
      </c>
      <c r="L24" s="23"/>
    </row>
    <row r="25" spans="1:19" s="2" customFormat="1" ht="20.100000000000001" customHeight="1">
      <c r="A25" s="22" t="s">
        <v>125</v>
      </c>
      <c r="B25" s="34">
        <v>0.1</v>
      </c>
      <c r="C25" s="34">
        <v>0.1</v>
      </c>
      <c r="D25" s="14">
        <v>0.1</v>
      </c>
      <c r="E25" s="34">
        <v>0.1</v>
      </c>
      <c r="F25" s="34">
        <v>0.1</v>
      </c>
      <c r="G25" s="34">
        <v>0.1</v>
      </c>
      <c r="H25" s="14">
        <v>0.08</v>
      </c>
      <c r="I25" s="14">
        <v>0.08</v>
      </c>
      <c r="J25" s="14">
        <v>0.08</v>
      </c>
      <c r="K25" s="14">
        <v>0.08</v>
      </c>
      <c r="L25" s="35"/>
      <c r="M25" s="41"/>
      <c r="N25" s="41"/>
      <c r="O25" s="41"/>
      <c r="P25" s="41"/>
      <c r="Q25" s="4"/>
      <c r="R25" s="41"/>
      <c r="S25" s="41"/>
    </row>
    <row r="26" spans="1:19" s="1" customFormat="1" ht="20.100000000000001" customHeight="1">
      <c r="A26" s="26" t="s">
        <v>90</v>
      </c>
      <c r="B26" s="27">
        <f t="shared" ref="B26:J26" si="10">B24</f>
        <v>3.52518E-2</v>
      </c>
      <c r="C26" s="27">
        <f t="shared" si="10"/>
        <v>3.52518E-2</v>
      </c>
      <c r="D26" s="27">
        <f t="shared" si="10"/>
        <v>3.52518E-2</v>
      </c>
      <c r="E26" s="27">
        <f t="shared" si="10"/>
        <v>3.52518E-2</v>
      </c>
      <c r="F26" s="27">
        <f t="shared" si="10"/>
        <v>3.52518E-2</v>
      </c>
      <c r="G26" s="27">
        <f t="shared" si="10"/>
        <v>3.52518E-2</v>
      </c>
      <c r="H26" s="27">
        <f t="shared" si="10"/>
        <v>3.52518E-2</v>
      </c>
      <c r="I26" s="27">
        <f t="shared" si="10"/>
        <v>3.52518E-2</v>
      </c>
      <c r="J26" s="27">
        <f t="shared" si="10"/>
        <v>3.52518E-2</v>
      </c>
      <c r="K26" s="27">
        <f t="shared" ref="K26" si="11">K24</f>
        <v>3.52518E-2</v>
      </c>
      <c r="L26" s="20"/>
      <c r="M26" s="5"/>
      <c r="N26" s="5"/>
      <c r="O26" s="5"/>
      <c r="P26" s="5"/>
      <c r="Q26" s="5"/>
      <c r="R26" s="5"/>
      <c r="S26" s="5"/>
    </row>
    <row r="27" spans="1:19" ht="20.100000000000001" customHeight="1">
      <c r="A27" s="13" t="s">
        <v>46</v>
      </c>
      <c r="B27" s="14">
        <v>0.96</v>
      </c>
      <c r="C27" s="14">
        <v>0.96</v>
      </c>
      <c r="D27" s="14">
        <v>0.96</v>
      </c>
      <c r="E27" s="14">
        <v>0.96</v>
      </c>
      <c r="F27" s="14">
        <v>0.96</v>
      </c>
      <c r="G27" s="14">
        <v>0.96</v>
      </c>
      <c r="H27" s="14">
        <v>0.96</v>
      </c>
      <c r="I27" s="14">
        <v>0.96</v>
      </c>
      <c r="J27" s="14">
        <v>0.96</v>
      </c>
      <c r="K27" s="14">
        <v>0.96</v>
      </c>
    </row>
    <row r="28" spans="1:19" s="1" customFormat="1" ht="20.100000000000001" customHeight="1">
      <c r="A28" s="33" t="s">
        <v>108</v>
      </c>
      <c r="B28" s="27">
        <f t="shared" ref="B28:J28" si="12">B27</f>
        <v>0.96</v>
      </c>
      <c r="C28" s="27">
        <f t="shared" si="12"/>
        <v>0.96</v>
      </c>
      <c r="D28" s="27">
        <f t="shared" si="12"/>
        <v>0.96</v>
      </c>
      <c r="E28" s="27">
        <f t="shared" si="12"/>
        <v>0.96</v>
      </c>
      <c r="F28" s="27">
        <f t="shared" si="12"/>
        <v>0.96</v>
      </c>
      <c r="G28" s="27">
        <f t="shared" si="12"/>
        <v>0.96</v>
      </c>
      <c r="H28" s="27">
        <f t="shared" si="12"/>
        <v>0.96</v>
      </c>
      <c r="I28" s="27">
        <f t="shared" si="12"/>
        <v>0.96</v>
      </c>
      <c r="J28" s="27">
        <f t="shared" si="12"/>
        <v>0.96</v>
      </c>
      <c r="K28" s="27">
        <f t="shared" ref="K28" si="13">K27</f>
        <v>0.96</v>
      </c>
      <c r="L28" s="20"/>
      <c r="M28" s="5"/>
      <c r="N28" s="5"/>
      <c r="O28" s="5"/>
      <c r="P28" s="5"/>
      <c r="Q28" s="5"/>
      <c r="R28" s="5"/>
      <c r="S28" s="5"/>
    </row>
    <row r="29" spans="1:19" ht="20.100000000000001" customHeight="1">
      <c r="A29" s="88" t="s">
        <v>306</v>
      </c>
      <c r="B29" s="27"/>
      <c r="C29" s="27"/>
      <c r="D29" s="14"/>
      <c r="E29" s="27"/>
      <c r="F29" s="14"/>
      <c r="G29" s="14"/>
      <c r="H29" s="14"/>
      <c r="I29" s="14"/>
      <c r="J29" s="14"/>
      <c r="K29" s="14"/>
      <c r="L29" s="23"/>
    </row>
    <row r="30" spans="1:19" ht="20.100000000000001" customHeight="1">
      <c r="A30" s="13" t="s">
        <v>2</v>
      </c>
      <c r="B30" s="34">
        <v>-5</v>
      </c>
      <c r="C30" s="34">
        <v>-5</v>
      </c>
      <c r="D30" s="34">
        <v>-5</v>
      </c>
      <c r="E30" s="34">
        <v>-5</v>
      </c>
      <c r="F30" s="34">
        <v>-5</v>
      </c>
      <c r="G30" s="34">
        <v>-5</v>
      </c>
      <c r="H30" s="34">
        <v>-5</v>
      </c>
      <c r="I30" s="34">
        <v>-5</v>
      </c>
      <c r="J30" s="34">
        <v>-5</v>
      </c>
      <c r="K30" s="34">
        <v>-5</v>
      </c>
      <c r="L30" s="23"/>
    </row>
    <row r="31" spans="1:19" ht="20.100000000000001" customHeight="1">
      <c r="A31" s="22" t="s">
        <v>76</v>
      </c>
      <c r="B31" s="34">
        <v>-2.8</v>
      </c>
      <c r="C31" s="34">
        <v>-2.8</v>
      </c>
      <c r="D31" s="34">
        <v>-2.8</v>
      </c>
      <c r="E31" s="34">
        <v>-2.8</v>
      </c>
      <c r="F31" s="34">
        <v>-2.8</v>
      </c>
      <c r="G31" s="34">
        <v>-2.8</v>
      </c>
      <c r="H31" s="34">
        <v>-2.8</v>
      </c>
      <c r="I31" s="34">
        <v>-2.8</v>
      </c>
      <c r="J31" s="34">
        <v>-2.8</v>
      </c>
      <c r="K31" s="34">
        <v>-2.8</v>
      </c>
      <c r="L31" s="35"/>
    </row>
    <row r="32" spans="1:19" ht="20.100000000000001" customHeight="1">
      <c r="A32" s="13" t="s">
        <v>33</v>
      </c>
      <c r="B32" s="34">
        <v>2.2999999999999998</v>
      </c>
      <c r="C32" s="34">
        <v>2.2999999999999998</v>
      </c>
      <c r="D32" s="34">
        <v>2.2999999999999998</v>
      </c>
      <c r="E32" s="34">
        <v>2.2999999999999998</v>
      </c>
      <c r="F32" s="34">
        <v>2.2999999999999998</v>
      </c>
      <c r="G32" s="34">
        <v>2.2999999999999998</v>
      </c>
      <c r="H32" s="34">
        <v>2.2999999999999998</v>
      </c>
      <c r="I32" s="34">
        <v>2.2999999999999998</v>
      </c>
      <c r="J32" s="34">
        <v>2.2999999999999998</v>
      </c>
      <c r="K32" s="34">
        <v>2.2999999999999998</v>
      </c>
      <c r="L32" s="23"/>
    </row>
    <row r="33" spans="1:17" ht="20.100000000000001" customHeight="1">
      <c r="A33" s="22" t="s">
        <v>74</v>
      </c>
      <c r="B33" s="34">
        <v>1.4</v>
      </c>
      <c r="C33" s="34">
        <v>1.4</v>
      </c>
      <c r="D33" s="34">
        <v>1.4</v>
      </c>
      <c r="E33" s="34">
        <v>1.4</v>
      </c>
      <c r="F33" s="34">
        <v>1.4</v>
      </c>
      <c r="G33" s="34">
        <v>1.4</v>
      </c>
      <c r="H33" s="34">
        <v>1.4</v>
      </c>
      <c r="I33" s="34">
        <v>1.4</v>
      </c>
      <c r="J33" s="34">
        <v>1.4</v>
      </c>
      <c r="K33" s="34">
        <v>1.4</v>
      </c>
      <c r="L33" s="35" t="s">
        <v>99</v>
      </c>
      <c r="M33" s="77" t="s">
        <v>253</v>
      </c>
      <c r="N33" s="77"/>
    </row>
    <row r="34" spans="1:17" ht="20.100000000000001" customHeight="1">
      <c r="A34" s="87" t="s">
        <v>307</v>
      </c>
      <c r="B34" s="28"/>
      <c r="C34" s="28"/>
      <c r="D34" s="14"/>
      <c r="E34" s="28"/>
      <c r="F34" s="14"/>
      <c r="G34" s="14"/>
      <c r="H34" s="14"/>
      <c r="I34" s="14"/>
      <c r="J34" s="14"/>
      <c r="K34" s="14"/>
      <c r="L34" s="35"/>
    </row>
    <row r="35" spans="1:17" ht="20.100000000000001" customHeight="1">
      <c r="A35" s="22" t="s">
        <v>133</v>
      </c>
      <c r="B35" s="28">
        <v>1</v>
      </c>
      <c r="C35" s="28">
        <v>1</v>
      </c>
      <c r="D35" s="28">
        <v>1</v>
      </c>
      <c r="E35" s="28">
        <v>1</v>
      </c>
      <c r="F35" s="28">
        <v>1</v>
      </c>
      <c r="G35" s="28">
        <v>1</v>
      </c>
      <c r="H35" s="28">
        <v>1</v>
      </c>
      <c r="I35" s="28">
        <v>1</v>
      </c>
      <c r="J35" s="28">
        <v>1</v>
      </c>
      <c r="K35" s="28">
        <v>1</v>
      </c>
      <c r="L35" s="35"/>
    </row>
    <row r="36" spans="1:17" ht="20.100000000000001" customHeight="1">
      <c r="A36" s="22" t="s">
        <v>79</v>
      </c>
      <c r="B36" s="28">
        <v>184</v>
      </c>
      <c r="C36" s="28">
        <v>184</v>
      </c>
      <c r="D36" s="28">
        <v>184</v>
      </c>
      <c r="E36" s="28">
        <v>184</v>
      </c>
      <c r="F36" s="28">
        <v>184</v>
      </c>
      <c r="G36" s="28">
        <v>184</v>
      </c>
      <c r="H36" s="28">
        <v>184</v>
      </c>
      <c r="I36" s="28">
        <v>184</v>
      </c>
      <c r="J36" s="28">
        <v>184</v>
      </c>
      <c r="K36" s="28">
        <v>184</v>
      </c>
      <c r="L36" s="35"/>
    </row>
    <row r="37" spans="1:17" ht="20.100000000000001" customHeight="1">
      <c r="A37" s="22" t="s">
        <v>80</v>
      </c>
      <c r="B37" s="34">
        <v>184</v>
      </c>
      <c r="C37" s="34">
        <v>184</v>
      </c>
      <c r="D37" s="34">
        <v>184</v>
      </c>
      <c r="E37" s="34">
        <v>184</v>
      </c>
      <c r="F37" s="34">
        <v>184</v>
      </c>
      <c r="G37" s="34">
        <v>184</v>
      </c>
      <c r="H37" s="34">
        <v>184</v>
      </c>
      <c r="I37" s="34">
        <v>184</v>
      </c>
      <c r="J37" s="34">
        <v>184</v>
      </c>
      <c r="K37" s="34">
        <v>184</v>
      </c>
      <c r="L37" s="35"/>
    </row>
    <row r="38" spans="1:17" ht="20.100000000000001" customHeight="1">
      <c r="A38" s="22" t="s">
        <v>81</v>
      </c>
      <c r="B38" s="28">
        <f>664.3*4.1868</f>
        <v>2781.2912399999996</v>
      </c>
      <c r="C38" s="28">
        <f>664.3*4.1868</f>
        <v>2781.2912399999996</v>
      </c>
      <c r="D38" s="28">
        <f t="shared" ref="D38:K38" si="14">664.3*4.1868</f>
        <v>2781.2912399999996</v>
      </c>
      <c r="E38" s="28">
        <f t="shared" si="14"/>
        <v>2781.2912399999996</v>
      </c>
      <c r="F38" s="28">
        <f t="shared" si="14"/>
        <v>2781.2912399999996</v>
      </c>
      <c r="G38" s="28">
        <f t="shared" si="14"/>
        <v>2781.2912399999996</v>
      </c>
      <c r="H38" s="28">
        <f t="shared" si="14"/>
        <v>2781.2912399999996</v>
      </c>
      <c r="I38" s="28">
        <f t="shared" si="14"/>
        <v>2781.2912399999996</v>
      </c>
      <c r="J38" s="28">
        <f t="shared" si="14"/>
        <v>2781.2912399999996</v>
      </c>
      <c r="K38" s="28">
        <f t="shared" si="14"/>
        <v>2781.2912399999996</v>
      </c>
      <c r="L38" s="35" t="s">
        <v>249</v>
      </c>
    </row>
    <row r="39" spans="1:17" ht="20.100000000000001" customHeight="1">
      <c r="A39" s="22" t="s">
        <v>82</v>
      </c>
      <c r="B39" s="28">
        <f>186.5*4.1868</f>
        <v>780.83820000000003</v>
      </c>
      <c r="C39" s="28">
        <f>186.5*4.1868</f>
        <v>780.83820000000003</v>
      </c>
      <c r="D39" s="28">
        <f t="shared" ref="D39:K39" si="15">186.5*4.1868</f>
        <v>780.83820000000003</v>
      </c>
      <c r="E39" s="28">
        <f t="shared" si="15"/>
        <v>780.83820000000003</v>
      </c>
      <c r="F39" s="28">
        <f t="shared" si="15"/>
        <v>780.83820000000003</v>
      </c>
      <c r="G39" s="28">
        <f t="shared" si="15"/>
        <v>780.83820000000003</v>
      </c>
      <c r="H39" s="28">
        <f t="shared" si="15"/>
        <v>780.83820000000003</v>
      </c>
      <c r="I39" s="28">
        <f t="shared" si="15"/>
        <v>780.83820000000003</v>
      </c>
      <c r="J39" s="28">
        <f t="shared" si="15"/>
        <v>780.83820000000003</v>
      </c>
      <c r="K39" s="28">
        <f t="shared" si="15"/>
        <v>780.83820000000003</v>
      </c>
      <c r="L39" s="35" t="s">
        <v>250</v>
      </c>
    </row>
    <row r="40" spans="1:17" s="4" customFormat="1" ht="20.100000000000001" customHeight="1">
      <c r="A40" s="35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5"/>
    </row>
    <row r="41" spans="1:17" s="6" customFormat="1" ht="20.100000000000001" customHeight="1">
      <c r="A41" s="31" t="s">
        <v>151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1"/>
      <c r="Q41" s="4"/>
    </row>
    <row r="42" spans="1:17" s="3" customFormat="1" ht="20.100000000000001" customHeight="1">
      <c r="A42" s="18" t="s">
        <v>4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Q42" s="4"/>
    </row>
    <row r="43" spans="1:17" s="3" customFormat="1" ht="20.100000000000001" customHeight="1">
      <c r="A43" s="18" t="s">
        <v>208</v>
      </c>
      <c r="B43" s="21">
        <f>IF(B46&lt;2,B44,IF(B46&gt;2,B45))</f>
        <v>135</v>
      </c>
      <c r="C43" s="21">
        <f t="shared" ref="C43:F43" si="16">IF(C46&lt;2,C44,IF(C46&gt;2,C45))</f>
        <v>135</v>
      </c>
      <c r="D43" s="21">
        <f t="shared" si="16"/>
        <v>135</v>
      </c>
      <c r="E43" s="21">
        <f t="shared" ref="E43" si="17">IF(E46&lt;2,E44,IF(E46&gt;2,E45))</f>
        <v>120</v>
      </c>
      <c r="F43" s="21">
        <f t="shared" si="16"/>
        <v>135</v>
      </c>
      <c r="G43" s="21">
        <f t="shared" ref="G43:H43" si="18">IF(G46&lt;2,G44,IF(G46&gt;2,G45))</f>
        <v>125</v>
      </c>
      <c r="H43" s="21">
        <f t="shared" si="18"/>
        <v>90</v>
      </c>
      <c r="I43" s="21">
        <f t="shared" ref="I43:J43" si="19">IF(I46&lt;2,I44,IF(I46&gt;2,I45))</f>
        <v>90</v>
      </c>
      <c r="J43" s="21">
        <f t="shared" si="19"/>
        <v>90</v>
      </c>
      <c r="K43" s="21">
        <f t="shared" ref="K43" si="20">IF(K46&lt;2,K44,IF(K46&gt;2,K45))</f>
        <v>90</v>
      </c>
      <c r="L43" s="18"/>
      <c r="Q43" s="4"/>
    </row>
    <row r="44" spans="1:17" s="3" customFormat="1" ht="20.100000000000001" customHeight="1">
      <c r="A44" s="18" t="s">
        <v>5</v>
      </c>
      <c r="B44" s="21">
        <f t="shared" ref="B44:J44" si="21">(B47+B48)/2</f>
        <v>135</v>
      </c>
      <c r="C44" s="21">
        <f t="shared" si="21"/>
        <v>135</v>
      </c>
      <c r="D44" s="21">
        <f t="shared" si="21"/>
        <v>135</v>
      </c>
      <c r="E44" s="21">
        <f t="shared" si="21"/>
        <v>120</v>
      </c>
      <c r="F44" s="21">
        <f t="shared" si="21"/>
        <v>135</v>
      </c>
      <c r="G44" s="21">
        <f t="shared" si="21"/>
        <v>125</v>
      </c>
      <c r="H44" s="21">
        <f t="shared" si="21"/>
        <v>90</v>
      </c>
      <c r="I44" s="21">
        <f t="shared" si="21"/>
        <v>90</v>
      </c>
      <c r="J44" s="21">
        <f t="shared" si="21"/>
        <v>90</v>
      </c>
      <c r="K44" s="21">
        <f t="shared" ref="K44" si="22">(K47+K48)/2</f>
        <v>90</v>
      </c>
      <c r="L44" s="18"/>
      <c r="Q44" s="4"/>
    </row>
    <row r="45" spans="1:17" s="3" customFormat="1" ht="20.100000000000001" customHeight="1">
      <c r="A45" s="18" t="s">
        <v>6</v>
      </c>
      <c r="B45" s="21">
        <f t="shared" ref="B45:J45" si="23">B49+((B48-B47)/LN((B48-B49)/(B47-B49)))</f>
        <v>134.46263583740568</v>
      </c>
      <c r="C45" s="21">
        <f t="shared" si="23"/>
        <v>134.46263583740568</v>
      </c>
      <c r="D45" s="21">
        <f t="shared" si="23"/>
        <v>134.46263583740568</v>
      </c>
      <c r="E45" s="21" t="e">
        <f t="shared" si="23"/>
        <v>#DIV/0!</v>
      </c>
      <c r="F45" s="21">
        <f t="shared" si="23"/>
        <v>134.46263583740568</v>
      </c>
      <c r="G45" s="21">
        <f t="shared" si="23"/>
        <v>124.93587212927693</v>
      </c>
      <c r="H45" s="21" t="e">
        <f t="shared" si="23"/>
        <v>#DIV/0!</v>
      </c>
      <c r="I45" s="21" t="e">
        <f t="shared" si="23"/>
        <v>#DIV/0!</v>
      </c>
      <c r="J45" s="21" t="e">
        <f t="shared" si="23"/>
        <v>#DIV/0!</v>
      </c>
      <c r="K45" s="21" t="e">
        <f t="shared" ref="K45" si="24">K49+((K48-K47)/LN((K48-K49)/(K47-K49)))</f>
        <v>#DIV/0!</v>
      </c>
      <c r="L45" s="18"/>
      <c r="Q45" s="4"/>
    </row>
    <row r="46" spans="1:17" s="3" customFormat="1" ht="20.100000000000001" customHeight="1">
      <c r="A46" s="18" t="s">
        <v>7</v>
      </c>
      <c r="B46" s="21">
        <f t="shared" ref="B46:J46" si="25">(B48-B49)/(B47-B49)</f>
        <v>1.24</v>
      </c>
      <c r="C46" s="21">
        <f t="shared" si="25"/>
        <v>1.24</v>
      </c>
      <c r="D46" s="21">
        <f t="shared" si="25"/>
        <v>1.24</v>
      </c>
      <c r="E46" s="21">
        <f t="shared" si="25"/>
        <v>1</v>
      </c>
      <c r="F46" s="21">
        <f t="shared" si="25"/>
        <v>1.24</v>
      </c>
      <c r="G46" s="21">
        <f t="shared" si="25"/>
        <v>1.08</v>
      </c>
      <c r="H46" s="21">
        <f t="shared" si="25"/>
        <v>1</v>
      </c>
      <c r="I46" s="21">
        <f t="shared" si="25"/>
        <v>1</v>
      </c>
      <c r="J46" s="21">
        <f t="shared" si="25"/>
        <v>1</v>
      </c>
      <c r="K46" s="21">
        <f t="shared" ref="K46" si="26">(K48-K49)/(K47-K49)</f>
        <v>1</v>
      </c>
      <c r="L46" s="18"/>
      <c r="Q46" s="4"/>
    </row>
    <row r="47" spans="1:17" s="4" customFormat="1" ht="20.100000000000001" customHeight="1">
      <c r="A47" s="23" t="s">
        <v>1</v>
      </c>
      <c r="B47" s="24">
        <f t="shared" ref="B47:F48" si="27">B4</f>
        <v>120</v>
      </c>
      <c r="C47" s="24">
        <f>C4</f>
        <v>120</v>
      </c>
      <c r="D47" s="24">
        <f t="shared" si="27"/>
        <v>120</v>
      </c>
      <c r="E47" s="24">
        <f>E4</f>
        <v>120</v>
      </c>
      <c r="F47" s="24">
        <f t="shared" si="27"/>
        <v>120</v>
      </c>
      <c r="G47" s="24">
        <f t="shared" ref="G47:H47" si="28">G4</f>
        <v>120</v>
      </c>
      <c r="H47" s="24">
        <f t="shared" si="28"/>
        <v>90</v>
      </c>
      <c r="I47" s="24">
        <f t="shared" ref="I47:J47" si="29">I4</f>
        <v>90</v>
      </c>
      <c r="J47" s="24">
        <f t="shared" si="29"/>
        <v>90</v>
      </c>
      <c r="K47" s="24">
        <f t="shared" ref="K47" si="30">K4</f>
        <v>90</v>
      </c>
      <c r="L47" s="23"/>
    </row>
    <row r="48" spans="1:17" s="4" customFormat="1" ht="20.100000000000001" customHeight="1">
      <c r="A48" s="23" t="s">
        <v>3</v>
      </c>
      <c r="B48" s="24">
        <f t="shared" si="27"/>
        <v>150</v>
      </c>
      <c r="C48" s="24">
        <f t="shared" si="27"/>
        <v>150</v>
      </c>
      <c r="D48" s="24">
        <f t="shared" si="27"/>
        <v>150</v>
      </c>
      <c r="E48" s="24">
        <f t="shared" ref="E48" si="31">E5</f>
        <v>120</v>
      </c>
      <c r="F48" s="24">
        <f t="shared" si="27"/>
        <v>150</v>
      </c>
      <c r="G48" s="24">
        <f t="shared" ref="G48:H48" si="32">G5</f>
        <v>130</v>
      </c>
      <c r="H48" s="24">
        <f t="shared" si="32"/>
        <v>90</v>
      </c>
      <c r="I48" s="24">
        <f t="shared" ref="I48:J48" si="33">I5</f>
        <v>90</v>
      </c>
      <c r="J48" s="24">
        <f t="shared" si="33"/>
        <v>90</v>
      </c>
      <c r="K48" s="24">
        <f t="shared" ref="K48" si="34">K5</f>
        <v>90</v>
      </c>
      <c r="L48" s="23"/>
    </row>
    <row r="49" spans="1:17" s="4" customFormat="1" ht="20.100000000000001" customHeight="1">
      <c r="A49" s="23" t="s">
        <v>2</v>
      </c>
      <c r="B49" s="24">
        <f t="shared" ref="B49:J49" si="35">B30</f>
        <v>-5</v>
      </c>
      <c r="C49" s="24">
        <f t="shared" si="35"/>
        <v>-5</v>
      </c>
      <c r="D49" s="24">
        <f t="shared" si="35"/>
        <v>-5</v>
      </c>
      <c r="E49" s="24">
        <f t="shared" si="35"/>
        <v>-5</v>
      </c>
      <c r="F49" s="24">
        <f t="shared" si="35"/>
        <v>-5</v>
      </c>
      <c r="G49" s="24">
        <f t="shared" si="35"/>
        <v>-5</v>
      </c>
      <c r="H49" s="24">
        <f t="shared" si="35"/>
        <v>-5</v>
      </c>
      <c r="I49" s="24">
        <f t="shared" si="35"/>
        <v>-5</v>
      </c>
      <c r="J49" s="24">
        <f t="shared" si="35"/>
        <v>-5</v>
      </c>
      <c r="K49" s="24">
        <f t="shared" ref="K49" si="36">K30</f>
        <v>-5</v>
      </c>
      <c r="L49" s="23"/>
    </row>
    <row r="50" spans="1:17" s="3" customFormat="1" ht="20.100000000000001" customHeight="1">
      <c r="A50" s="20" t="s">
        <v>66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18"/>
      <c r="Q50" s="4"/>
    </row>
    <row r="51" spans="1:17" s="3" customFormat="1" ht="20.100000000000001" customHeight="1">
      <c r="A51" s="18" t="s">
        <v>47</v>
      </c>
      <c r="B51" s="21">
        <f t="shared" ref="B51:J51" si="37">(B43+B52)/2</f>
        <v>134.2835</v>
      </c>
      <c r="C51" s="21">
        <f t="shared" si="37"/>
        <v>133.76650000000001</v>
      </c>
      <c r="D51" s="21">
        <f t="shared" si="37"/>
        <v>134.20350000000002</v>
      </c>
      <c r="E51" s="21">
        <f t="shared" si="37"/>
        <v>118.7855</v>
      </c>
      <c r="F51" s="21">
        <f t="shared" si="37"/>
        <v>133.76499999999999</v>
      </c>
      <c r="G51" s="21">
        <f t="shared" si="37"/>
        <v>124.52799999999999</v>
      </c>
      <c r="H51" s="21">
        <f t="shared" si="37"/>
        <v>89.401250000000005</v>
      </c>
      <c r="I51" s="21">
        <f t="shared" si="37"/>
        <v>89.009999999999991</v>
      </c>
      <c r="J51" s="21">
        <f t="shared" si="37"/>
        <v>88.973500000000001</v>
      </c>
      <c r="K51" s="21">
        <f t="shared" ref="K51" si="38">(K43+K52)/2</f>
        <v>88.973500000000001</v>
      </c>
      <c r="L51" s="18"/>
      <c r="Q51" s="4"/>
    </row>
    <row r="52" spans="1:17" s="7" customFormat="1" ht="20.100000000000001" customHeight="1">
      <c r="A52" s="16" t="s">
        <v>89</v>
      </c>
      <c r="B52" s="17">
        <v>133.56700000000001</v>
      </c>
      <c r="C52" s="17">
        <v>132.53299999999999</v>
      </c>
      <c r="D52" s="17">
        <v>133.40700000000001</v>
      </c>
      <c r="E52" s="17">
        <v>117.571</v>
      </c>
      <c r="F52" s="17">
        <v>132.53</v>
      </c>
      <c r="G52" s="17">
        <v>124.056</v>
      </c>
      <c r="H52" s="17">
        <v>88.802499999999995</v>
      </c>
      <c r="I52" s="17">
        <v>88.02</v>
      </c>
      <c r="J52" s="17">
        <v>87.947000000000003</v>
      </c>
      <c r="K52" s="17">
        <v>87.947000000000003</v>
      </c>
      <c r="L52" s="78" t="s">
        <v>257</v>
      </c>
      <c r="Q52" s="38"/>
    </row>
    <row r="53" spans="1:17" s="58" customFormat="1" ht="20.100000000000001" customHeight="1">
      <c r="A53" s="56" t="s">
        <v>152</v>
      </c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6"/>
      <c r="Q53" s="59"/>
    </row>
    <row r="54" spans="1:17" s="5" customFormat="1" ht="20.100000000000001" customHeight="1">
      <c r="A54" s="20" t="s">
        <v>153</v>
      </c>
      <c r="B54" s="21">
        <f t="shared" ref="B54:J54" si="39">1/(1/B56+B94/B95+1/(B97+B117))</f>
        <v>0.33919905360947711</v>
      </c>
      <c r="C54" s="21">
        <f t="shared" si="39"/>
        <v>0.33637059230472793</v>
      </c>
      <c r="D54" s="21">
        <f t="shared" si="39"/>
        <v>0.33876010558384784</v>
      </c>
      <c r="E54" s="21">
        <f t="shared" si="39"/>
        <v>0.33523231127895087</v>
      </c>
      <c r="F54" s="21">
        <f t="shared" si="39"/>
        <v>0.33653156042143961</v>
      </c>
      <c r="G54" s="21">
        <f t="shared" si="39"/>
        <v>0.3401971768607791</v>
      </c>
      <c r="H54" s="21">
        <f t="shared" si="39"/>
        <v>0.41876954577586034</v>
      </c>
      <c r="I54" s="21">
        <f t="shared" si="39"/>
        <v>0.41469186144047171</v>
      </c>
      <c r="J54" s="21">
        <f t="shared" si="39"/>
        <v>0.41432986723287074</v>
      </c>
      <c r="K54" s="21">
        <f t="shared" ref="K54" si="40">1/(1/K56+K94/K95+1/(K97+K117))</f>
        <v>0.41432986723287074</v>
      </c>
      <c r="L54" s="20"/>
      <c r="M54" s="5">
        <f>F54/1.163</f>
        <v>0.28936505625231262</v>
      </c>
      <c r="N54" s="5">
        <f>1/39.18+0.04/0.041+1/(4.44+4.65)</f>
        <v>1.1111439833334547</v>
      </c>
      <c r="Q54" s="41"/>
    </row>
    <row r="55" spans="1:17" s="5" customFormat="1" ht="20.100000000000001" customHeight="1">
      <c r="A55" s="20" t="s">
        <v>154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0"/>
      <c r="Q55" s="41"/>
    </row>
    <row r="56" spans="1:17" s="5" customFormat="1" ht="20.100000000000001" customHeight="1">
      <c r="A56" s="20" t="s">
        <v>29</v>
      </c>
      <c r="B56" s="21">
        <f t="shared" ref="B56:J56" si="41">B92*B58*B91^B93/B69</f>
        <v>30.091362892458484</v>
      </c>
      <c r="C56" s="21">
        <f t="shared" si="41"/>
        <v>17.315939643267793</v>
      </c>
      <c r="D56" s="21">
        <f t="shared" si="41"/>
        <v>27.019630862924874</v>
      </c>
      <c r="E56" s="21">
        <f t="shared" si="41"/>
        <v>15.66953853762128</v>
      </c>
      <c r="F56" s="21">
        <f t="shared" si="41"/>
        <v>17.322791720723917</v>
      </c>
      <c r="G56" s="21">
        <f t="shared" si="41"/>
        <v>42.496756504663111</v>
      </c>
      <c r="H56" s="21">
        <f>H92*H58*H91^H93/H69</f>
        <v>30.158729640150042</v>
      </c>
      <c r="I56" s="21">
        <f t="shared" si="41"/>
        <v>18.079436195763083</v>
      </c>
      <c r="J56" s="21">
        <f t="shared" si="41"/>
        <v>17.422037302456165</v>
      </c>
      <c r="K56" s="21">
        <f t="shared" ref="K56" si="42">K92*K58*K91^K93/K69</f>
        <v>17.422037302456165</v>
      </c>
      <c r="L56" s="20"/>
      <c r="Q56" s="41"/>
    </row>
    <row r="57" spans="1:17" s="5" customFormat="1" ht="20.100000000000001" customHeight="1">
      <c r="A57" s="20" t="s">
        <v>10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0"/>
      <c r="Q57" s="41"/>
    </row>
    <row r="58" spans="1:17" s="5" customFormat="1" ht="20.100000000000001" customHeight="1">
      <c r="A58" s="20" t="s">
        <v>309</v>
      </c>
      <c r="B58" s="21">
        <f>0.101*(1-0.00054*B51)/B60</f>
        <v>9.6212018848383069E-2</v>
      </c>
      <c r="C58" s="21">
        <f t="shared" ref="C58:K58" si="43">0.101*(1-0.00054*C51)/C60</f>
        <v>9.0917393315312414E-2</v>
      </c>
      <c r="D58" s="21">
        <f t="shared" si="43"/>
        <v>9.7377608611839681E-2</v>
      </c>
      <c r="E58" s="21">
        <f t="shared" si="43"/>
        <v>9.1710155716661468E-2</v>
      </c>
      <c r="F58" s="21">
        <f t="shared" si="43"/>
        <v>9.0917472692096477E-2</v>
      </c>
      <c r="G58" s="21">
        <f t="shared" si="43"/>
        <v>0.10240589632429785</v>
      </c>
      <c r="H58" s="21">
        <f t="shared" si="43"/>
        <v>9.3372734820771172E-2</v>
      </c>
      <c r="I58" s="21">
        <f t="shared" si="43"/>
        <v>9.6431797037200492E-2</v>
      </c>
      <c r="J58" s="21">
        <f t="shared" si="43"/>
        <v>9.3395396555107216E-2</v>
      </c>
      <c r="K58" s="21">
        <f t="shared" si="43"/>
        <v>9.3395396555107216E-2</v>
      </c>
      <c r="L58" s="20"/>
      <c r="Q58" s="41"/>
    </row>
    <row r="59" spans="1:17" s="5" customFormat="1" ht="20.100000000000001" customHeight="1">
      <c r="A59" s="20" t="s">
        <v>9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0"/>
      <c r="Q59" s="4"/>
    </row>
    <row r="60" spans="1:17" s="5" customFormat="1" ht="20.100000000000001" customHeight="1">
      <c r="A60" s="20" t="s">
        <v>105</v>
      </c>
      <c r="B60" s="21">
        <f t="shared" ref="B60:J60" si="44">B61-B64*(15-B62)</f>
        <v>0.97364320000000004</v>
      </c>
      <c r="C60" s="21">
        <f t="shared" si="44"/>
        <v>1.030654</v>
      </c>
      <c r="D60" s="21">
        <f t="shared" si="44"/>
        <v>0.9620337000000001</v>
      </c>
      <c r="E60" s="21">
        <f t="shared" si="44"/>
        <v>1.030654</v>
      </c>
      <c r="F60" s="21">
        <f t="shared" si="44"/>
        <v>1.030654</v>
      </c>
      <c r="G60" s="21">
        <f t="shared" si="44"/>
        <v>0.91994940000000003</v>
      </c>
      <c r="H60" s="21">
        <f t="shared" si="44"/>
        <v>1.029466</v>
      </c>
      <c r="I60" s="21">
        <f t="shared" si="44"/>
        <v>0.99702999999999997</v>
      </c>
      <c r="J60" s="21">
        <f t="shared" si="44"/>
        <v>1.029466</v>
      </c>
      <c r="K60" s="21">
        <f t="shared" ref="K60" si="45">K61-K64*(15-K62)</f>
        <v>1.029466</v>
      </c>
      <c r="L60" s="20"/>
      <c r="M60" s="5">
        <f>0.859+5*6.8712*10^-4</f>
        <v>0.86243559999999997</v>
      </c>
      <c r="Q60" s="4"/>
    </row>
    <row r="61" spans="1:17" s="4" customFormat="1" ht="20.100000000000001" customHeight="1">
      <c r="A61" s="23" t="s">
        <v>102</v>
      </c>
      <c r="B61" s="24">
        <f t="shared" ref="B61:F62" si="46">B7</f>
        <v>0.90100000000000002</v>
      </c>
      <c r="C61" s="24">
        <f t="shared" si="46"/>
        <v>0.95499999999999996</v>
      </c>
      <c r="D61" s="24">
        <f t="shared" si="46"/>
        <v>0.87150000000000005</v>
      </c>
      <c r="E61" s="24">
        <f t="shared" ref="E61" si="47">E7</f>
        <v>0.95499999999999996</v>
      </c>
      <c r="F61" s="24">
        <f t="shared" si="46"/>
        <v>0.95499999999999996</v>
      </c>
      <c r="G61" s="24">
        <f t="shared" ref="G61:H61" si="48">G7</f>
        <v>0.84599999999999997</v>
      </c>
      <c r="H61" s="24">
        <f t="shared" si="48"/>
        <v>0.99099999999999999</v>
      </c>
      <c r="I61" s="24">
        <f t="shared" ref="I61:J61" si="49">I7</f>
        <v>0.95499999999999996</v>
      </c>
      <c r="J61" s="24">
        <f t="shared" si="49"/>
        <v>0.99099999999999999</v>
      </c>
      <c r="K61" s="24">
        <f t="shared" ref="K61" si="50">K7</f>
        <v>0.99099999999999999</v>
      </c>
      <c r="L61" s="23"/>
    </row>
    <row r="62" spans="1:17" s="42" customFormat="1" ht="20.100000000000001" customHeight="1">
      <c r="A62" s="35" t="s">
        <v>101</v>
      </c>
      <c r="B62" s="24">
        <f t="shared" si="46"/>
        <v>130</v>
      </c>
      <c r="C62" s="24">
        <f t="shared" si="46"/>
        <v>150</v>
      </c>
      <c r="D62" s="24">
        <f t="shared" si="46"/>
        <v>150</v>
      </c>
      <c r="E62" s="24">
        <f t="shared" ref="E62" si="51">E8</f>
        <v>150</v>
      </c>
      <c r="F62" s="24">
        <f t="shared" si="46"/>
        <v>150</v>
      </c>
      <c r="G62" s="24">
        <f t="shared" ref="G62:H62" si="52">G8</f>
        <v>120</v>
      </c>
      <c r="H62" s="24">
        <f t="shared" si="52"/>
        <v>90</v>
      </c>
      <c r="I62" s="24">
        <f t="shared" ref="I62:J62" si="53">I8</f>
        <v>90</v>
      </c>
      <c r="J62" s="24">
        <f t="shared" si="53"/>
        <v>90</v>
      </c>
      <c r="K62" s="24">
        <f t="shared" ref="K62" si="54">K8</f>
        <v>90</v>
      </c>
      <c r="L62" s="23"/>
      <c r="Q62" s="4"/>
    </row>
    <row r="63" spans="1:17" s="5" customFormat="1" ht="20.100000000000001" customHeight="1">
      <c r="A63" s="47" t="s">
        <v>8</v>
      </c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7"/>
      <c r="Q63" s="4"/>
    </row>
    <row r="64" spans="1:17" s="5" customFormat="1" ht="20.100000000000001" customHeight="1">
      <c r="A64" s="20" t="s">
        <v>104</v>
      </c>
      <c r="B64" s="21">
        <f t="shared" ref="B64:J64" si="55">8.97*10^(-4)-13.2*10^(-4)*(B61-0.7)</f>
        <v>6.3168000000000002E-4</v>
      </c>
      <c r="C64" s="21">
        <f t="shared" si="55"/>
        <v>5.6040000000000018E-4</v>
      </c>
      <c r="D64" s="21">
        <f t="shared" si="55"/>
        <v>6.7062000000000003E-4</v>
      </c>
      <c r="E64" s="21">
        <f t="shared" si="55"/>
        <v>5.6040000000000018E-4</v>
      </c>
      <c r="F64" s="21">
        <f t="shared" si="55"/>
        <v>5.6040000000000018E-4</v>
      </c>
      <c r="G64" s="21">
        <f t="shared" si="55"/>
        <v>7.0428000000000005E-4</v>
      </c>
      <c r="H64" s="21">
        <f t="shared" si="55"/>
        <v>5.1288000000000006E-4</v>
      </c>
      <c r="I64" s="21">
        <f t="shared" si="55"/>
        <v>5.6040000000000018E-4</v>
      </c>
      <c r="J64" s="21">
        <f t="shared" si="55"/>
        <v>5.1288000000000006E-4</v>
      </c>
      <c r="K64" s="21">
        <f t="shared" ref="K64" si="56">8.97*10^(-4)-13.2*10^(-4)*(K61-0.7)</f>
        <v>5.1288000000000006E-4</v>
      </c>
      <c r="L64" s="20"/>
      <c r="Q64" s="4"/>
    </row>
    <row r="65" spans="1:17" s="4" customFormat="1" ht="20.100000000000001" customHeight="1">
      <c r="A65" s="20" t="s">
        <v>110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3"/>
    </row>
    <row r="66" spans="1:17" s="5" customFormat="1" ht="20.100000000000001" customHeight="1">
      <c r="A66" s="20" t="s">
        <v>109</v>
      </c>
      <c r="B66" s="21">
        <f t="shared" ref="B66:J66" si="57">B67*(B69)^3*B73*B77/(B79)^2</f>
        <v>225269494341.42545</v>
      </c>
      <c r="C66" s="21">
        <f t="shared" si="57"/>
        <v>6635213634.9880781</v>
      </c>
      <c r="D66" s="21">
        <f t="shared" si="57"/>
        <v>95954218107.999084</v>
      </c>
      <c r="E66" s="21">
        <f t="shared" si="57"/>
        <v>3717668628.7672701</v>
      </c>
      <c r="F66" s="21">
        <f t="shared" si="57"/>
        <v>3948481784.8896031</v>
      </c>
      <c r="G66" s="21">
        <f t="shared" si="57"/>
        <v>1170765263189.2566</v>
      </c>
      <c r="H66" s="21">
        <f t="shared" si="57"/>
        <v>206120736643.6127</v>
      </c>
      <c r="I66" s="21">
        <f t="shared" si="57"/>
        <v>4898922794.6388969</v>
      </c>
      <c r="J66" s="21">
        <f t="shared" si="57"/>
        <v>4675540394.725174</v>
      </c>
      <c r="K66" s="21">
        <f t="shared" ref="K66" si="58">K67*(K69)^3*K73*K77/(K79)^2</f>
        <v>4675540394.725174</v>
      </c>
      <c r="L66" s="20"/>
      <c r="Q66" s="4"/>
    </row>
    <row r="67" spans="1:17" s="43" customFormat="1" ht="20.100000000000001" customHeight="1">
      <c r="A67" s="49" t="s">
        <v>11</v>
      </c>
      <c r="B67" s="50">
        <v>9.81</v>
      </c>
      <c r="C67" s="50">
        <v>9.81</v>
      </c>
      <c r="D67" s="50">
        <v>9.81</v>
      </c>
      <c r="E67" s="50">
        <v>9.81</v>
      </c>
      <c r="F67" s="50">
        <v>9.81</v>
      </c>
      <c r="G67" s="50">
        <v>9.81</v>
      </c>
      <c r="H67" s="50">
        <v>9.81</v>
      </c>
      <c r="I67" s="50">
        <v>9.81</v>
      </c>
      <c r="J67" s="50">
        <v>9.81</v>
      </c>
      <c r="K67" s="50">
        <v>9.81</v>
      </c>
      <c r="L67" s="49"/>
      <c r="Q67" s="4"/>
    </row>
    <row r="68" spans="1:17" s="3" customFormat="1" ht="20.100000000000001" customHeight="1">
      <c r="A68" s="18" t="s">
        <v>61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8"/>
      <c r="Q68" s="4"/>
    </row>
    <row r="69" spans="1:17" s="5" customFormat="1" ht="20.100000000000001" customHeight="1">
      <c r="A69" s="20" t="s">
        <v>60</v>
      </c>
      <c r="B69" s="21">
        <f t="shared" ref="B69:J69" si="59">B70*B71</f>
        <v>18.090000000000003</v>
      </c>
      <c r="C69" s="21">
        <f t="shared" si="59"/>
        <v>18.090000000000003</v>
      </c>
      <c r="D69" s="21">
        <f t="shared" si="59"/>
        <v>18.090000000000003</v>
      </c>
      <c r="E69" s="21">
        <f t="shared" si="59"/>
        <v>18.090000000000003</v>
      </c>
      <c r="F69" s="21">
        <f t="shared" si="59"/>
        <v>15.209999999999999</v>
      </c>
      <c r="G69" s="21">
        <f t="shared" si="59"/>
        <v>15.209999999999999</v>
      </c>
      <c r="H69" s="21">
        <f t="shared" si="59"/>
        <v>14.256</v>
      </c>
      <c r="I69" s="21">
        <f t="shared" si="59"/>
        <v>14.472</v>
      </c>
      <c r="J69" s="21">
        <f t="shared" si="59"/>
        <v>14.472</v>
      </c>
      <c r="K69" s="21">
        <f t="shared" ref="K69" si="60">K70*K71</f>
        <v>14.472</v>
      </c>
      <c r="L69" s="20"/>
      <c r="Q69" s="4"/>
    </row>
    <row r="70" spans="1:17" s="4" customFormat="1" ht="20.100000000000001" customHeight="1">
      <c r="A70" s="23" t="s">
        <v>62</v>
      </c>
      <c r="B70" s="24">
        <f t="shared" ref="B70:J70" si="61">B18</f>
        <v>0.9</v>
      </c>
      <c r="C70" s="24">
        <f t="shared" si="61"/>
        <v>0.9</v>
      </c>
      <c r="D70" s="24">
        <f t="shared" si="61"/>
        <v>0.9</v>
      </c>
      <c r="E70" s="24">
        <f t="shared" si="61"/>
        <v>0.9</v>
      </c>
      <c r="F70" s="24">
        <f t="shared" si="61"/>
        <v>0.9</v>
      </c>
      <c r="G70" s="24">
        <f t="shared" si="61"/>
        <v>0.9</v>
      </c>
      <c r="H70" s="24">
        <f t="shared" si="61"/>
        <v>0.9</v>
      </c>
      <c r="I70" s="24">
        <f t="shared" si="61"/>
        <v>0.9</v>
      </c>
      <c r="J70" s="24">
        <f t="shared" si="61"/>
        <v>0.9</v>
      </c>
      <c r="K70" s="24">
        <f t="shared" ref="K70" si="62">K18</f>
        <v>0.9</v>
      </c>
      <c r="L70" s="23"/>
    </row>
    <row r="71" spans="1:17" s="4" customFormat="1" ht="20.100000000000001" customHeight="1">
      <c r="A71" s="23" t="s">
        <v>63</v>
      </c>
      <c r="B71" s="24">
        <f t="shared" ref="B71:J71" si="63">B17</f>
        <v>20.100000000000001</v>
      </c>
      <c r="C71" s="24">
        <f t="shared" si="63"/>
        <v>20.100000000000001</v>
      </c>
      <c r="D71" s="24">
        <f t="shared" si="63"/>
        <v>20.100000000000001</v>
      </c>
      <c r="E71" s="24">
        <f t="shared" si="63"/>
        <v>20.100000000000001</v>
      </c>
      <c r="F71" s="24">
        <f t="shared" si="63"/>
        <v>16.899999999999999</v>
      </c>
      <c r="G71" s="24">
        <f t="shared" si="63"/>
        <v>16.899999999999999</v>
      </c>
      <c r="H71" s="24">
        <f t="shared" si="63"/>
        <v>15.84</v>
      </c>
      <c r="I71" s="24">
        <f t="shared" si="63"/>
        <v>16.079999999999998</v>
      </c>
      <c r="J71" s="24">
        <f t="shared" si="63"/>
        <v>16.079999999999998</v>
      </c>
      <c r="K71" s="24">
        <f t="shared" ref="K71" si="64">K17</f>
        <v>16.079999999999998</v>
      </c>
      <c r="L71" s="23"/>
    </row>
    <row r="72" spans="1:17" s="4" customFormat="1" ht="20.100000000000001" customHeight="1">
      <c r="A72" s="20" t="s">
        <v>12</v>
      </c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3"/>
      <c r="O72" s="4" t="s">
        <v>16</v>
      </c>
    </row>
    <row r="73" spans="1:17" s="3" customFormat="1" ht="20.100000000000001" customHeight="1">
      <c r="A73" s="18" t="s">
        <v>106</v>
      </c>
      <c r="B73" s="21">
        <f t="shared" ref="B73:J73" si="65">(B61-B75)/(B75*(B51-B62))</f>
        <v>7.0319946505286238E-4</v>
      </c>
      <c r="C73" s="21">
        <f t="shared" si="65"/>
        <v>5.8126915933396294E-4</v>
      </c>
      <c r="D73" s="21">
        <f t="shared" si="65"/>
        <v>7.6025958574967955E-4</v>
      </c>
      <c r="E73" s="21">
        <f t="shared" si="65"/>
        <v>5.7625116803741586E-4</v>
      </c>
      <c r="F73" s="21">
        <f t="shared" si="65"/>
        <v>5.8126865252365394E-4</v>
      </c>
      <c r="G73" s="21">
        <f t="shared" si="65"/>
        <v>8.3563216801116227E-4</v>
      </c>
      <c r="H73" s="21">
        <f t="shared" si="65"/>
        <v>5.1737751780220385E-4</v>
      </c>
      <c r="I73" s="21">
        <f t="shared" si="65"/>
        <v>5.8646558245097557E-4</v>
      </c>
      <c r="J73" s="21">
        <f t="shared" si="65"/>
        <v>5.1726304323198441E-4</v>
      </c>
      <c r="K73" s="21">
        <f t="shared" ref="K73" si="66">(K61-K75)/(K75*(K51-K62))</f>
        <v>5.1726304323198441E-4</v>
      </c>
      <c r="L73" s="18"/>
      <c r="Q73" s="4"/>
    </row>
    <row r="74" spans="1:17" s="3" customFormat="1" ht="20.100000000000001" customHeight="1">
      <c r="A74" s="18" t="s">
        <v>13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18"/>
      <c r="Q74" s="4"/>
    </row>
    <row r="75" spans="1:17" s="3" customFormat="1" ht="20.100000000000001" customHeight="1">
      <c r="A75" s="18" t="s">
        <v>103</v>
      </c>
      <c r="B75" s="21">
        <f t="shared" ref="B75:J75" si="67">B61-B64*(B51-B62)</f>
        <v>0.89829419872000005</v>
      </c>
      <c r="C75" s="21">
        <f t="shared" si="67"/>
        <v>0.96409725339999996</v>
      </c>
      <c r="D75" s="21">
        <f t="shared" si="67"/>
        <v>0.88209344883000007</v>
      </c>
      <c r="E75" s="21">
        <f t="shared" si="67"/>
        <v>0.97249260579999997</v>
      </c>
      <c r="F75" s="21">
        <f t="shared" si="67"/>
        <v>0.96409809400000002</v>
      </c>
      <c r="G75" s="21">
        <f t="shared" si="67"/>
        <v>0.84281102015999998</v>
      </c>
      <c r="H75" s="21">
        <f t="shared" si="67"/>
        <v>0.99130708690000002</v>
      </c>
      <c r="I75" s="21">
        <f t="shared" si="67"/>
        <v>0.95555479599999993</v>
      </c>
      <c r="J75" s="21">
        <f t="shared" si="67"/>
        <v>0.99152647132000005</v>
      </c>
      <c r="K75" s="21">
        <f t="shared" ref="K75" si="68">K61-K64*(K51-K62)</f>
        <v>0.99152647132000005</v>
      </c>
      <c r="L75" s="18"/>
      <c r="Q75" s="4"/>
    </row>
    <row r="76" spans="1:17" s="4" customFormat="1" ht="20.100000000000001" customHeight="1">
      <c r="A76" s="18" t="s">
        <v>14</v>
      </c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3"/>
    </row>
    <row r="77" spans="1:17" s="3" customFormat="1" ht="20.100000000000001" customHeight="1">
      <c r="A77" s="18" t="s">
        <v>48</v>
      </c>
      <c r="B77" s="21">
        <f t="shared" ref="B77:J77" si="69">B43-B52</f>
        <v>1.4329999999999927</v>
      </c>
      <c r="C77" s="21">
        <f t="shared" si="69"/>
        <v>2.467000000000013</v>
      </c>
      <c r="D77" s="21">
        <f t="shared" si="69"/>
        <v>1.5929999999999893</v>
      </c>
      <c r="E77" s="21">
        <f t="shared" si="69"/>
        <v>2.429000000000002</v>
      </c>
      <c r="F77" s="21">
        <f t="shared" si="69"/>
        <v>2.4699999999999989</v>
      </c>
      <c r="G77" s="21">
        <f t="shared" si="69"/>
        <v>0.94400000000000261</v>
      </c>
      <c r="H77" s="21">
        <f t="shared" si="69"/>
        <v>1.1975000000000051</v>
      </c>
      <c r="I77" s="21">
        <f t="shared" si="69"/>
        <v>1.980000000000004</v>
      </c>
      <c r="J77" s="21">
        <f t="shared" si="69"/>
        <v>2.0529999999999973</v>
      </c>
      <c r="K77" s="21">
        <f t="shared" ref="K77" si="70">K43-K52</f>
        <v>2.0529999999999973</v>
      </c>
      <c r="L77" s="18"/>
      <c r="Q77" s="4"/>
    </row>
    <row r="78" spans="1:17" s="3" customFormat="1" ht="20.100000000000001" customHeight="1">
      <c r="A78" s="18" t="s">
        <v>21</v>
      </c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18"/>
      <c r="Q78" s="4"/>
    </row>
    <row r="79" spans="1:17" s="3" customFormat="1" ht="20.100000000000001" customHeight="1">
      <c r="A79" s="18" t="s">
        <v>20</v>
      </c>
      <c r="B79" s="21">
        <f t="shared" ref="B79:J79" si="71">B84*EXP(-B81*(B51-B82))</f>
        <v>1.6117716884954508E-5</v>
      </c>
      <c r="C79" s="21">
        <f t="shared" si="71"/>
        <v>1.1203097457676817E-4</v>
      </c>
      <c r="D79" s="21">
        <f t="shared" si="71"/>
        <v>2.7073796409258098E-5</v>
      </c>
      <c r="E79" s="21">
        <f t="shared" si="71"/>
        <v>1.4786884559939937E-4</v>
      </c>
      <c r="F79" s="21">
        <f t="shared" si="71"/>
        <v>1.1203408798680743E-4</v>
      </c>
      <c r="G79" s="21">
        <f t="shared" si="71"/>
        <v>4.8226637501343543E-6</v>
      </c>
      <c r="H79" s="21">
        <f t="shared" si="71"/>
        <v>9.2429739336551669E-6</v>
      </c>
      <c r="I79" s="21">
        <f t="shared" si="71"/>
        <v>8.395197103637713E-5</v>
      </c>
      <c r="J79" s="21">
        <f t="shared" si="71"/>
        <v>8.2179146741326081E-5</v>
      </c>
      <c r="K79" s="21">
        <f t="shared" ref="K79" si="72">K84*EXP(-K81*(K51-K82))</f>
        <v>8.2179146741326081E-5</v>
      </c>
      <c r="L79" s="18"/>
      <c r="M79" s="21">
        <f>C85*EXP(-C81*(C51-C83))</f>
        <v>1.1203097457676816E-4</v>
      </c>
      <c r="Q79" s="4"/>
    </row>
    <row r="80" spans="1:17" s="4" customFormat="1" ht="20.100000000000001" customHeight="1">
      <c r="A80" s="18" t="s">
        <v>17</v>
      </c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3"/>
    </row>
    <row r="81" spans="1:24" s="4" customFormat="1" ht="20.100000000000001" customHeight="1">
      <c r="A81" s="18" t="s">
        <v>15</v>
      </c>
      <c r="B81" s="19">
        <f>LN(B84/B85)/(B83-B82)</f>
        <v>2.1162609081198984E-2</v>
      </c>
      <c r="C81" s="19">
        <f>LN(C84/C85)/(C83-C82)</f>
        <v>1.8526821354553129E-2</v>
      </c>
      <c r="D81" s="19">
        <v>2.6599999999999999E-2</v>
      </c>
      <c r="E81" s="19">
        <f t="shared" ref="E81:J81" si="73">LN(E84/E85)/(E83-E82)</f>
        <v>1.8526821354553129E-2</v>
      </c>
      <c r="F81" s="19">
        <f t="shared" si="73"/>
        <v>1.8526821354553129E-2</v>
      </c>
      <c r="G81" s="19">
        <f t="shared" si="73"/>
        <v>2.7452341829309411E-2</v>
      </c>
      <c r="H81" s="19">
        <f t="shared" si="73"/>
        <v>1.2773336650955171E-2</v>
      </c>
      <c r="I81" s="19">
        <f t="shared" si="73"/>
        <v>1.2348105677102119E-2</v>
      </c>
      <c r="J81" s="19">
        <f t="shared" si="73"/>
        <v>1.3727437890335689E-2</v>
      </c>
      <c r="K81" s="19">
        <f t="shared" ref="K81" si="74">LN(K84/K85)/(K83-K82)</f>
        <v>1.3727437890335689E-2</v>
      </c>
      <c r="L81" s="23"/>
      <c r="M81" s="19">
        <f>LN(C85/C84)/(C82-C83)</f>
        <v>1.8526821354553129E-2</v>
      </c>
    </row>
    <row r="82" spans="1:24" s="4" customFormat="1" ht="20.100000000000001" customHeight="1">
      <c r="A82" s="35" t="s">
        <v>49</v>
      </c>
      <c r="B82" s="24">
        <f t="shared" ref="B82:J82" si="75">B9</f>
        <v>130</v>
      </c>
      <c r="C82" s="24">
        <f t="shared" si="75"/>
        <v>150</v>
      </c>
      <c r="D82" s="24">
        <f t="shared" si="75"/>
        <v>150</v>
      </c>
      <c r="E82" s="24">
        <f t="shared" si="75"/>
        <v>150</v>
      </c>
      <c r="F82" s="24">
        <f t="shared" si="75"/>
        <v>150</v>
      </c>
      <c r="G82" s="24">
        <f t="shared" si="75"/>
        <v>120</v>
      </c>
      <c r="H82" s="24">
        <f t="shared" si="75"/>
        <v>90</v>
      </c>
      <c r="I82" s="24">
        <f t="shared" si="75"/>
        <v>90</v>
      </c>
      <c r="J82" s="24">
        <f t="shared" si="75"/>
        <v>90</v>
      </c>
      <c r="K82" s="24">
        <f t="shared" ref="K82" si="76">K9</f>
        <v>90</v>
      </c>
      <c r="L82" s="23"/>
    </row>
    <row r="83" spans="1:24" s="4" customFormat="1" ht="20.100000000000001" customHeight="1">
      <c r="A83" s="35" t="s">
        <v>50</v>
      </c>
      <c r="B83" s="24">
        <f t="shared" ref="B83:J83" si="77">B11</f>
        <v>100</v>
      </c>
      <c r="C83" s="24">
        <f t="shared" si="77"/>
        <v>100</v>
      </c>
      <c r="D83" s="24">
        <f t="shared" si="77"/>
        <v>100</v>
      </c>
      <c r="E83" s="24">
        <f t="shared" si="77"/>
        <v>100</v>
      </c>
      <c r="F83" s="24">
        <f t="shared" si="77"/>
        <v>100</v>
      </c>
      <c r="G83" s="24">
        <f t="shared" si="77"/>
        <v>100</v>
      </c>
      <c r="H83" s="24">
        <f t="shared" si="77"/>
        <v>100</v>
      </c>
      <c r="I83" s="24">
        <f t="shared" si="77"/>
        <v>100</v>
      </c>
      <c r="J83" s="24">
        <f t="shared" si="77"/>
        <v>100</v>
      </c>
      <c r="K83" s="24">
        <f t="shared" ref="K83" si="78">K11</f>
        <v>100</v>
      </c>
      <c r="L83" s="23"/>
    </row>
    <row r="84" spans="1:24" s="4" customFormat="1" ht="20.100000000000001" customHeight="1">
      <c r="A84" s="23" t="s">
        <v>18</v>
      </c>
      <c r="B84" s="24">
        <f t="shared" ref="B84:J84" si="79">B10</f>
        <v>1.7647058823529414E-5</v>
      </c>
      <c r="C84" s="24">
        <f t="shared" si="79"/>
        <v>8.2931937172774873E-5</v>
      </c>
      <c r="D84" s="24">
        <f t="shared" si="79"/>
        <v>1.7785427423981642E-5</v>
      </c>
      <c r="E84" s="24">
        <f t="shared" si="79"/>
        <v>8.2931937172774873E-5</v>
      </c>
      <c r="F84" s="24">
        <f t="shared" si="79"/>
        <v>8.2931937172774873E-5</v>
      </c>
      <c r="G84" s="24">
        <f t="shared" si="79"/>
        <v>5.4609929078014191E-6</v>
      </c>
      <c r="H84" s="24">
        <f t="shared" si="79"/>
        <v>9.17255297679112E-6</v>
      </c>
      <c r="I84" s="24">
        <f t="shared" si="79"/>
        <v>8.2931937172774873E-5</v>
      </c>
      <c r="J84" s="24">
        <f t="shared" si="79"/>
        <v>8.1029263370332988E-5</v>
      </c>
      <c r="K84" s="24">
        <f t="shared" ref="K84" si="80">K10</f>
        <v>8.1029263370332988E-5</v>
      </c>
      <c r="L84" s="23"/>
    </row>
    <row r="85" spans="1:24" s="4" customFormat="1" ht="20.100000000000001" customHeight="1">
      <c r="A85" s="23" t="s">
        <v>19</v>
      </c>
      <c r="B85" s="24">
        <f t="shared" ref="B85:J85" si="81">B12</f>
        <v>3.3296337402885681E-5</v>
      </c>
      <c r="C85" s="24">
        <f t="shared" si="81"/>
        <v>2.094240837696335E-4</v>
      </c>
      <c r="D85" s="24">
        <f t="shared" si="81"/>
        <v>3.4423407917383816E-5</v>
      </c>
      <c r="E85" s="24">
        <f t="shared" si="81"/>
        <v>2.094240837696335E-4</v>
      </c>
      <c r="F85" s="24">
        <f t="shared" si="81"/>
        <v>2.094240837696335E-4</v>
      </c>
      <c r="G85" s="24">
        <f t="shared" si="81"/>
        <v>9.4562647754137106E-6</v>
      </c>
      <c r="H85" s="24">
        <f t="shared" si="81"/>
        <v>8.0726538849646814E-6</v>
      </c>
      <c r="I85" s="24">
        <f t="shared" si="81"/>
        <v>7.3298429319371735E-5</v>
      </c>
      <c r="J85" s="24">
        <f t="shared" si="81"/>
        <v>7.0635721493440964E-5</v>
      </c>
      <c r="K85" s="24">
        <f t="shared" ref="K85" si="82">K12</f>
        <v>7.0635721493440964E-5</v>
      </c>
      <c r="L85" s="23"/>
    </row>
    <row r="86" spans="1:24" s="3" customFormat="1" ht="20.100000000000001" customHeight="1">
      <c r="A86" s="18" t="s">
        <v>111</v>
      </c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18"/>
      <c r="Q86" s="4"/>
      <c r="X86" s="3" t="s">
        <v>0</v>
      </c>
    </row>
    <row r="87" spans="1:24" s="3" customFormat="1" ht="20.100000000000001" customHeight="1">
      <c r="A87" s="18" t="s">
        <v>112</v>
      </c>
      <c r="B87" s="21">
        <f t="shared" ref="B87:J87" si="83">B79*B75*B89*10^6/B58</f>
        <v>326.77558615848415</v>
      </c>
      <c r="C87" s="21">
        <f t="shared" si="83"/>
        <v>2505.2827486389856</v>
      </c>
      <c r="D87" s="21">
        <f t="shared" si="83"/>
        <v>535.68716847249698</v>
      </c>
      <c r="E87" s="21">
        <f t="shared" si="83"/>
        <v>3228.1971248814766</v>
      </c>
      <c r="F87" s="21">
        <f t="shared" si="83"/>
        <v>2505.3464162203013</v>
      </c>
      <c r="G87" s="21">
        <f t="shared" si="83"/>
        <v>87.298940379973857</v>
      </c>
      <c r="H87" s="21">
        <f t="shared" si="83"/>
        <v>192.50808032771505</v>
      </c>
      <c r="I87" s="21">
        <f t="shared" si="83"/>
        <v>1657.2103217211534</v>
      </c>
      <c r="J87" s="21">
        <f t="shared" si="83"/>
        <v>1710.3025729849612</v>
      </c>
      <c r="K87" s="21">
        <f t="shared" ref="K87" si="84">K79*K75*K89*10^6/K58</f>
        <v>1710.3025729849612</v>
      </c>
      <c r="L87" s="18"/>
      <c r="Q87" s="4"/>
    </row>
    <row r="88" spans="1:24" s="3" customFormat="1" ht="20.100000000000001" customHeight="1">
      <c r="A88" s="18" t="s">
        <v>25</v>
      </c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18"/>
      <c r="Q88" s="4"/>
    </row>
    <row r="89" spans="1:24" s="3" customFormat="1" ht="20.100000000000001" customHeight="1">
      <c r="A89" s="18" t="s">
        <v>23</v>
      </c>
      <c r="B89" s="21">
        <f t="shared" ref="B89:J89" si="85">4.1868*(0.403+0.00081*B51)/(B90)^0.5</f>
        <v>2.171484892095457</v>
      </c>
      <c r="C89" s="21">
        <f t="shared" si="85"/>
        <v>2.1088455029983413</v>
      </c>
      <c r="D89" s="21">
        <f t="shared" si="85"/>
        <v>2.1842713693979512</v>
      </c>
      <c r="E89" s="21">
        <f t="shared" si="85"/>
        <v>2.0588015518081169</v>
      </c>
      <c r="F89" s="21">
        <f t="shared" si="85"/>
        <v>2.1088404922562818</v>
      </c>
      <c r="G89" s="21">
        <f t="shared" si="85"/>
        <v>2.1994634387959175</v>
      </c>
      <c r="H89" s="21">
        <f t="shared" si="85"/>
        <v>1.9617745818413026</v>
      </c>
      <c r="I89" s="21">
        <f t="shared" si="85"/>
        <v>1.9921011951383525</v>
      </c>
      <c r="J89" s="21">
        <f t="shared" si="85"/>
        <v>1.9603448609978111</v>
      </c>
      <c r="K89" s="21">
        <f t="shared" ref="K89" si="86">4.1868*(0.403+0.00081*K51)/(K90)^0.5</f>
        <v>1.9603448609978111</v>
      </c>
      <c r="L89" s="18"/>
      <c r="Q89" s="4"/>
    </row>
    <row r="90" spans="1:24" s="3" customFormat="1" ht="20.100000000000001" customHeight="1">
      <c r="A90" s="20" t="s">
        <v>24</v>
      </c>
      <c r="B90" s="21">
        <f t="shared" ref="B90:J90" si="87">B60</f>
        <v>0.97364320000000004</v>
      </c>
      <c r="C90" s="21">
        <f t="shared" si="87"/>
        <v>1.030654</v>
      </c>
      <c r="D90" s="21">
        <f t="shared" si="87"/>
        <v>0.9620337000000001</v>
      </c>
      <c r="E90" s="21">
        <f t="shared" si="87"/>
        <v>1.030654</v>
      </c>
      <c r="F90" s="21">
        <f t="shared" si="87"/>
        <v>1.030654</v>
      </c>
      <c r="G90" s="21">
        <f t="shared" si="87"/>
        <v>0.91994940000000003</v>
      </c>
      <c r="H90" s="21">
        <f t="shared" si="87"/>
        <v>1.029466</v>
      </c>
      <c r="I90" s="21">
        <f t="shared" si="87"/>
        <v>0.99702999999999997</v>
      </c>
      <c r="J90" s="21">
        <f t="shared" si="87"/>
        <v>1.029466</v>
      </c>
      <c r="K90" s="21">
        <f t="shared" ref="K90" si="88">K60</f>
        <v>1.029466</v>
      </c>
      <c r="L90" s="18"/>
      <c r="Q90" s="4"/>
    </row>
    <row r="91" spans="1:24" s="4" customFormat="1" ht="20.100000000000001" customHeight="1">
      <c r="A91" s="20" t="s">
        <v>26</v>
      </c>
      <c r="B91" s="19">
        <f t="shared" ref="B91:J91" si="89">B66*B87</f>
        <v>73612571057044.625</v>
      </c>
      <c r="C91" s="19">
        <f t="shared" si="89"/>
        <v>16623086253269.807</v>
      </c>
      <c r="D91" s="19">
        <f t="shared" si="89"/>
        <v>51401443401266.43</v>
      </c>
      <c r="E91" s="19">
        <f t="shared" si="89"/>
        <v>12001367178648.562</v>
      </c>
      <c r="F91" s="19">
        <f t="shared" si="89"/>
        <v>9892314689284.3066</v>
      </c>
      <c r="G91" s="19">
        <f t="shared" si="89"/>
        <v>102206566910103.31</v>
      </c>
      <c r="H91" s="19">
        <f t="shared" si="89"/>
        <v>39679907326996.391</v>
      </c>
      <c r="I91" s="19">
        <f t="shared" si="89"/>
        <v>8118545420590.6182</v>
      </c>
      <c r="J91" s="19">
        <f t="shared" si="89"/>
        <v>7996588767193.5859</v>
      </c>
      <c r="K91" s="19">
        <f t="shared" ref="K91" si="90">K66*K87</f>
        <v>7996588767193.5859</v>
      </c>
      <c r="L91" s="23"/>
    </row>
    <row r="92" spans="1:24" s="4" customFormat="1" ht="20.100000000000001" customHeight="1">
      <c r="A92" s="20" t="s">
        <v>27</v>
      </c>
      <c r="B92" s="19">
        <f t="shared" ref="B92:J92" si="91">IF(B91&lt;10^(-3),0.5,IF(B91&lt;(5*10^2),1.18,IF(B91&lt;(2*10^7),0.54,IF(B91&gt;(2*10^7),0.135))))</f>
        <v>0.13500000000000001</v>
      </c>
      <c r="C92" s="19">
        <f t="shared" si="91"/>
        <v>0.13500000000000001</v>
      </c>
      <c r="D92" s="19">
        <f t="shared" si="91"/>
        <v>0.13500000000000001</v>
      </c>
      <c r="E92" s="19">
        <f t="shared" si="91"/>
        <v>0.13500000000000001</v>
      </c>
      <c r="F92" s="19">
        <f t="shared" si="91"/>
        <v>0.13500000000000001</v>
      </c>
      <c r="G92" s="19">
        <f t="shared" si="91"/>
        <v>0.13500000000000001</v>
      </c>
      <c r="H92" s="19">
        <f t="shared" si="91"/>
        <v>0.13500000000000001</v>
      </c>
      <c r="I92" s="19">
        <f t="shared" si="91"/>
        <v>0.13500000000000001</v>
      </c>
      <c r="J92" s="19">
        <f t="shared" si="91"/>
        <v>0.13500000000000001</v>
      </c>
      <c r="K92" s="19">
        <f t="shared" ref="K92" si="92">IF(K91&lt;10^(-3),0.5,IF(K91&lt;(5*10^2),1.18,IF(K91&lt;(2*10^7),0.54,IF(K91&gt;(2*10^7),0.135))))</f>
        <v>0.13500000000000001</v>
      </c>
      <c r="L92" s="23" t="s">
        <v>251</v>
      </c>
    </row>
    <row r="93" spans="1:24" s="4" customFormat="1" ht="20.100000000000001" customHeight="1">
      <c r="A93" s="20" t="s">
        <v>28</v>
      </c>
      <c r="B93" s="19">
        <f t="shared" ref="B93:J93" si="93">IF(B91&lt;10^(-3),0,IF(B91&lt;(5*10^2),(1/8),IF(B91&lt;(2*10^7),(1/4),IF(B91&gt;(2*10^7),(1/3)))))</f>
        <v>0.33333333333333331</v>
      </c>
      <c r="C93" s="19">
        <f t="shared" si="93"/>
        <v>0.33333333333333331</v>
      </c>
      <c r="D93" s="19">
        <f t="shared" si="93"/>
        <v>0.33333333333333331</v>
      </c>
      <c r="E93" s="19">
        <f t="shared" si="93"/>
        <v>0.33333333333333331</v>
      </c>
      <c r="F93" s="19">
        <f t="shared" si="93"/>
        <v>0.33333333333333331</v>
      </c>
      <c r="G93" s="19">
        <f t="shared" si="93"/>
        <v>0.33333333333333331</v>
      </c>
      <c r="H93" s="19">
        <f t="shared" si="93"/>
        <v>0.33333333333333331</v>
      </c>
      <c r="I93" s="19">
        <f t="shared" si="93"/>
        <v>0.33333333333333331</v>
      </c>
      <c r="J93" s="19">
        <f t="shared" si="93"/>
        <v>0.33333333333333331</v>
      </c>
      <c r="K93" s="19">
        <f t="shared" ref="K93" si="94">IF(K91&lt;10^(-3),0,IF(K91&lt;(5*10^2),(1/8),IF(K91&lt;(2*10^7),(1/4),IF(K91&gt;(2*10^7),(1/3)))))</f>
        <v>0.33333333333333331</v>
      </c>
      <c r="L93" s="23" t="s">
        <v>251</v>
      </c>
    </row>
    <row r="94" spans="1:24" s="43" customFormat="1" ht="20.100000000000001" customHeight="1">
      <c r="A94" s="49" t="s">
        <v>123</v>
      </c>
      <c r="B94" s="50">
        <f t="shared" ref="B94:F95" si="95">B23</f>
        <v>0.1</v>
      </c>
      <c r="C94" s="50">
        <f t="shared" si="95"/>
        <v>0.1</v>
      </c>
      <c r="D94" s="50">
        <f t="shared" si="95"/>
        <v>0.1</v>
      </c>
      <c r="E94" s="50">
        <f t="shared" ref="E94" si="96">E23</f>
        <v>0.1</v>
      </c>
      <c r="F94" s="50">
        <f t="shared" si="95"/>
        <v>0.1</v>
      </c>
      <c r="G94" s="50">
        <f t="shared" ref="G94:H94" si="97">G23</f>
        <v>0.1</v>
      </c>
      <c r="H94" s="50">
        <f t="shared" si="97"/>
        <v>0.08</v>
      </c>
      <c r="I94" s="50">
        <f t="shared" ref="I94:J94" si="98">I23</f>
        <v>0.08</v>
      </c>
      <c r="J94" s="50">
        <f t="shared" si="98"/>
        <v>0.08</v>
      </c>
      <c r="K94" s="50">
        <f t="shared" ref="K94" si="99">K23</f>
        <v>0.08</v>
      </c>
      <c r="L94" s="49"/>
      <c r="Q94" s="41"/>
    </row>
    <row r="95" spans="1:24" s="41" customFormat="1" ht="20.100000000000001" customHeight="1">
      <c r="A95" s="35" t="s">
        <v>124</v>
      </c>
      <c r="B95" s="50">
        <f t="shared" si="95"/>
        <v>3.52518E-2</v>
      </c>
      <c r="C95" s="50">
        <f t="shared" si="95"/>
        <v>3.52518E-2</v>
      </c>
      <c r="D95" s="50">
        <f t="shared" si="95"/>
        <v>3.52518E-2</v>
      </c>
      <c r="E95" s="50">
        <f t="shared" ref="E95" si="100">E24</f>
        <v>3.52518E-2</v>
      </c>
      <c r="F95" s="50">
        <f t="shared" si="95"/>
        <v>3.52518E-2</v>
      </c>
      <c r="G95" s="50">
        <f t="shared" ref="G95:H95" si="101">G24</f>
        <v>3.52518E-2</v>
      </c>
      <c r="H95" s="50">
        <f t="shared" si="101"/>
        <v>3.52518E-2</v>
      </c>
      <c r="I95" s="50">
        <f t="shared" ref="I95:J95" si="102">I24</f>
        <v>3.52518E-2</v>
      </c>
      <c r="J95" s="50">
        <f t="shared" si="102"/>
        <v>3.52518E-2</v>
      </c>
      <c r="K95" s="50">
        <f t="shared" ref="K95" si="103">K24</f>
        <v>3.52518E-2</v>
      </c>
      <c r="L95" s="35"/>
    </row>
    <row r="96" spans="1:24" s="5" customFormat="1" ht="20.100000000000001" customHeight="1">
      <c r="A96" s="20" t="s">
        <v>155</v>
      </c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0"/>
      <c r="Q96" s="41"/>
    </row>
    <row r="97" spans="1:17" s="3" customFormat="1" ht="20.100000000000001" customHeight="1">
      <c r="A97" s="18" t="s">
        <v>45</v>
      </c>
      <c r="B97" s="21">
        <f t="shared" ref="B97:J97" si="104">B114*B99*B105^B115/B107</f>
        <v>4.0424584336464067</v>
      </c>
      <c r="C97" s="21">
        <f t="shared" si="104"/>
        <v>4.0424584336464067</v>
      </c>
      <c r="D97" s="21">
        <f t="shared" si="104"/>
        <v>4.0424584336464067</v>
      </c>
      <c r="E97" s="21">
        <f t="shared" si="104"/>
        <v>4.0424584336464067</v>
      </c>
      <c r="F97" s="21">
        <f t="shared" si="104"/>
        <v>4.2741947008396926</v>
      </c>
      <c r="G97" s="21">
        <f t="shared" si="104"/>
        <v>4.2741947008396926</v>
      </c>
      <c r="H97" s="21">
        <f t="shared" si="104"/>
        <v>4.7227626888206782</v>
      </c>
      <c r="I97" s="21">
        <f t="shared" si="104"/>
        <v>4.5717229998872435</v>
      </c>
      <c r="J97" s="21">
        <f t="shared" si="104"/>
        <v>4.5717229998872435</v>
      </c>
      <c r="K97" s="21">
        <f t="shared" ref="K97" si="105">K114*K99*K105^K115/K107</f>
        <v>4.5717229998872435</v>
      </c>
      <c r="L97" s="18"/>
      <c r="M97" s="3">
        <f>0.023*0.023583*(4.3665313*10^6)^0.8/23.7</f>
        <v>4.6955644192234542</v>
      </c>
      <c r="Q97" s="4"/>
    </row>
    <row r="98" spans="1:17" s="5" customFormat="1" ht="20.100000000000001" customHeight="1">
      <c r="A98" s="20" t="s">
        <v>41</v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0"/>
      <c r="Q98" s="4"/>
    </row>
    <row r="99" spans="1:17" s="5" customFormat="1" ht="20.100000000000001" customHeight="1">
      <c r="A99" s="20" t="s">
        <v>42</v>
      </c>
      <c r="B99" s="21">
        <f t="shared" ref="B99:J99" si="106">B100*(273+B103)/(B102+B103)*(B102/273)^(3/2)</f>
        <v>2.3345172546385573E-2</v>
      </c>
      <c r="C99" s="21">
        <f t="shared" si="106"/>
        <v>2.3345172546385573E-2</v>
      </c>
      <c r="D99" s="21">
        <f t="shared" si="106"/>
        <v>2.3345172546385573E-2</v>
      </c>
      <c r="E99" s="21">
        <f t="shared" si="106"/>
        <v>2.3345172546385573E-2</v>
      </c>
      <c r="F99" s="21">
        <f t="shared" si="106"/>
        <v>2.3345172546385573E-2</v>
      </c>
      <c r="G99" s="21">
        <f t="shared" si="106"/>
        <v>2.3345172546385573E-2</v>
      </c>
      <c r="H99" s="21">
        <f t="shared" si="106"/>
        <v>2.3345172546385573E-2</v>
      </c>
      <c r="I99" s="21">
        <f t="shared" si="106"/>
        <v>2.3345172546385573E-2</v>
      </c>
      <c r="J99" s="21">
        <f t="shared" si="106"/>
        <v>2.3345172546385573E-2</v>
      </c>
      <c r="K99" s="21">
        <f t="shared" ref="K99" si="107">K100*(273+K103)/(K102+K103)*(K102/273)^(3/2)</f>
        <v>2.3345172546385573E-2</v>
      </c>
      <c r="L99" s="20"/>
      <c r="M99" s="5">
        <f>0.0237*(273+125)/(271+125)*(271/273)^(3/2)</f>
        <v>2.3558422049509972E-2</v>
      </c>
      <c r="Q99" s="4"/>
    </row>
    <row r="100" spans="1:17" s="4" customFormat="1" ht="20.100000000000001" customHeight="1">
      <c r="A100" s="35" t="s">
        <v>30</v>
      </c>
      <c r="B100" s="24">
        <v>2.3699999999999999E-2</v>
      </c>
      <c r="C100" s="24">
        <v>2.3699999999999999E-2</v>
      </c>
      <c r="D100" s="24">
        <v>2.3699999999999999E-2</v>
      </c>
      <c r="E100" s="24">
        <v>2.3699999999999999E-2</v>
      </c>
      <c r="F100" s="24">
        <v>2.3699999999999999E-2</v>
      </c>
      <c r="G100" s="24">
        <v>2.3699999999999999E-2</v>
      </c>
      <c r="H100" s="24">
        <v>2.3699999999999999E-2</v>
      </c>
      <c r="I100" s="24">
        <v>2.3699999999999999E-2</v>
      </c>
      <c r="J100" s="24">
        <v>2.3699999999999999E-2</v>
      </c>
      <c r="K100" s="24">
        <v>2.3699999999999999E-2</v>
      </c>
      <c r="L100" s="23"/>
    </row>
    <row r="101" spans="1:17" s="3" customFormat="1" ht="20.100000000000001" customHeight="1">
      <c r="A101" s="18" t="s">
        <v>85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8"/>
      <c r="Q101" s="4"/>
    </row>
    <row r="102" spans="1:17" s="3" customFormat="1" ht="20.100000000000001" customHeight="1">
      <c r="A102" s="18" t="s">
        <v>55</v>
      </c>
      <c r="B102" s="21">
        <f t="shared" ref="B102:J102" si="108">273+(B49)</f>
        <v>268</v>
      </c>
      <c r="C102" s="21">
        <f t="shared" si="108"/>
        <v>268</v>
      </c>
      <c r="D102" s="21">
        <f t="shared" si="108"/>
        <v>268</v>
      </c>
      <c r="E102" s="21">
        <f t="shared" si="108"/>
        <v>268</v>
      </c>
      <c r="F102" s="21">
        <f t="shared" si="108"/>
        <v>268</v>
      </c>
      <c r="G102" s="21">
        <f t="shared" si="108"/>
        <v>268</v>
      </c>
      <c r="H102" s="21">
        <f t="shared" si="108"/>
        <v>268</v>
      </c>
      <c r="I102" s="21">
        <f t="shared" si="108"/>
        <v>268</v>
      </c>
      <c r="J102" s="21">
        <f t="shared" si="108"/>
        <v>268</v>
      </c>
      <c r="K102" s="21">
        <f t="shared" ref="K102" si="109">273+(K49)</f>
        <v>268</v>
      </c>
      <c r="L102" s="18"/>
      <c r="Q102" s="4"/>
    </row>
    <row r="103" spans="1:17" s="4" customFormat="1" ht="20.100000000000001" customHeight="1">
      <c r="A103" s="23" t="s">
        <v>31</v>
      </c>
      <c r="B103" s="45">
        <v>125</v>
      </c>
      <c r="C103" s="45">
        <v>125</v>
      </c>
      <c r="D103" s="45">
        <v>125</v>
      </c>
      <c r="E103" s="45">
        <v>125</v>
      </c>
      <c r="F103" s="45">
        <v>125</v>
      </c>
      <c r="G103" s="45">
        <v>125</v>
      </c>
      <c r="H103" s="45">
        <v>125</v>
      </c>
      <c r="I103" s="45">
        <v>125</v>
      </c>
      <c r="J103" s="45">
        <v>125</v>
      </c>
      <c r="K103" s="45">
        <v>125</v>
      </c>
      <c r="L103" s="23"/>
    </row>
    <row r="104" spans="1:17" s="3" customFormat="1" ht="20.100000000000001" customHeight="1">
      <c r="A104" s="18" t="s">
        <v>32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18"/>
      <c r="Q104" s="4"/>
    </row>
    <row r="105" spans="1:17" s="3" customFormat="1" ht="20.100000000000001" customHeight="1">
      <c r="A105" s="18" t="s">
        <v>40</v>
      </c>
      <c r="B105" s="21">
        <f t="shared" ref="B105:J105" si="110">B106*B107/B109</f>
        <v>6399601.8247709684</v>
      </c>
      <c r="C105" s="21">
        <f t="shared" si="110"/>
        <v>6399601.8247709684</v>
      </c>
      <c r="D105" s="21">
        <f t="shared" si="110"/>
        <v>6399601.8247709684</v>
      </c>
      <c r="E105" s="21">
        <f t="shared" si="110"/>
        <v>6399601.8247709684</v>
      </c>
      <c r="F105" s="21">
        <f t="shared" si="110"/>
        <v>4842941.9214483006</v>
      </c>
      <c r="G105" s="21">
        <f t="shared" si="110"/>
        <v>4842941.9214483006</v>
      </c>
      <c r="H105" s="21">
        <f t="shared" si="110"/>
        <v>2940357.5951650394</v>
      </c>
      <c r="I105" s="21">
        <f t="shared" si="110"/>
        <v>3459244.2296059295</v>
      </c>
      <c r="J105" s="21">
        <f t="shared" si="110"/>
        <v>3459244.2296059295</v>
      </c>
      <c r="K105" s="21">
        <f t="shared" ref="K105" si="111">K106*K107/K109</f>
        <v>3459244.2296059295</v>
      </c>
      <c r="L105" s="18"/>
      <c r="Q105" s="4"/>
    </row>
    <row r="106" spans="1:17" s="4" customFormat="1" ht="20.100000000000001" customHeight="1">
      <c r="A106" s="23" t="s">
        <v>33</v>
      </c>
      <c r="B106" s="24">
        <f t="shared" ref="B106:J106" si="112">B32</f>
        <v>2.2999999999999998</v>
      </c>
      <c r="C106" s="24">
        <f t="shared" si="112"/>
        <v>2.2999999999999998</v>
      </c>
      <c r="D106" s="24">
        <f t="shared" si="112"/>
        <v>2.2999999999999998</v>
      </c>
      <c r="E106" s="24">
        <f t="shared" si="112"/>
        <v>2.2999999999999998</v>
      </c>
      <c r="F106" s="24">
        <f t="shared" si="112"/>
        <v>2.2999999999999998</v>
      </c>
      <c r="G106" s="24">
        <f t="shared" si="112"/>
        <v>2.2999999999999998</v>
      </c>
      <c r="H106" s="24">
        <f t="shared" si="112"/>
        <v>2.2999999999999998</v>
      </c>
      <c r="I106" s="24">
        <f t="shared" si="112"/>
        <v>2.2999999999999998</v>
      </c>
      <c r="J106" s="24">
        <f t="shared" si="112"/>
        <v>2.2999999999999998</v>
      </c>
      <c r="K106" s="24">
        <f t="shared" ref="K106" si="113">K32</f>
        <v>2.2999999999999998</v>
      </c>
      <c r="L106" s="23"/>
    </row>
    <row r="107" spans="1:17" s="4" customFormat="1" ht="20.100000000000001" customHeight="1">
      <c r="A107" s="23" t="s">
        <v>34</v>
      </c>
      <c r="B107" s="24">
        <f t="shared" ref="B107:J107" si="114">B15</f>
        <v>37</v>
      </c>
      <c r="C107" s="24">
        <f t="shared" si="114"/>
        <v>37</v>
      </c>
      <c r="D107" s="24">
        <f t="shared" si="114"/>
        <v>37</v>
      </c>
      <c r="E107" s="24">
        <f t="shared" si="114"/>
        <v>37</v>
      </c>
      <c r="F107" s="24">
        <f t="shared" si="114"/>
        <v>28</v>
      </c>
      <c r="G107" s="24">
        <f t="shared" si="114"/>
        <v>28</v>
      </c>
      <c r="H107" s="24">
        <f t="shared" si="114"/>
        <v>17</v>
      </c>
      <c r="I107" s="24">
        <f t="shared" si="114"/>
        <v>20</v>
      </c>
      <c r="J107" s="24">
        <f t="shared" si="114"/>
        <v>20</v>
      </c>
      <c r="K107" s="24">
        <f t="shared" ref="K107" si="115">K15</f>
        <v>20</v>
      </c>
      <c r="L107" s="23"/>
    </row>
    <row r="108" spans="1:17" s="3" customFormat="1" ht="20.100000000000001" customHeight="1">
      <c r="A108" s="18" t="s">
        <v>39</v>
      </c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18"/>
      <c r="Q108" s="4"/>
    </row>
    <row r="109" spans="1:17" s="5" customFormat="1" ht="20.100000000000001" customHeight="1">
      <c r="A109" s="20" t="s">
        <v>38</v>
      </c>
      <c r="B109" s="21">
        <f t="shared" ref="B109:J109" si="116">B110*(273+B111)/(B102+B111)*(B102/273)^(3/2)*(B67/B113)</f>
        <v>1.3297702314947631E-5</v>
      </c>
      <c r="C109" s="21">
        <f t="shared" si="116"/>
        <v>1.3297702314947631E-5</v>
      </c>
      <c r="D109" s="21">
        <f t="shared" si="116"/>
        <v>1.3297702314947631E-5</v>
      </c>
      <c r="E109" s="21">
        <f t="shared" si="116"/>
        <v>1.3297702314947631E-5</v>
      </c>
      <c r="F109" s="21">
        <f t="shared" si="116"/>
        <v>1.3297702314947631E-5</v>
      </c>
      <c r="G109" s="21">
        <f t="shared" si="116"/>
        <v>1.3297702314947631E-5</v>
      </c>
      <c r="H109" s="21">
        <f t="shared" si="116"/>
        <v>1.3297702314947631E-5</v>
      </c>
      <c r="I109" s="21">
        <f t="shared" si="116"/>
        <v>1.3297702314947631E-5</v>
      </c>
      <c r="J109" s="21">
        <f t="shared" si="116"/>
        <v>1.3297702314947631E-5</v>
      </c>
      <c r="K109" s="21">
        <f t="shared" ref="K109" si="117">K110*(273+K111)/(K102+K111)*(K102/273)^(3/2)*(K67/K113)</f>
        <v>1.3297702314947631E-5</v>
      </c>
      <c r="L109" s="20"/>
      <c r="Q109" s="4"/>
    </row>
    <row r="110" spans="1:17" s="4" customFormat="1" ht="20.100000000000001" customHeight="1">
      <c r="A110" s="35" t="s">
        <v>35</v>
      </c>
      <c r="B110" s="24">
        <f t="shared" ref="B110:K110" si="118">1.755*10^(-6)</f>
        <v>1.7549999999999997E-6</v>
      </c>
      <c r="C110" s="24">
        <f t="shared" si="118"/>
        <v>1.7549999999999997E-6</v>
      </c>
      <c r="D110" s="24">
        <f t="shared" si="118"/>
        <v>1.7549999999999997E-6</v>
      </c>
      <c r="E110" s="24">
        <f t="shared" si="118"/>
        <v>1.7549999999999997E-6</v>
      </c>
      <c r="F110" s="24">
        <f t="shared" si="118"/>
        <v>1.7549999999999997E-6</v>
      </c>
      <c r="G110" s="24">
        <f t="shared" si="118"/>
        <v>1.7549999999999997E-6</v>
      </c>
      <c r="H110" s="24">
        <f t="shared" si="118"/>
        <v>1.7549999999999997E-6</v>
      </c>
      <c r="I110" s="24">
        <f t="shared" si="118"/>
        <v>1.7549999999999997E-6</v>
      </c>
      <c r="J110" s="24">
        <f t="shared" si="118"/>
        <v>1.7549999999999997E-6</v>
      </c>
      <c r="K110" s="24">
        <f t="shared" si="118"/>
        <v>1.7549999999999997E-6</v>
      </c>
      <c r="L110" s="23"/>
    </row>
    <row r="111" spans="1:17" s="4" customFormat="1" ht="20.100000000000001" customHeight="1">
      <c r="A111" s="23" t="s">
        <v>86</v>
      </c>
      <c r="B111" s="24">
        <v>124</v>
      </c>
      <c r="C111" s="24">
        <v>124</v>
      </c>
      <c r="D111" s="24">
        <v>124</v>
      </c>
      <c r="E111" s="24">
        <v>124</v>
      </c>
      <c r="F111" s="24">
        <v>124</v>
      </c>
      <c r="G111" s="24">
        <v>124</v>
      </c>
      <c r="H111" s="24">
        <v>124</v>
      </c>
      <c r="I111" s="24">
        <v>124</v>
      </c>
      <c r="J111" s="24">
        <v>124</v>
      </c>
      <c r="K111" s="24">
        <v>124</v>
      </c>
      <c r="L111" s="23"/>
    </row>
    <row r="112" spans="1:17" s="5" customFormat="1" ht="20.100000000000001" customHeight="1">
      <c r="A112" s="20" t="s">
        <v>37</v>
      </c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0"/>
      <c r="Q112" s="4"/>
    </row>
    <row r="113" spans="1:17" s="5" customFormat="1" ht="20.100000000000001" customHeight="1">
      <c r="A113" s="20" t="s">
        <v>36</v>
      </c>
      <c r="B113" s="21">
        <f t="shared" ref="B113:J113" si="119">1.252*273/B102</f>
        <v>1.2753582089552238</v>
      </c>
      <c r="C113" s="21">
        <f t="shared" si="119"/>
        <v>1.2753582089552238</v>
      </c>
      <c r="D113" s="21">
        <f t="shared" si="119"/>
        <v>1.2753582089552238</v>
      </c>
      <c r="E113" s="21">
        <f t="shared" si="119"/>
        <v>1.2753582089552238</v>
      </c>
      <c r="F113" s="21">
        <f t="shared" si="119"/>
        <v>1.2753582089552238</v>
      </c>
      <c r="G113" s="21">
        <f t="shared" si="119"/>
        <v>1.2753582089552238</v>
      </c>
      <c r="H113" s="21">
        <f t="shared" si="119"/>
        <v>1.2753582089552238</v>
      </c>
      <c r="I113" s="21">
        <f t="shared" si="119"/>
        <v>1.2753582089552238</v>
      </c>
      <c r="J113" s="21">
        <f t="shared" si="119"/>
        <v>1.2753582089552238</v>
      </c>
      <c r="K113" s="21">
        <f t="shared" ref="K113" si="120">1.252*273/K102</f>
        <v>1.2753582089552238</v>
      </c>
      <c r="L113" s="20"/>
      <c r="Q113" s="4"/>
    </row>
    <row r="114" spans="1:17" s="5" customFormat="1" ht="20.100000000000001" customHeight="1">
      <c r="A114" s="20" t="s">
        <v>43</v>
      </c>
      <c r="B114" s="21">
        <f>IF(B105&lt;80,0.81,IF(B105&lt;(5*10^3),0.625,IF(B105&lt;(5*10^4),0.197,IF(B105&gt;(5*10^4),0.023))))</f>
        <v>2.3E-2</v>
      </c>
      <c r="C114" s="21">
        <f t="shared" ref="C114:F114" si="121">IF(C105&lt;80,0.81,IF(C105&lt;(5*10^3),0.625,IF(C105&lt;(5*10^4),0.197,IF(C105&gt;(5*10^4),0.023))))</f>
        <v>2.3E-2</v>
      </c>
      <c r="D114" s="21">
        <f t="shared" si="121"/>
        <v>2.3E-2</v>
      </c>
      <c r="E114" s="21">
        <f t="shared" ref="E114" si="122">IF(E105&lt;80,0.81,IF(E105&lt;(5*10^3),0.625,IF(E105&lt;(5*10^4),0.197,IF(E105&gt;(5*10^4),0.023))))</f>
        <v>2.3E-2</v>
      </c>
      <c r="F114" s="21">
        <f t="shared" si="121"/>
        <v>2.3E-2</v>
      </c>
      <c r="G114" s="21">
        <f t="shared" ref="G114:H114" si="123">IF(G105&lt;80,0.81,IF(G105&lt;(5*10^3),0.625,IF(G105&lt;(5*10^4),0.197,IF(G105&gt;(5*10^4),0.023))))</f>
        <v>2.3E-2</v>
      </c>
      <c r="H114" s="21">
        <f t="shared" si="123"/>
        <v>2.3E-2</v>
      </c>
      <c r="I114" s="21">
        <f t="shared" ref="I114:J114" si="124">IF(I105&lt;80,0.81,IF(I105&lt;(5*10^3),0.625,IF(I105&lt;(5*10^4),0.197,IF(I105&gt;(5*10^4),0.023))))</f>
        <v>2.3E-2</v>
      </c>
      <c r="J114" s="21">
        <f t="shared" si="124"/>
        <v>2.3E-2</v>
      </c>
      <c r="K114" s="21">
        <f t="shared" ref="K114" si="125">IF(K105&lt;80,0.81,IF(K105&lt;(5*10^3),0.625,IF(K105&lt;(5*10^4),0.197,IF(K105&gt;(5*10^4),0.023))))</f>
        <v>2.3E-2</v>
      </c>
      <c r="L114" s="20" t="s">
        <v>252</v>
      </c>
      <c r="Q114" s="4"/>
    </row>
    <row r="115" spans="1:17" s="5" customFormat="1" ht="20.100000000000001" customHeight="1">
      <c r="A115" s="20" t="s">
        <v>44</v>
      </c>
      <c r="B115" s="21">
        <f>IF(B105&lt;80,0.4,IF(B105&lt;(5*10^3),0.46,IF(B105&lt;(5*10^4),0.6,IF(B105&gt;(5*10^4),0.8))))</f>
        <v>0.8</v>
      </c>
      <c r="C115" s="21">
        <f t="shared" ref="C115:F115" si="126">IF(C105&lt;80,0.4,IF(C105&lt;(5*10^3),0.46,IF(C105&lt;(5*10^4),0.6,IF(C105&gt;(5*10^4),0.8))))</f>
        <v>0.8</v>
      </c>
      <c r="D115" s="21">
        <f t="shared" si="126"/>
        <v>0.8</v>
      </c>
      <c r="E115" s="21">
        <f t="shared" ref="E115" si="127">IF(E105&lt;80,0.4,IF(E105&lt;(5*10^3),0.46,IF(E105&lt;(5*10^4),0.6,IF(E105&gt;(5*10^4),0.8))))</f>
        <v>0.8</v>
      </c>
      <c r="F115" s="21">
        <f t="shared" si="126"/>
        <v>0.8</v>
      </c>
      <c r="G115" s="21">
        <f t="shared" ref="G115:H115" si="128">IF(G105&lt;80,0.4,IF(G105&lt;(5*10^3),0.46,IF(G105&lt;(5*10^4),0.6,IF(G105&gt;(5*10^4),0.8))))</f>
        <v>0.8</v>
      </c>
      <c r="H115" s="21">
        <f t="shared" si="128"/>
        <v>0.8</v>
      </c>
      <c r="I115" s="21">
        <f t="shared" ref="I115:J115" si="129">IF(I105&lt;80,0.4,IF(I105&lt;(5*10^3),0.46,IF(I105&lt;(5*10^4),0.6,IF(I105&gt;(5*10^4),0.8))))</f>
        <v>0.8</v>
      </c>
      <c r="J115" s="21">
        <f t="shared" si="129"/>
        <v>0.8</v>
      </c>
      <c r="K115" s="21">
        <f t="shared" ref="K115" si="130">IF(K105&lt;80,0.4,IF(K105&lt;(5*10^3),0.46,IF(K105&lt;(5*10^4),0.6,IF(K105&gt;(5*10^4),0.8))))</f>
        <v>0.8</v>
      </c>
      <c r="L115" s="20" t="s">
        <v>252</v>
      </c>
      <c r="Q115" s="4"/>
    </row>
    <row r="116" spans="1:17" s="41" customFormat="1" ht="20.100000000000001" customHeight="1">
      <c r="A116" s="20" t="s">
        <v>156</v>
      </c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5"/>
    </row>
    <row r="117" spans="1:17" s="4" customFormat="1" ht="20.100000000000001" customHeight="1">
      <c r="A117" s="18" t="s">
        <v>65</v>
      </c>
      <c r="B117" s="19">
        <f t="shared" ref="B117:J117" si="131">B118*B119*(((B52+273)/100)^4-((B49+273)/100)^4)/(B52-B49)</f>
        <v>8.7526728351009382</v>
      </c>
      <c r="C117" s="19">
        <f t="shared" si="131"/>
        <v>8.708308257558885</v>
      </c>
      <c r="D117" s="19">
        <f t="shared" si="131"/>
        <v>8.7457965353246312</v>
      </c>
      <c r="E117" s="19">
        <f t="shared" si="131"/>
        <v>8.0856122453724151</v>
      </c>
      <c r="F117" s="19">
        <f t="shared" si="131"/>
        <v>8.7081797931205305</v>
      </c>
      <c r="G117" s="19">
        <f t="shared" si="131"/>
        <v>8.351112848510569</v>
      </c>
      <c r="H117" s="19">
        <f t="shared" si="131"/>
        <v>6.9864713592722412</v>
      </c>
      <c r="I117" s="19">
        <f t="shared" si="131"/>
        <v>6.9583227632863229</v>
      </c>
      <c r="J117" s="19">
        <f t="shared" si="131"/>
        <v>6.9557013795467277</v>
      </c>
      <c r="K117" s="19">
        <f t="shared" ref="K117" si="132">K118*K119*(((K52+273)/100)^4-((K49+273)/100)^4)/(K52-K49)</f>
        <v>6.9557013795467277</v>
      </c>
      <c r="L117" s="23"/>
    </row>
    <row r="118" spans="1:17" s="4" customFormat="1" ht="20.100000000000001" customHeight="1">
      <c r="A118" s="23" t="s">
        <v>46</v>
      </c>
      <c r="B118" s="24">
        <f t="shared" ref="B118:J118" si="133">B27</f>
        <v>0.96</v>
      </c>
      <c r="C118" s="24">
        <f t="shared" si="133"/>
        <v>0.96</v>
      </c>
      <c r="D118" s="24">
        <f t="shared" si="133"/>
        <v>0.96</v>
      </c>
      <c r="E118" s="24">
        <f t="shared" si="133"/>
        <v>0.96</v>
      </c>
      <c r="F118" s="24">
        <f t="shared" si="133"/>
        <v>0.96</v>
      </c>
      <c r="G118" s="24">
        <f t="shared" si="133"/>
        <v>0.96</v>
      </c>
      <c r="H118" s="24">
        <f t="shared" si="133"/>
        <v>0.96</v>
      </c>
      <c r="I118" s="24">
        <f t="shared" si="133"/>
        <v>0.96</v>
      </c>
      <c r="J118" s="24">
        <f t="shared" si="133"/>
        <v>0.96</v>
      </c>
      <c r="K118" s="24">
        <f t="shared" ref="K118" si="134">K27</f>
        <v>0.96</v>
      </c>
      <c r="L118" s="80" t="s">
        <v>87</v>
      </c>
    </row>
    <row r="119" spans="1:17" s="4" customFormat="1" ht="20.100000000000001" customHeight="1">
      <c r="A119" s="46" t="s">
        <v>88</v>
      </c>
      <c r="B119" s="24">
        <v>5.7</v>
      </c>
      <c r="C119" s="24">
        <v>5.7</v>
      </c>
      <c r="D119" s="24">
        <v>5.7</v>
      </c>
      <c r="E119" s="24">
        <v>5.7</v>
      </c>
      <c r="F119" s="24">
        <v>5.7</v>
      </c>
      <c r="G119" s="24">
        <v>5.7</v>
      </c>
      <c r="H119" s="24">
        <v>5.7</v>
      </c>
      <c r="I119" s="24">
        <v>5.7</v>
      </c>
      <c r="J119" s="24">
        <v>5.7</v>
      </c>
      <c r="K119" s="24">
        <v>5.7</v>
      </c>
      <c r="L119" s="23"/>
    </row>
    <row r="120" spans="1:17" s="54" customFormat="1" ht="20.100000000000001" customHeight="1">
      <c r="A120" s="52" t="s">
        <v>254</v>
      </c>
      <c r="B120" s="53">
        <f t="shared" ref="B120:J120" si="135">B52+(B43-B49)*B54/B56-B43</f>
        <v>0.14512285455600704</v>
      </c>
      <c r="C120" s="53">
        <f t="shared" si="135"/>
        <v>0.25256843768337944</v>
      </c>
      <c r="D120" s="53">
        <f t="shared" si="135"/>
        <v>0.16225768735853308</v>
      </c>
      <c r="E120" s="53">
        <f t="shared" si="135"/>
        <v>0.24523567128417767</v>
      </c>
      <c r="F120" s="53">
        <f t="shared" si="135"/>
        <v>0.24979362325512966</v>
      </c>
      <c r="G120" s="53">
        <f t="shared" si="135"/>
        <v>9.6682551550685503E-2</v>
      </c>
      <c r="H120" s="53">
        <f t="shared" si="135"/>
        <v>0.12162409187632761</v>
      </c>
      <c r="I120" s="53">
        <f t="shared" si="135"/>
        <v>0.19903514303599934</v>
      </c>
      <c r="J120" s="53">
        <f t="shared" si="135"/>
        <v>0.20628441684449683</v>
      </c>
      <c r="K120" s="53">
        <f t="shared" ref="K120" si="136">K52+(K43-K49)*K54/K56-K43</f>
        <v>0.20628441684449683</v>
      </c>
      <c r="L120" s="78" t="s">
        <v>255</v>
      </c>
      <c r="Q120" s="7"/>
    </row>
    <row r="121" spans="1:17" s="59" customFormat="1" ht="20.100000000000001" customHeight="1">
      <c r="A121" s="56" t="s">
        <v>157</v>
      </c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1"/>
    </row>
    <row r="122" spans="1:17" s="5" customFormat="1" ht="20.100000000000001" customHeight="1">
      <c r="A122" s="20" t="s">
        <v>158</v>
      </c>
      <c r="B122" s="21">
        <f>1/(1/B123+1/B151+B152/B153+1/(B154+B156))</f>
        <v>0.29564308445647897</v>
      </c>
      <c r="C122" s="21">
        <f t="shared" ref="C122:D122" si="137">1/(1/C123+1/C151+C152/C153+1/(C154+C156))</f>
        <v>0.29564308445647897</v>
      </c>
      <c r="D122" s="21">
        <f t="shared" si="137"/>
        <v>0.29564308445647897</v>
      </c>
      <c r="E122" s="21">
        <f t="shared" ref="E122" si="138">1/(1/E123+1/E151+E152/E153+1/(E154+E156))</f>
        <v>0.29265361041940491</v>
      </c>
      <c r="F122" s="21">
        <f t="shared" ref="F122:K122" si="139">1/(1/F123+1/F151+F152/F153+1/(F154+F156))</f>
        <v>0.29587402800256141</v>
      </c>
      <c r="G122" s="21">
        <f t="shared" si="139"/>
        <v>0.29398113582668906</v>
      </c>
      <c r="H122" s="21">
        <f t="shared" si="139"/>
        <v>0.34587496379829535</v>
      </c>
      <c r="I122" s="21">
        <f t="shared" si="139"/>
        <v>0.34567601334314824</v>
      </c>
      <c r="J122" s="21">
        <f t="shared" si="139"/>
        <v>0.34567601334314824</v>
      </c>
      <c r="K122" s="21">
        <f t="shared" si="139"/>
        <v>0.34567601334314824</v>
      </c>
      <c r="L122" s="20"/>
      <c r="M122" s="5">
        <f>F122/1.163</f>
        <v>0.25440587102541823</v>
      </c>
      <c r="Q122" s="41"/>
    </row>
    <row r="123" spans="1:17" s="41" customFormat="1" ht="20.100000000000001" customHeight="1">
      <c r="A123" s="20" t="s">
        <v>159</v>
      </c>
      <c r="B123" s="55">
        <f t="shared" ref="B123:J123" si="140">IF(B129&gt;2*10^7,B124,IF(B129&gt;5*10^2,B125,IF(B129&lt;5*10^2,0)))</f>
        <v>4.8708308971356242</v>
      </c>
      <c r="C123" s="55">
        <f t="shared" si="140"/>
        <v>4.8708308971356242</v>
      </c>
      <c r="D123" s="55">
        <f t="shared" si="140"/>
        <v>4.8708308971356242</v>
      </c>
      <c r="E123" s="55">
        <f t="shared" si="140"/>
        <v>4.4629491109325041</v>
      </c>
      <c r="F123" s="55">
        <f t="shared" si="140"/>
        <v>4.8708308971356242</v>
      </c>
      <c r="G123" s="55">
        <f t="shared" si="140"/>
        <v>4.607013623509296</v>
      </c>
      <c r="H123" s="55">
        <f t="shared" si="140"/>
        <v>3.9626703751705521</v>
      </c>
      <c r="I123" s="55">
        <f t="shared" si="140"/>
        <v>3.9626703751705521</v>
      </c>
      <c r="J123" s="55">
        <f t="shared" si="140"/>
        <v>3.9626703751705521</v>
      </c>
      <c r="K123" s="55">
        <f t="shared" ref="K123" si="141">IF(K129&gt;2*10^7,K124,IF(K129&gt;5*10^2,K125,IF(K129&lt;5*10^2,0)))</f>
        <v>3.9626703751705521</v>
      </c>
      <c r="L123" s="35"/>
    </row>
    <row r="124" spans="1:17" s="41" customFormat="1" ht="20.100000000000001" customHeight="1">
      <c r="A124" s="20" t="s">
        <v>160</v>
      </c>
      <c r="B124" s="21">
        <f t="shared" ref="B124:J124" si="142">1.14*(B126-B128)^(1/3)</f>
        <v>4.8708308971356242</v>
      </c>
      <c r="C124" s="21">
        <f t="shared" si="142"/>
        <v>4.8708308971356242</v>
      </c>
      <c r="D124" s="21">
        <f t="shared" si="142"/>
        <v>4.8708308971356242</v>
      </c>
      <c r="E124" s="21">
        <f t="shared" si="142"/>
        <v>4.4629491109325041</v>
      </c>
      <c r="F124" s="21">
        <f t="shared" si="142"/>
        <v>4.8708308971356242</v>
      </c>
      <c r="G124" s="21">
        <f t="shared" si="142"/>
        <v>4.607013623509296</v>
      </c>
      <c r="H124" s="21">
        <f t="shared" si="142"/>
        <v>3.9626703751705521</v>
      </c>
      <c r="I124" s="21">
        <f t="shared" si="142"/>
        <v>3.9626703751705521</v>
      </c>
      <c r="J124" s="21">
        <f t="shared" si="142"/>
        <v>3.9626703751705521</v>
      </c>
      <c r="K124" s="21">
        <f t="shared" ref="K124" si="143">1.14*(K126-K128)^(1/3)</f>
        <v>3.9626703751705521</v>
      </c>
      <c r="L124" s="35"/>
    </row>
    <row r="125" spans="1:17" s="41" customFormat="1" ht="20.100000000000001" customHeight="1">
      <c r="A125" s="20" t="s">
        <v>161</v>
      </c>
      <c r="B125" s="21">
        <f t="shared" ref="B125:J125" si="144">5.47*(B126-B128)^(1/4)</f>
        <v>16.255898428118602</v>
      </c>
      <c r="C125" s="21">
        <f t="shared" si="144"/>
        <v>16.255898428118602</v>
      </c>
      <c r="D125" s="21">
        <f t="shared" si="144"/>
        <v>16.255898428118602</v>
      </c>
      <c r="E125" s="21">
        <f t="shared" si="144"/>
        <v>15.223872529914159</v>
      </c>
      <c r="F125" s="21">
        <f t="shared" si="144"/>
        <v>16.255898428118602</v>
      </c>
      <c r="G125" s="21">
        <f t="shared" si="144"/>
        <v>15.590976258761733</v>
      </c>
      <c r="H125" s="21">
        <f t="shared" si="144"/>
        <v>13.925142525769413</v>
      </c>
      <c r="I125" s="21">
        <f t="shared" si="144"/>
        <v>13.925142525769413</v>
      </c>
      <c r="J125" s="21">
        <f t="shared" si="144"/>
        <v>13.925142525769413</v>
      </c>
      <c r="K125" s="21">
        <f t="shared" ref="K125" si="145">5.47*(K126-K128)^(1/4)</f>
        <v>13.925142525769413</v>
      </c>
      <c r="L125" s="35"/>
    </row>
    <row r="126" spans="1:17" s="5" customFormat="1" ht="20.100000000000001" customHeight="1">
      <c r="A126" s="20" t="s">
        <v>107</v>
      </c>
      <c r="B126" s="21">
        <f t="shared" ref="B126:J126" si="146">B6</f>
        <v>150</v>
      </c>
      <c r="C126" s="21">
        <f t="shared" si="146"/>
        <v>150</v>
      </c>
      <c r="D126" s="21">
        <f t="shared" si="146"/>
        <v>150</v>
      </c>
      <c r="E126" s="21">
        <f t="shared" si="146"/>
        <v>120</v>
      </c>
      <c r="F126" s="21">
        <f t="shared" si="146"/>
        <v>150</v>
      </c>
      <c r="G126" s="21">
        <f t="shared" si="146"/>
        <v>130</v>
      </c>
      <c r="H126" s="21">
        <f t="shared" si="146"/>
        <v>90</v>
      </c>
      <c r="I126" s="21">
        <f t="shared" si="146"/>
        <v>90</v>
      </c>
      <c r="J126" s="21">
        <f t="shared" si="146"/>
        <v>90</v>
      </c>
      <c r="K126" s="21">
        <f t="shared" ref="K126" si="147">K6</f>
        <v>90</v>
      </c>
      <c r="L126" s="20"/>
      <c r="Q126" s="41"/>
    </row>
    <row r="127" spans="1:17" s="41" customFormat="1" ht="20.100000000000001" customHeight="1">
      <c r="A127" s="20" t="s">
        <v>162</v>
      </c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5"/>
    </row>
    <row r="128" spans="1:17" s="41" customFormat="1" ht="20.100000000000001" customHeight="1">
      <c r="A128" s="20" t="s">
        <v>163</v>
      </c>
      <c r="B128" s="21">
        <f t="shared" ref="B128:J128" si="148">12+0.4*B126</f>
        <v>72</v>
      </c>
      <c r="C128" s="21">
        <f t="shared" si="148"/>
        <v>72</v>
      </c>
      <c r="D128" s="21">
        <f t="shared" si="148"/>
        <v>72</v>
      </c>
      <c r="E128" s="21">
        <f t="shared" si="148"/>
        <v>60</v>
      </c>
      <c r="F128" s="21">
        <f t="shared" si="148"/>
        <v>72</v>
      </c>
      <c r="G128" s="21">
        <f t="shared" si="148"/>
        <v>64</v>
      </c>
      <c r="H128" s="21">
        <f t="shared" si="148"/>
        <v>48</v>
      </c>
      <c r="I128" s="21">
        <f t="shared" si="148"/>
        <v>48</v>
      </c>
      <c r="J128" s="21">
        <f t="shared" si="148"/>
        <v>48</v>
      </c>
      <c r="K128" s="21">
        <f t="shared" ref="K128" si="149">12+0.4*K126</f>
        <v>48</v>
      </c>
      <c r="L128" s="35"/>
    </row>
    <row r="129" spans="1:17" s="4" customFormat="1" ht="20.100000000000001" customHeight="1">
      <c r="A129" s="20" t="s">
        <v>113</v>
      </c>
      <c r="B129" s="19">
        <f t="shared" ref="B129:J129" si="150">(B67*(B131)^3*B134*B138*B140*B144*3.6*10^3)/(B146*B148)</f>
        <v>6243460305583.6592</v>
      </c>
      <c r="C129" s="19">
        <f t="shared" si="150"/>
        <v>4430150652425.1367</v>
      </c>
      <c r="D129" s="19">
        <f t="shared" si="150"/>
        <v>4430150652425.1367</v>
      </c>
      <c r="E129" s="19">
        <f t="shared" si="150"/>
        <v>4128788174789.1201</v>
      </c>
      <c r="F129" s="19">
        <f t="shared" si="150"/>
        <v>2140468260648.782</v>
      </c>
      <c r="G129" s="19">
        <f t="shared" si="150"/>
        <v>2053249553629.3376</v>
      </c>
      <c r="H129" s="19">
        <f t="shared" si="150"/>
        <v>664249822233.32227</v>
      </c>
      <c r="I129" s="19">
        <f t="shared" si="150"/>
        <v>889362290319.70996</v>
      </c>
      <c r="J129" s="19">
        <f t="shared" si="150"/>
        <v>889362290319.70996</v>
      </c>
      <c r="K129" s="19">
        <f t="shared" ref="K129" si="151">(K67*(K131)^3*K134*K138*K140*K144*3.6*10^3)/(K146*K148)</f>
        <v>889362290319.70996</v>
      </c>
      <c r="L129" s="23"/>
      <c r="M129" s="4">
        <f>9.81*3.857^3*0.00332225*27*1.135535*1.0115*3.6*10^3/(16.39657*10^(-6)*0.025662)</f>
        <v>496180169141.17847</v>
      </c>
    </row>
    <row r="130" spans="1:17" s="4" customFormat="1" ht="20.100000000000001" customHeight="1">
      <c r="A130" s="20" t="s">
        <v>91</v>
      </c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3"/>
    </row>
    <row r="131" spans="1:17" s="4" customFormat="1" ht="20.100000000000001" customHeight="1">
      <c r="A131" s="20" t="s">
        <v>92</v>
      </c>
      <c r="B131" s="19">
        <f t="shared" ref="B131:J131" si="152">B71-B69+B132</f>
        <v>6.0477651758478572</v>
      </c>
      <c r="C131" s="19">
        <f t="shared" si="152"/>
        <v>6.0477651758478572</v>
      </c>
      <c r="D131" s="19">
        <f t="shared" si="152"/>
        <v>6.0477651758478572</v>
      </c>
      <c r="E131" s="19">
        <f t="shared" si="152"/>
        <v>6.0477651758478572</v>
      </c>
      <c r="F131" s="19">
        <f t="shared" si="152"/>
        <v>4.7456060790200016</v>
      </c>
      <c r="G131" s="19">
        <f t="shared" si="152"/>
        <v>4.7456060790200016</v>
      </c>
      <c r="H131" s="19">
        <f t="shared" si="152"/>
        <v>3.4391894051192828</v>
      </c>
      <c r="I131" s="19">
        <f t="shared" si="152"/>
        <v>3.7905757707285712</v>
      </c>
      <c r="J131" s="19">
        <f t="shared" si="152"/>
        <v>3.7905757707285712</v>
      </c>
      <c r="K131" s="19">
        <f t="shared" ref="K131" si="153">K71-K69+K132</f>
        <v>3.7905757707285712</v>
      </c>
      <c r="L131" s="23"/>
    </row>
    <row r="132" spans="1:17" s="3" customFormat="1" ht="20.100000000000001" customHeight="1">
      <c r="A132" s="18" t="s">
        <v>64</v>
      </c>
      <c r="B132" s="21">
        <f t="shared" ref="B132:J132" si="154">B20</f>
        <v>4.0377651758478592</v>
      </c>
      <c r="C132" s="21">
        <f t="shared" si="154"/>
        <v>4.0377651758478592</v>
      </c>
      <c r="D132" s="21">
        <f t="shared" si="154"/>
        <v>4.0377651758478592</v>
      </c>
      <c r="E132" s="21">
        <f t="shared" si="154"/>
        <v>4.0377651758478592</v>
      </c>
      <c r="F132" s="21">
        <f t="shared" si="154"/>
        <v>3.0556060790200021</v>
      </c>
      <c r="G132" s="21">
        <f t="shared" si="154"/>
        <v>3.0556060790200021</v>
      </c>
      <c r="H132" s="21">
        <f t="shared" si="154"/>
        <v>1.8551894051192832</v>
      </c>
      <c r="I132" s="21">
        <f t="shared" si="154"/>
        <v>2.1825757707285725</v>
      </c>
      <c r="J132" s="21">
        <f t="shared" si="154"/>
        <v>2.1825757707285725</v>
      </c>
      <c r="K132" s="21">
        <f t="shared" ref="K132" si="155">K20</f>
        <v>2.1825757707285725</v>
      </c>
      <c r="L132" s="18"/>
      <c r="Q132" s="4"/>
    </row>
    <row r="133" spans="1:17" s="4" customFormat="1" ht="20.100000000000001" customHeight="1">
      <c r="A133" s="20" t="s">
        <v>69</v>
      </c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3"/>
    </row>
    <row r="134" spans="1:17" s="4" customFormat="1" ht="20.100000000000001" customHeight="1">
      <c r="A134" s="20" t="s">
        <v>70</v>
      </c>
      <c r="B134" s="19">
        <f t="shared" ref="B134:J134" si="156">B126-B136</f>
        <v>116.5</v>
      </c>
      <c r="C134" s="19">
        <f t="shared" si="156"/>
        <v>116.5</v>
      </c>
      <c r="D134" s="19">
        <f t="shared" si="156"/>
        <v>116.5</v>
      </c>
      <c r="E134" s="19">
        <f t="shared" si="156"/>
        <v>92.5</v>
      </c>
      <c r="F134" s="19">
        <f t="shared" si="156"/>
        <v>116.5</v>
      </c>
      <c r="G134" s="19">
        <f t="shared" si="156"/>
        <v>100.5</v>
      </c>
      <c r="H134" s="19">
        <f t="shared" si="156"/>
        <v>68.5</v>
      </c>
      <c r="I134" s="19">
        <f t="shared" si="156"/>
        <v>68.5</v>
      </c>
      <c r="J134" s="19">
        <f t="shared" si="156"/>
        <v>68.5</v>
      </c>
      <c r="K134" s="19">
        <f t="shared" ref="K134" si="157">K126-K136</f>
        <v>68.5</v>
      </c>
      <c r="L134" s="23"/>
    </row>
    <row r="135" spans="1:17" s="4" customFormat="1" ht="20.100000000000001" customHeight="1">
      <c r="A135" s="20" t="s">
        <v>51</v>
      </c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3"/>
    </row>
    <row r="136" spans="1:17" s="4" customFormat="1" ht="20.100000000000001" customHeight="1">
      <c r="A136" s="20" t="s">
        <v>52</v>
      </c>
      <c r="B136" s="19">
        <f t="shared" ref="B136:J136" si="158">(B128+B49)/2</f>
        <v>33.5</v>
      </c>
      <c r="C136" s="19">
        <f t="shared" si="158"/>
        <v>33.5</v>
      </c>
      <c r="D136" s="19">
        <f t="shared" si="158"/>
        <v>33.5</v>
      </c>
      <c r="E136" s="19">
        <f t="shared" si="158"/>
        <v>27.5</v>
      </c>
      <c r="F136" s="19">
        <f t="shared" si="158"/>
        <v>33.5</v>
      </c>
      <c r="G136" s="19">
        <f t="shared" si="158"/>
        <v>29.5</v>
      </c>
      <c r="H136" s="19">
        <f t="shared" si="158"/>
        <v>21.5</v>
      </c>
      <c r="I136" s="19">
        <f t="shared" si="158"/>
        <v>21.5</v>
      </c>
      <c r="J136" s="19">
        <f t="shared" si="158"/>
        <v>21.5</v>
      </c>
      <c r="K136" s="19">
        <f t="shared" ref="K136" si="159">(K128+K49)/2</f>
        <v>21.5</v>
      </c>
      <c r="L136" s="23"/>
    </row>
    <row r="137" spans="1:17" s="4" customFormat="1" ht="20.100000000000001" customHeight="1">
      <c r="A137" s="20" t="s">
        <v>53</v>
      </c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3"/>
    </row>
    <row r="138" spans="1:17" s="4" customFormat="1" ht="20.100000000000001" customHeight="1">
      <c r="A138" s="20" t="s">
        <v>54</v>
      </c>
      <c r="B138" s="19">
        <f t="shared" ref="B138:J138" si="160">1/(273+B128)</f>
        <v>2.8985507246376812E-3</v>
      </c>
      <c r="C138" s="19">
        <f t="shared" si="160"/>
        <v>2.8985507246376812E-3</v>
      </c>
      <c r="D138" s="19">
        <f t="shared" si="160"/>
        <v>2.8985507246376812E-3</v>
      </c>
      <c r="E138" s="19">
        <f t="shared" si="160"/>
        <v>3.003003003003003E-3</v>
      </c>
      <c r="F138" s="19">
        <f t="shared" si="160"/>
        <v>2.8985507246376812E-3</v>
      </c>
      <c r="G138" s="19">
        <f t="shared" si="160"/>
        <v>2.967359050445104E-3</v>
      </c>
      <c r="H138" s="19">
        <f t="shared" si="160"/>
        <v>3.1152647975077881E-3</v>
      </c>
      <c r="I138" s="19">
        <f t="shared" si="160"/>
        <v>3.1152647975077881E-3</v>
      </c>
      <c r="J138" s="19">
        <f t="shared" si="160"/>
        <v>3.1152647975077881E-3</v>
      </c>
      <c r="K138" s="19">
        <f t="shared" ref="K138" si="161">1/(273+K128)</f>
        <v>3.1152647975077881E-3</v>
      </c>
      <c r="L138" s="23"/>
    </row>
    <row r="139" spans="1:17" s="4" customFormat="1" ht="20.25" customHeight="1">
      <c r="A139" s="20" t="s">
        <v>71</v>
      </c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3"/>
    </row>
    <row r="140" spans="1:17" s="4" customFormat="1" ht="20.100000000000001" customHeight="1">
      <c r="A140" s="20" t="s">
        <v>72</v>
      </c>
      <c r="B140" s="19">
        <f t="shared" ref="B140:J140" si="162">1.252*273/B142</f>
        <v>0.99071304347826084</v>
      </c>
      <c r="C140" s="19">
        <f t="shared" si="162"/>
        <v>0.99071304347826084</v>
      </c>
      <c r="D140" s="19">
        <f t="shared" si="162"/>
        <v>0.99071304347826084</v>
      </c>
      <c r="E140" s="19">
        <f t="shared" si="162"/>
        <v>1.0264144144144145</v>
      </c>
      <c r="F140" s="19">
        <f t="shared" si="162"/>
        <v>0.99071304347826084</v>
      </c>
      <c r="G140" s="19">
        <f t="shared" si="162"/>
        <v>1.0142314540059347</v>
      </c>
      <c r="H140" s="19">
        <f t="shared" si="162"/>
        <v>1.0647850467289719</v>
      </c>
      <c r="I140" s="19">
        <f t="shared" si="162"/>
        <v>1.0647850467289719</v>
      </c>
      <c r="J140" s="19">
        <f t="shared" si="162"/>
        <v>1.0647850467289719</v>
      </c>
      <c r="K140" s="19">
        <f t="shared" ref="K140" si="163">1.252*273/K142</f>
        <v>1.0647850467289719</v>
      </c>
      <c r="L140" s="23"/>
    </row>
    <row r="141" spans="1:17" s="4" customFormat="1" ht="20.100000000000001" customHeight="1">
      <c r="A141" s="51" t="s">
        <v>67</v>
      </c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3"/>
    </row>
    <row r="142" spans="1:17" s="4" customFormat="1" ht="20.100000000000001" customHeight="1">
      <c r="A142" s="20" t="s">
        <v>68</v>
      </c>
      <c r="B142" s="19">
        <f t="shared" ref="B142:J142" si="164">273+B128</f>
        <v>345</v>
      </c>
      <c r="C142" s="19">
        <f t="shared" si="164"/>
        <v>345</v>
      </c>
      <c r="D142" s="19">
        <f t="shared" si="164"/>
        <v>345</v>
      </c>
      <c r="E142" s="19">
        <f t="shared" si="164"/>
        <v>333</v>
      </c>
      <c r="F142" s="19">
        <f t="shared" si="164"/>
        <v>345</v>
      </c>
      <c r="G142" s="19">
        <f t="shared" si="164"/>
        <v>337</v>
      </c>
      <c r="H142" s="19">
        <f t="shared" si="164"/>
        <v>321</v>
      </c>
      <c r="I142" s="19">
        <f t="shared" si="164"/>
        <v>321</v>
      </c>
      <c r="J142" s="19">
        <f t="shared" si="164"/>
        <v>321</v>
      </c>
      <c r="K142" s="19">
        <f t="shared" ref="K142" si="165">273+K128</f>
        <v>321</v>
      </c>
      <c r="L142" s="23"/>
    </row>
    <row r="143" spans="1:17" s="4" customFormat="1" ht="20.100000000000001" customHeight="1">
      <c r="A143" s="20" t="s">
        <v>56</v>
      </c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23"/>
    </row>
    <row r="144" spans="1:17" s="4" customFormat="1" ht="20.100000000000001" customHeight="1">
      <c r="A144" s="20" t="s">
        <v>57</v>
      </c>
      <c r="B144" s="19">
        <f t="shared" ref="B144:J144" si="166">4.1868*0.241+(B128-10)*0.001/30</f>
        <v>1.0110854666666667</v>
      </c>
      <c r="C144" s="19">
        <f t="shared" si="166"/>
        <v>1.0110854666666667</v>
      </c>
      <c r="D144" s="19">
        <f t="shared" si="166"/>
        <v>1.0110854666666667</v>
      </c>
      <c r="E144" s="19">
        <f t="shared" si="166"/>
        <v>1.0106854666666667</v>
      </c>
      <c r="F144" s="19">
        <f t="shared" si="166"/>
        <v>1.0110854666666667</v>
      </c>
      <c r="G144" s="19">
        <f t="shared" si="166"/>
        <v>1.0108188</v>
      </c>
      <c r="H144" s="19">
        <f t="shared" si="166"/>
        <v>1.0102854666666667</v>
      </c>
      <c r="I144" s="19">
        <f t="shared" si="166"/>
        <v>1.0102854666666667</v>
      </c>
      <c r="J144" s="19">
        <f t="shared" si="166"/>
        <v>1.0102854666666667</v>
      </c>
      <c r="K144" s="19">
        <f t="shared" ref="K144" si="167">4.1868*0.241+(K128-10)*0.001/30</f>
        <v>1.0102854666666667</v>
      </c>
      <c r="L144" s="23"/>
      <c r="M144" s="4">
        <f>4.1868*0.241+(28-10)*0.001/30</f>
        <v>1.0096187999999999</v>
      </c>
    </row>
    <row r="145" spans="1:17" s="4" customFormat="1" ht="20.100000000000001" customHeight="1">
      <c r="A145" s="20" t="s">
        <v>58</v>
      </c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23"/>
    </row>
    <row r="146" spans="1:17" s="4" customFormat="1" ht="20.100000000000001" customHeight="1">
      <c r="A146" s="20" t="s">
        <v>93</v>
      </c>
      <c r="B146" s="19">
        <f t="shared" ref="B146:J146" si="168">B110*(273+B111)/(B142+B111)*(B142/273)^(3/2)*(B67/B140)</f>
        <v>2.0897800718921726E-5</v>
      </c>
      <c r="C146" s="19">
        <f t="shared" si="168"/>
        <v>2.0897800718921726E-5</v>
      </c>
      <c r="D146" s="19">
        <f t="shared" si="168"/>
        <v>2.0897800718921726E-5</v>
      </c>
      <c r="E146" s="19">
        <f t="shared" si="168"/>
        <v>1.9629989719978202E-5</v>
      </c>
      <c r="F146" s="19">
        <f t="shared" si="168"/>
        <v>2.0897800718921726E-5</v>
      </c>
      <c r="G146" s="19">
        <f t="shared" si="168"/>
        <v>2.0049313894196386E-5</v>
      </c>
      <c r="H146" s="19">
        <f t="shared" si="168"/>
        <v>1.8391970365728194E-5</v>
      </c>
      <c r="I146" s="19">
        <f t="shared" si="168"/>
        <v>1.8391970365728194E-5</v>
      </c>
      <c r="J146" s="19">
        <f t="shared" si="168"/>
        <v>1.8391970365728194E-5</v>
      </c>
      <c r="K146" s="19">
        <f t="shared" ref="K146" si="169">K110*(273+K111)/(K142+K111)*(K142/273)^(3/2)*(K67/K140)</f>
        <v>1.8391970365728194E-5</v>
      </c>
      <c r="L146" s="23"/>
    </row>
    <row r="147" spans="1:17" s="4" customFormat="1" ht="20.100000000000001" customHeight="1">
      <c r="A147" s="20" t="s">
        <v>59</v>
      </c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3"/>
    </row>
    <row r="148" spans="1:17" s="5" customFormat="1" ht="20.100000000000001" customHeight="1">
      <c r="A148" s="20" t="s">
        <v>126</v>
      </c>
      <c r="B148" s="21">
        <f>B100*(273+B103)/(B142+B103)*(B142/273)^3/2</f>
        <v>2.0252232688574397E-2</v>
      </c>
      <c r="C148" s="21">
        <f t="shared" ref="C148:J148" si="170">C149*(273+C103)/(C142+C103)*(C142/273)^(3/2)</f>
        <v>2.8541695488694178E-2</v>
      </c>
      <c r="D148" s="21">
        <f t="shared" si="170"/>
        <v>2.8541695488694178E-2</v>
      </c>
      <c r="E148" s="21">
        <f t="shared" si="170"/>
        <v>2.7774730645591099E-2</v>
      </c>
      <c r="F148" s="21">
        <f t="shared" si="170"/>
        <v>2.8541695488694178E-2</v>
      </c>
      <c r="G148" s="21">
        <f t="shared" si="170"/>
        <v>2.8031856380841214E-2</v>
      </c>
      <c r="H148" s="21">
        <f t="shared" si="170"/>
        <v>2.6994275353203749E-2</v>
      </c>
      <c r="I148" s="21">
        <f t="shared" si="170"/>
        <v>2.6994275353203749E-2</v>
      </c>
      <c r="J148" s="21">
        <f t="shared" si="170"/>
        <v>2.6994275353203749E-2</v>
      </c>
      <c r="K148" s="21">
        <f t="shared" ref="K148" si="171">K149*(273+K103)/(K142+K103)*(K142/273)^(3/2)</f>
        <v>2.6994275353203749E-2</v>
      </c>
      <c r="L148" s="20"/>
      <c r="M148" s="5">
        <f>1.163*0.0204*(273+125)/(301+125)*(301/273)^(3/2)</f>
        <v>2.5661918889598435E-2</v>
      </c>
      <c r="Q148" s="4"/>
    </row>
    <row r="149" spans="1:17" s="43" customFormat="1" ht="20.100000000000001" customHeight="1">
      <c r="A149" s="49" t="s">
        <v>127</v>
      </c>
      <c r="B149" s="50"/>
      <c r="C149" s="50">
        <f t="shared" ref="C149:K149" si="172">1.163*0.0204</f>
        <v>2.3725200000000002E-2</v>
      </c>
      <c r="D149" s="50">
        <f t="shared" si="172"/>
        <v>2.3725200000000002E-2</v>
      </c>
      <c r="E149" s="50">
        <f t="shared" si="172"/>
        <v>2.3725200000000002E-2</v>
      </c>
      <c r="F149" s="50">
        <f t="shared" si="172"/>
        <v>2.3725200000000002E-2</v>
      </c>
      <c r="G149" s="50">
        <f t="shared" si="172"/>
        <v>2.3725200000000002E-2</v>
      </c>
      <c r="H149" s="50">
        <f t="shared" si="172"/>
        <v>2.3725200000000002E-2</v>
      </c>
      <c r="I149" s="50">
        <f t="shared" si="172"/>
        <v>2.3725200000000002E-2</v>
      </c>
      <c r="J149" s="50">
        <f t="shared" si="172"/>
        <v>2.3725200000000002E-2</v>
      </c>
      <c r="K149" s="50">
        <f t="shared" si="172"/>
        <v>2.3725200000000002E-2</v>
      </c>
      <c r="L149" s="49"/>
    </row>
    <row r="150" spans="1:17" s="5" customFormat="1" ht="20.100000000000001" customHeight="1">
      <c r="A150" s="20" t="s">
        <v>164</v>
      </c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0"/>
      <c r="Q150" s="41"/>
    </row>
    <row r="151" spans="1:17" s="5" customFormat="1" ht="20.100000000000001" customHeight="1">
      <c r="A151" s="20" t="s">
        <v>308</v>
      </c>
      <c r="B151" s="21">
        <f>1.31*(B126-B136)^(1/4)</f>
        <v>4.3038068950640787</v>
      </c>
      <c r="C151" s="21">
        <f t="shared" ref="C151:K151" si="173">1.31*(C126-C136)^(1/4)</f>
        <v>4.3038068950640787</v>
      </c>
      <c r="D151" s="21">
        <f t="shared" si="173"/>
        <v>4.3038068950640787</v>
      </c>
      <c r="E151" s="21">
        <f t="shared" si="173"/>
        <v>4.0626249265859009</v>
      </c>
      <c r="F151" s="21">
        <f t="shared" si="173"/>
        <v>4.3038068950640787</v>
      </c>
      <c r="G151" s="21">
        <f t="shared" si="173"/>
        <v>4.147752283529937</v>
      </c>
      <c r="H151" s="21">
        <f t="shared" si="173"/>
        <v>3.7687205738533684</v>
      </c>
      <c r="I151" s="21">
        <f t="shared" si="173"/>
        <v>3.7687205738533684</v>
      </c>
      <c r="J151" s="21">
        <f t="shared" si="173"/>
        <v>3.7687205738533684</v>
      </c>
      <c r="K151" s="21">
        <f t="shared" si="173"/>
        <v>3.7687205738533684</v>
      </c>
      <c r="L151" s="20"/>
      <c r="Q151" s="41"/>
    </row>
    <row r="152" spans="1:17" s="41" customFormat="1" ht="20.100000000000001" customHeight="1">
      <c r="A152" s="35" t="s">
        <v>125</v>
      </c>
      <c r="B152" s="36">
        <f t="shared" ref="B152:F153" si="174">B25</f>
        <v>0.1</v>
      </c>
      <c r="C152" s="36">
        <f t="shared" si="174"/>
        <v>0.1</v>
      </c>
      <c r="D152" s="36">
        <f t="shared" si="174"/>
        <v>0.1</v>
      </c>
      <c r="E152" s="36">
        <f t="shared" ref="E152" si="175">E25</f>
        <v>0.1</v>
      </c>
      <c r="F152" s="36">
        <f t="shared" si="174"/>
        <v>0.1</v>
      </c>
      <c r="G152" s="36">
        <f t="shared" ref="G152:H152" si="176">G25</f>
        <v>0.1</v>
      </c>
      <c r="H152" s="36">
        <f t="shared" si="176"/>
        <v>0.08</v>
      </c>
      <c r="I152" s="36">
        <f t="shared" ref="I152:J152" si="177">I25</f>
        <v>0.08</v>
      </c>
      <c r="J152" s="36">
        <f t="shared" si="177"/>
        <v>0.08</v>
      </c>
      <c r="K152" s="36">
        <f t="shared" ref="K152" si="178">K25</f>
        <v>0.08</v>
      </c>
      <c r="L152" s="35"/>
    </row>
    <row r="153" spans="1:17" s="5" customFormat="1" ht="20.100000000000001" customHeight="1">
      <c r="A153" s="20" t="s">
        <v>90</v>
      </c>
      <c r="B153" s="21">
        <f t="shared" si="174"/>
        <v>3.52518E-2</v>
      </c>
      <c r="C153" s="21">
        <f t="shared" si="174"/>
        <v>3.52518E-2</v>
      </c>
      <c r="D153" s="21">
        <f t="shared" si="174"/>
        <v>3.52518E-2</v>
      </c>
      <c r="E153" s="21">
        <f t="shared" ref="E153" si="179">E26</f>
        <v>3.52518E-2</v>
      </c>
      <c r="F153" s="21">
        <f t="shared" si="174"/>
        <v>3.52518E-2</v>
      </c>
      <c r="G153" s="21">
        <f t="shared" ref="G153:H153" si="180">G26</f>
        <v>3.52518E-2</v>
      </c>
      <c r="H153" s="21">
        <f t="shared" si="180"/>
        <v>3.52518E-2</v>
      </c>
      <c r="I153" s="21">
        <f t="shared" ref="I153:J153" si="181">I26</f>
        <v>3.52518E-2</v>
      </c>
      <c r="J153" s="21">
        <f t="shared" si="181"/>
        <v>3.52518E-2</v>
      </c>
      <c r="K153" s="21">
        <f t="shared" ref="K153" si="182">K26</f>
        <v>3.52518E-2</v>
      </c>
      <c r="L153" s="20"/>
    </row>
    <row r="154" spans="1:17" s="5" customFormat="1" ht="20.100000000000001" customHeight="1">
      <c r="A154" s="20" t="s">
        <v>165</v>
      </c>
      <c r="B154" s="21">
        <f t="shared" ref="B154:J154" si="183">B97</f>
        <v>4.0424584336464067</v>
      </c>
      <c r="C154" s="21">
        <f t="shared" si="183"/>
        <v>4.0424584336464067</v>
      </c>
      <c r="D154" s="21">
        <f t="shared" si="183"/>
        <v>4.0424584336464067</v>
      </c>
      <c r="E154" s="21">
        <f t="shared" si="183"/>
        <v>4.0424584336464067</v>
      </c>
      <c r="F154" s="21">
        <f t="shared" si="183"/>
        <v>4.2741947008396926</v>
      </c>
      <c r="G154" s="21">
        <f t="shared" si="183"/>
        <v>4.2741947008396926</v>
      </c>
      <c r="H154" s="21">
        <f t="shared" si="183"/>
        <v>4.7227626888206782</v>
      </c>
      <c r="I154" s="21">
        <f t="shared" si="183"/>
        <v>4.5717229998872435</v>
      </c>
      <c r="J154" s="21">
        <f t="shared" si="183"/>
        <v>4.5717229998872435</v>
      </c>
      <c r="K154" s="21">
        <f t="shared" ref="K154" si="184">K97</f>
        <v>4.5717229998872435</v>
      </c>
      <c r="L154" s="20"/>
      <c r="Q154" s="41"/>
    </row>
    <row r="155" spans="1:17" s="41" customFormat="1" ht="20.100000000000001" customHeight="1">
      <c r="A155" s="20" t="s">
        <v>166</v>
      </c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5"/>
    </row>
    <row r="156" spans="1:17" s="41" customFormat="1" ht="20.100000000000001" customHeight="1">
      <c r="A156" s="20" t="s">
        <v>167</v>
      </c>
      <c r="B156" s="21">
        <f t="shared" ref="B156:J156" si="185">B157*B119*(((B136+273)/100)^4-((B49+273)/100)^4)/(B136-B49)</f>
        <v>5.2111339253999995</v>
      </c>
      <c r="C156" s="21">
        <f t="shared" si="185"/>
        <v>5.2111339253999995</v>
      </c>
      <c r="D156" s="21">
        <f t="shared" si="185"/>
        <v>5.2111339253999995</v>
      </c>
      <c r="E156" s="21">
        <f t="shared" si="185"/>
        <v>5.0434130487599962</v>
      </c>
      <c r="F156" s="21">
        <f t="shared" si="185"/>
        <v>5.2111339253999995</v>
      </c>
      <c r="G156" s="21">
        <f t="shared" si="185"/>
        <v>5.0988045452399957</v>
      </c>
      <c r="H156" s="21">
        <f t="shared" si="185"/>
        <v>4.8802998149999919</v>
      </c>
      <c r="I156" s="21">
        <f t="shared" si="185"/>
        <v>4.8802998149999919</v>
      </c>
      <c r="J156" s="21">
        <f t="shared" si="185"/>
        <v>4.8802998149999919</v>
      </c>
      <c r="K156" s="21">
        <f t="shared" ref="K156" si="186">K157*K119*(((K136+273)/100)^4-((K49+273)/100)^4)/(K136-K49)</f>
        <v>4.8802998149999919</v>
      </c>
      <c r="L156" s="35"/>
      <c r="M156" s="41">
        <f>0.96*5.7*(((13+273)/100)^4-((-2+273)/100)^4)/(13+2)</f>
        <v>4.7314747324799944</v>
      </c>
    </row>
    <row r="157" spans="1:17" s="5" customFormat="1" ht="20.100000000000001" customHeight="1">
      <c r="A157" s="20" t="s">
        <v>108</v>
      </c>
      <c r="B157" s="21">
        <f t="shared" ref="B157:J157" si="187">B28</f>
        <v>0.96</v>
      </c>
      <c r="C157" s="21">
        <f t="shared" si="187"/>
        <v>0.96</v>
      </c>
      <c r="D157" s="21">
        <f t="shared" si="187"/>
        <v>0.96</v>
      </c>
      <c r="E157" s="21">
        <f t="shared" si="187"/>
        <v>0.96</v>
      </c>
      <c r="F157" s="21">
        <f t="shared" si="187"/>
        <v>0.96</v>
      </c>
      <c r="G157" s="21">
        <f t="shared" si="187"/>
        <v>0.96</v>
      </c>
      <c r="H157" s="21">
        <f t="shared" si="187"/>
        <v>0.96</v>
      </c>
      <c r="I157" s="21">
        <f t="shared" si="187"/>
        <v>0.96</v>
      </c>
      <c r="J157" s="21">
        <f t="shared" si="187"/>
        <v>0.96</v>
      </c>
      <c r="K157" s="21">
        <f t="shared" ref="K157" si="188">K28</f>
        <v>0.96</v>
      </c>
      <c r="L157" s="20"/>
      <c r="Q157" s="41"/>
    </row>
    <row r="158" spans="1:17" s="59" customFormat="1" ht="20.100000000000001" customHeight="1">
      <c r="A158" s="56" t="s">
        <v>168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1"/>
    </row>
    <row r="159" spans="1:17" s="5" customFormat="1" ht="20.100000000000001" customHeight="1">
      <c r="A159" s="20" t="s">
        <v>169</v>
      </c>
      <c r="B159" s="21">
        <f>1/(1/B161+B167/B168+3.1416*B169/(8*B170))</f>
        <v>9.5688794087456314E-2</v>
      </c>
      <c r="C159" s="21">
        <f t="shared" ref="C159:D159" si="189">1/(1/C161+C167/C168+3.1416*C169/(8*C170))</f>
        <v>9.5370791305383687E-2</v>
      </c>
      <c r="D159" s="21">
        <f t="shared" si="189"/>
        <v>9.5641045943840056E-2</v>
      </c>
      <c r="E159" s="21">
        <f t="shared" ref="E159" si="190">1/(1/E161+E167/E168+3.1416*E169/(8*E170))</f>
        <v>9.529201289273008E-2</v>
      </c>
      <c r="F159" s="21">
        <f t="shared" ref="F159:K159" si="191">1/(1/F161+F167/F168+3.1416*F169/(8*F170))</f>
        <v>0.12561460114246978</v>
      </c>
      <c r="G159" s="21">
        <f t="shared" si="191"/>
        <v>0.12639019330866896</v>
      </c>
      <c r="H159" s="21">
        <f t="shared" si="191"/>
        <v>0.20660052882545815</v>
      </c>
      <c r="I159" s="21">
        <f t="shared" si="191"/>
        <v>0.17502692657689187</v>
      </c>
      <c r="J159" s="21">
        <f t="shared" si="191"/>
        <v>0.17493563509450394</v>
      </c>
      <c r="K159" s="21">
        <f t="shared" si="191"/>
        <v>0.17493563509450394</v>
      </c>
      <c r="L159" s="20"/>
      <c r="M159" s="5">
        <f>F159/1.163</f>
        <v>0.10800911534176248</v>
      </c>
      <c r="Q159" s="41"/>
    </row>
    <row r="160" spans="1:17" s="5" customFormat="1" ht="20.100000000000001" customHeight="1">
      <c r="A160" s="20" t="s">
        <v>170</v>
      </c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0"/>
      <c r="Q160" s="41"/>
    </row>
    <row r="161" spans="1:17" s="4" customFormat="1" ht="20.100000000000001" customHeight="1">
      <c r="A161" s="18" t="s">
        <v>129</v>
      </c>
      <c r="B161" s="21">
        <f t="shared" ref="B161:J161" si="192">0.7*B165*B58*B164^B166/B169</f>
        <v>21.063954024720964</v>
      </c>
      <c r="C161" s="21">
        <f t="shared" si="192"/>
        <v>12.121157750287448</v>
      </c>
      <c r="D161" s="21">
        <f t="shared" si="192"/>
        <v>18.913741604047399</v>
      </c>
      <c r="E161" s="21">
        <f t="shared" si="192"/>
        <v>10.968676976334873</v>
      </c>
      <c r="F161" s="21">
        <f t="shared" si="192"/>
        <v>12.125954204506753</v>
      </c>
      <c r="G161" s="21">
        <f t="shared" si="192"/>
        <v>29.747729553264147</v>
      </c>
      <c r="H161" s="21">
        <f t="shared" si="192"/>
        <v>21.111110748105048</v>
      </c>
      <c r="I161" s="21">
        <f t="shared" si="192"/>
        <v>12.655605337034178</v>
      </c>
      <c r="J161" s="21">
        <f t="shared" si="192"/>
        <v>12.195426111719316</v>
      </c>
      <c r="K161" s="21">
        <f t="shared" ref="K161" si="193">0.7*K165*K58*K164^K166/K169</f>
        <v>12.195426111719316</v>
      </c>
      <c r="L161" s="23"/>
    </row>
    <row r="162" spans="1:17" s="4" customFormat="1" ht="20.100000000000001" customHeight="1">
      <c r="A162" s="20" t="s">
        <v>114</v>
      </c>
      <c r="B162" s="21">
        <f t="shared" ref="B162:J162" si="194">B66*B169^3/B69^3</f>
        <v>1927488767281.9399</v>
      </c>
      <c r="C162" s="21">
        <f t="shared" si="194"/>
        <v>56773331814.611473</v>
      </c>
      <c r="D162" s="21">
        <f t="shared" si="194"/>
        <v>821019633027.50854</v>
      </c>
      <c r="E162" s="21">
        <f t="shared" si="194"/>
        <v>31809742119.652958</v>
      </c>
      <c r="F162" s="21">
        <f t="shared" si="194"/>
        <v>24632959382.431309</v>
      </c>
      <c r="G162" s="21">
        <f t="shared" si="194"/>
        <v>7303924583080.9346</v>
      </c>
      <c r="H162" s="21">
        <f t="shared" si="194"/>
        <v>349522702726.89032</v>
      </c>
      <c r="I162" s="21">
        <f t="shared" si="194"/>
        <v>12930190417.880484</v>
      </c>
      <c r="J162" s="21">
        <f t="shared" si="194"/>
        <v>12340596115.629295</v>
      </c>
      <c r="K162" s="21">
        <f t="shared" ref="K162" si="195">K66*K169^3/K69^3</f>
        <v>12340596115.629295</v>
      </c>
      <c r="L162" s="23"/>
    </row>
    <row r="163" spans="1:17" s="4" customFormat="1" ht="20.100000000000001" customHeight="1">
      <c r="A163" s="18" t="s">
        <v>115</v>
      </c>
      <c r="B163" s="21">
        <f t="shared" ref="B163:J163" si="196">B87</f>
        <v>326.77558615848415</v>
      </c>
      <c r="C163" s="21">
        <f t="shared" si="196"/>
        <v>2505.2827486389856</v>
      </c>
      <c r="D163" s="21">
        <f t="shared" si="196"/>
        <v>535.68716847249698</v>
      </c>
      <c r="E163" s="21">
        <f t="shared" si="196"/>
        <v>3228.1971248814766</v>
      </c>
      <c r="F163" s="21">
        <f t="shared" si="196"/>
        <v>2505.3464162203013</v>
      </c>
      <c r="G163" s="21">
        <f t="shared" si="196"/>
        <v>87.298940379973857</v>
      </c>
      <c r="H163" s="21">
        <f t="shared" si="196"/>
        <v>192.50808032771505</v>
      </c>
      <c r="I163" s="21">
        <f t="shared" si="196"/>
        <v>1657.2103217211534</v>
      </c>
      <c r="J163" s="21">
        <f t="shared" si="196"/>
        <v>1710.3025729849612</v>
      </c>
      <c r="K163" s="21">
        <f t="shared" ref="K163" si="197">K87</f>
        <v>1710.3025729849612</v>
      </c>
      <c r="L163" s="23"/>
    </row>
    <row r="164" spans="1:17" s="4" customFormat="1" ht="20.100000000000001" customHeight="1">
      <c r="A164" s="20" t="s">
        <v>128</v>
      </c>
      <c r="B164" s="21">
        <f t="shared" ref="B164:J164" si="198">B162*B163</f>
        <v>629856271742450</v>
      </c>
      <c r="C164" s="21">
        <f t="shared" si="198"/>
        <v>142233248777903</v>
      </c>
      <c r="D164" s="21">
        <f t="shared" si="198"/>
        <v>439809682476834.62</v>
      </c>
      <c r="E164" s="21">
        <f t="shared" si="198"/>
        <v>102688118053884.89</v>
      </c>
      <c r="F164" s="21">
        <f t="shared" si="198"/>
        <v>61714096509674.523</v>
      </c>
      <c r="G164" s="21">
        <f t="shared" si="198"/>
        <v>637624876718207.87</v>
      </c>
      <c r="H164" s="21">
        <f t="shared" si="198"/>
        <v>67285944532908.273</v>
      </c>
      <c r="I164" s="21">
        <f t="shared" si="198"/>
        <v>21428045022331.492</v>
      </c>
      <c r="J164" s="21">
        <f t="shared" si="198"/>
        <v>21106153288729</v>
      </c>
      <c r="K164" s="21">
        <f t="shared" ref="K164" si="199">K162*K163</f>
        <v>21106153288729</v>
      </c>
      <c r="L164" s="23"/>
    </row>
    <row r="165" spans="1:17" s="4" customFormat="1" ht="20.100000000000001" customHeight="1">
      <c r="A165" s="20" t="s">
        <v>27</v>
      </c>
      <c r="B165" s="19">
        <f t="shared" ref="B165:J165" si="200">IF(B164&lt;10^(-3),0.5,IF(B164&lt;(5*10^2),1.18,IF(B164&lt;(2*10^7),0.54,IF(B164&gt;(2*10^7),0.135))))</f>
        <v>0.13500000000000001</v>
      </c>
      <c r="C165" s="19">
        <f t="shared" si="200"/>
        <v>0.13500000000000001</v>
      </c>
      <c r="D165" s="19">
        <f t="shared" si="200"/>
        <v>0.13500000000000001</v>
      </c>
      <c r="E165" s="19">
        <f t="shared" si="200"/>
        <v>0.13500000000000001</v>
      </c>
      <c r="F165" s="19">
        <f t="shared" si="200"/>
        <v>0.13500000000000001</v>
      </c>
      <c r="G165" s="19">
        <f t="shared" si="200"/>
        <v>0.13500000000000001</v>
      </c>
      <c r="H165" s="19">
        <f t="shared" si="200"/>
        <v>0.13500000000000001</v>
      </c>
      <c r="I165" s="19">
        <f t="shared" si="200"/>
        <v>0.13500000000000001</v>
      </c>
      <c r="J165" s="19">
        <f t="shared" si="200"/>
        <v>0.13500000000000001</v>
      </c>
      <c r="K165" s="19">
        <f t="shared" ref="K165" si="201">IF(K164&lt;10^(-3),0.5,IF(K164&lt;(5*10^2),1.18,IF(K164&lt;(2*10^7),0.54,IF(K164&gt;(2*10^7),0.135))))</f>
        <v>0.13500000000000001</v>
      </c>
      <c r="L165" s="23"/>
    </row>
    <row r="166" spans="1:17" s="4" customFormat="1" ht="20.100000000000001" customHeight="1">
      <c r="A166" s="20" t="s">
        <v>28</v>
      </c>
      <c r="B166" s="19">
        <f t="shared" ref="B166:J166" si="202">IF(B164&lt;10^(-3),0,IF(B164&lt;(5*10^2),(1/8),IF(B164&lt;(2*10^7),(1/4),IF(B164&gt;(2*10^7),(1/3)))))</f>
        <v>0.33333333333333331</v>
      </c>
      <c r="C166" s="19">
        <f t="shared" si="202"/>
        <v>0.33333333333333331</v>
      </c>
      <c r="D166" s="19">
        <f t="shared" si="202"/>
        <v>0.33333333333333331</v>
      </c>
      <c r="E166" s="19">
        <f t="shared" si="202"/>
        <v>0.33333333333333331</v>
      </c>
      <c r="F166" s="19">
        <f t="shared" si="202"/>
        <v>0.33333333333333331</v>
      </c>
      <c r="G166" s="19">
        <f t="shared" si="202"/>
        <v>0.33333333333333331</v>
      </c>
      <c r="H166" s="19">
        <f t="shared" si="202"/>
        <v>0.33333333333333331</v>
      </c>
      <c r="I166" s="19">
        <f t="shared" si="202"/>
        <v>0.33333333333333331</v>
      </c>
      <c r="J166" s="19">
        <f t="shared" si="202"/>
        <v>0.33333333333333331</v>
      </c>
      <c r="K166" s="19">
        <f t="shared" ref="K166" si="203">IF(K164&lt;10^(-3),0,IF(K164&lt;(5*10^2),(1/8),IF(K164&lt;(2*10^7),(1/4),IF(K164&gt;(2*10^7),(1/3)))))</f>
        <v>0.33333333333333331</v>
      </c>
      <c r="L166" s="23"/>
    </row>
    <row r="167" spans="1:17" s="4" customFormat="1" ht="20.100000000000001" customHeight="1">
      <c r="A167" s="23" t="s">
        <v>131</v>
      </c>
      <c r="B167" s="24">
        <v>0.01</v>
      </c>
      <c r="C167" s="24">
        <v>0.01</v>
      </c>
      <c r="D167" s="24">
        <v>0.01</v>
      </c>
      <c r="E167" s="24">
        <v>0.01</v>
      </c>
      <c r="F167" s="24">
        <v>0.01</v>
      </c>
      <c r="G167" s="24">
        <v>0.01</v>
      </c>
      <c r="H167" s="24">
        <v>0.01</v>
      </c>
      <c r="I167" s="24">
        <v>0.01</v>
      </c>
      <c r="J167" s="24">
        <v>0.01</v>
      </c>
      <c r="K167" s="24">
        <v>0.01</v>
      </c>
      <c r="L167" s="23"/>
      <c r="M167" s="4" t="s">
        <v>130</v>
      </c>
    </row>
    <row r="168" spans="1:17" s="4" customFormat="1" ht="20.100000000000001" customHeight="1">
      <c r="A168" s="23" t="s">
        <v>132</v>
      </c>
      <c r="B168" s="24">
        <v>0.40699999999999997</v>
      </c>
      <c r="C168" s="24">
        <v>0.41</v>
      </c>
      <c r="D168" s="24">
        <v>0.41</v>
      </c>
      <c r="E168" s="24">
        <v>0.41</v>
      </c>
      <c r="F168" s="24">
        <v>0.41</v>
      </c>
      <c r="G168" s="24">
        <v>0.41</v>
      </c>
      <c r="H168" s="24">
        <v>0.41</v>
      </c>
      <c r="I168" s="24">
        <v>0.41</v>
      </c>
      <c r="J168" s="24">
        <v>0.41</v>
      </c>
      <c r="K168" s="24">
        <v>0.41</v>
      </c>
      <c r="L168" s="23"/>
    </row>
    <row r="169" spans="1:17" s="5" customFormat="1" ht="20.100000000000001" customHeight="1">
      <c r="A169" s="20" t="s">
        <v>73</v>
      </c>
      <c r="B169" s="21">
        <f t="shared" ref="B169:J169" si="204">B16</f>
        <v>37</v>
      </c>
      <c r="C169" s="21">
        <f t="shared" si="204"/>
        <v>37</v>
      </c>
      <c r="D169" s="21">
        <f t="shared" si="204"/>
        <v>37</v>
      </c>
      <c r="E169" s="21">
        <f t="shared" si="204"/>
        <v>37</v>
      </c>
      <c r="F169" s="21">
        <f t="shared" si="204"/>
        <v>28</v>
      </c>
      <c r="G169" s="21">
        <f t="shared" si="204"/>
        <v>28</v>
      </c>
      <c r="H169" s="21">
        <f t="shared" si="204"/>
        <v>17</v>
      </c>
      <c r="I169" s="21">
        <f t="shared" si="204"/>
        <v>20</v>
      </c>
      <c r="J169" s="21">
        <f t="shared" si="204"/>
        <v>20</v>
      </c>
      <c r="K169" s="21">
        <f t="shared" ref="K169" si="205">K16</f>
        <v>20</v>
      </c>
      <c r="L169" s="20"/>
      <c r="Q169" s="4"/>
    </row>
    <row r="170" spans="1:17" s="4" customFormat="1" ht="20.100000000000001" customHeight="1">
      <c r="A170" s="23" t="s">
        <v>74</v>
      </c>
      <c r="B170" s="21">
        <f t="shared" ref="B170:J170" si="206">B33</f>
        <v>1.4</v>
      </c>
      <c r="C170" s="21">
        <f t="shared" si="206"/>
        <v>1.4</v>
      </c>
      <c r="D170" s="21">
        <f t="shared" si="206"/>
        <v>1.4</v>
      </c>
      <c r="E170" s="21">
        <f t="shared" si="206"/>
        <v>1.4</v>
      </c>
      <c r="F170" s="21">
        <f t="shared" si="206"/>
        <v>1.4</v>
      </c>
      <c r="G170" s="21">
        <f t="shared" si="206"/>
        <v>1.4</v>
      </c>
      <c r="H170" s="21">
        <f t="shared" si="206"/>
        <v>1.4</v>
      </c>
      <c r="I170" s="21">
        <f t="shared" si="206"/>
        <v>1.4</v>
      </c>
      <c r="J170" s="21">
        <f t="shared" si="206"/>
        <v>1.4</v>
      </c>
      <c r="K170" s="21">
        <f t="shared" ref="K170" si="207">K33</f>
        <v>1.4</v>
      </c>
      <c r="L170" s="23" t="s">
        <v>99</v>
      </c>
    </row>
    <row r="171" spans="1:17" s="6" customFormat="1" ht="20.100000000000001" customHeight="1">
      <c r="A171" s="31" t="s">
        <v>190</v>
      </c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1"/>
      <c r="Q171" s="4"/>
    </row>
    <row r="172" spans="1:17" s="5" customFormat="1" ht="20.100000000000001" customHeight="1">
      <c r="A172" s="20" t="s">
        <v>171</v>
      </c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Q172" s="41"/>
    </row>
    <row r="173" spans="1:17" s="5" customFormat="1" ht="20.100000000000001" customHeight="1">
      <c r="A173" s="20" t="s">
        <v>172</v>
      </c>
      <c r="B173" s="21">
        <f t="shared" ref="B173:J173" si="208">B176+B182+B186+B191</f>
        <v>3810302.6354249669</v>
      </c>
      <c r="C173" s="21">
        <f t="shared" si="208"/>
        <v>3938340.5389114013</v>
      </c>
      <c r="D173" s="21">
        <f t="shared" si="208"/>
        <v>3773396.2993198549</v>
      </c>
      <c r="E173" s="21">
        <f t="shared" si="208"/>
        <v>541620.69198812509</v>
      </c>
      <c r="F173" s="21">
        <f t="shared" si="208"/>
        <v>1986282.6320727712</v>
      </c>
      <c r="G173" s="21">
        <f t="shared" si="208"/>
        <v>1266375.4977468499</v>
      </c>
      <c r="H173" s="21">
        <f t="shared" si="208"/>
        <v>162844.96169453286</v>
      </c>
      <c r="I173" s="21">
        <f t="shared" si="208"/>
        <v>198185.61425669727</v>
      </c>
      <c r="J173" s="21">
        <f t="shared" si="208"/>
        <v>198063.45903992199</v>
      </c>
      <c r="K173" s="21">
        <f t="shared" ref="K173" si="209">K176+K182+K186+K191</f>
        <v>198063.45903992199</v>
      </c>
      <c r="L173" s="20"/>
      <c r="M173" s="5">
        <f>B173/4.1868</f>
        <v>910075.14938018704</v>
      </c>
      <c r="N173" s="5">
        <f>C173/4.1868</f>
        <v>940656.47724070924</v>
      </c>
      <c r="O173" s="5">
        <f t="shared" ref="O173" si="210">D173/4.1868</f>
        <v>901260.22244192578</v>
      </c>
      <c r="Q173" s="41"/>
    </row>
    <row r="174" spans="1:17" s="5" customFormat="1" ht="20.100000000000001" customHeight="1">
      <c r="A174" s="20" t="s">
        <v>173</v>
      </c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0"/>
      <c r="Q174" s="41"/>
    </row>
    <row r="175" spans="1:17" s="41" customFormat="1" ht="20.100000000000001" customHeight="1">
      <c r="A175" s="35" t="s">
        <v>122</v>
      </c>
      <c r="B175" s="36">
        <f t="shared" ref="B175:J175" si="211">B13</f>
        <v>360</v>
      </c>
      <c r="C175" s="36">
        <f t="shared" si="211"/>
        <v>360</v>
      </c>
      <c r="D175" s="36">
        <f t="shared" si="211"/>
        <v>360</v>
      </c>
      <c r="E175" s="36">
        <f t="shared" si="211"/>
        <v>9.9999999999999995E-8</v>
      </c>
      <c r="F175" s="36">
        <f t="shared" si="211"/>
        <v>360</v>
      </c>
      <c r="G175" s="36">
        <f t="shared" si="211"/>
        <v>192</v>
      </c>
      <c r="H175" s="36">
        <f t="shared" si="211"/>
        <v>9.9999999999999995E-8</v>
      </c>
      <c r="I175" s="36">
        <f t="shared" si="211"/>
        <v>9.9999999999999995E-8</v>
      </c>
      <c r="J175" s="36">
        <f t="shared" si="211"/>
        <v>9.9999999999999995E-8</v>
      </c>
      <c r="K175" s="36">
        <f t="shared" ref="K175" si="212">K13</f>
        <v>9.9999999999999995E-8</v>
      </c>
      <c r="L175" s="35"/>
    </row>
    <row r="176" spans="1:17" s="5" customFormat="1" ht="20.100000000000001" customHeight="1">
      <c r="A176" s="20" t="s">
        <v>174</v>
      </c>
      <c r="B176" s="21">
        <f t="shared" ref="B176:J176" si="213">B178*B180*(B48-B47)/B175</f>
        <v>3197125.2967705554</v>
      </c>
      <c r="C176" s="21">
        <f t="shared" si="213"/>
        <v>3328330.408336346</v>
      </c>
      <c r="D176" s="21">
        <f t="shared" si="213"/>
        <v>3160709.6238793083</v>
      </c>
      <c r="E176" s="21">
        <f t="shared" si="213"/>
        <v>0</v>
      </c>
      <c r="F176" s="21">
        <f t="shared" si="213"/>
        <v>1602616.8128783852</v>
      </c>
      <c r="G176" s="21">
        <f t="shared" si="213"/>
        <v>908346.31807028595</v>
      </c>
      <c r="H176" s="21">
        <f t="shared" si="213"/>
        <v>0</v>
      </c>
      <c r="I176" s="21">
        <f t="shared" si="213"/>
        <v>0</v>
      </c>
      <c r="J176" s="21">
        <f t="shared" si="213"/>
        <v>0</v>
      </c>
      <c r="K176" s="21">
        <f t="shared" ref="K176" si="214">K178*K180*(K48-K47)/K175</f>
        <v>0</v>
      </c>
      <c r="L176" s="20"/>
      <c r="M176" s="5">
        <f>F176/4.1868</f>
        <v>382778.44962223782</v>
      </c>
      <c r="Q176" s="41"/>
    </row>
    <row r="177" spans="1:17" s="5" customFormat="1" ht="20.100000000000001" customHeight="1">
      <c r="A177" s="20" t="s">
        <v>175</v>
      </c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0"/>
      <c r="Q177" s="41"/>
    </row>
    <row r="178" spans="1:17" s="5" customFormat="1" ht="20.100000000000001" customHeight="1">
      <c r="A178" s="20" t="s">
        <v>117</v>
      </c>
      <c r="B178" s="21">
        <f t="shared" ref="B178:J178" si="215">3.1416/4*B107^2*B69*B179*10^3</f>
        <v>17647852.460929893</v>
      </c>
      <c r="C178" s="21">
        <f t="shared" si="215"/>
        <v>18902322.535812411</v>
      </c>
      <c r="D178" s="21">
        <f t="shared" si="215"/>
        <v>17342513.115838777</v>
      </c>
      <c r="E178" s="21">
        <f t="shared" si="215"/>
        <v>18902322.535812411</v>
      </c>
      <c r="F178" s="21">
        <f t="shared" si="215"/>
        <v>9101614.3777278718</v>
      </c>
      <c r="G178" s="21">
        <f t="shared" si="215"/>
        <v>7923307.9685760001</v>
      </c>
      <c r="H178" s="21">
        <f t="shared" si="215"/>
        <v>3206712.9146976005</v>
      </c>
      <c r="I178" s="21">
        <f t="shared" si="215"/>
        <v>4341929.9616</v>
      </c>
      <c r="J178" s="21">
        <f t="shared" si="215"/>
        <v>4505604.8083199998</v>
      </c>
      <c r="K178" s="21">
        <f t="shared" ref="K178" si="216">3.1416/4*K107^2*K69*K179*10^3</f>
        <v>4505604.8083199998</v>
      </c>
      <c r="L178" s="20"/>
      <c r="Q178" s="41"/>
    </row>
    <row r="179" spans="1:17" s="5" customFormat="1" ht="20.100000000000001" customHeight="1">
      <c r="A179" s="20" t="s">
        <v>116</v>
      </c>
      <c r="B179" s="21">
        <f t="shared" ref="B179:J179" si="217">B61-B64*(B47-B62)</f>
        <v>0.90731680000000003</v>
      </c>
      <c r="C179" s="21">
        <f t="shared" si="217"/>
        <v>0.97181200000000001</v>
      </c>
      <c r="D179" s="21">
        <f t="shared" si="217"/>
        <v>0.89161860000000004</v>
      </c>
      <c r="E179" s="21">
        <f t="shared" si="217"/>
        <v>0.97181200000000001</v>
      </c>
      <c r="F179" s="21">
        <f t="shared" si="217"/>
        <v>0.97181200000000001</v>
      </c>
      <c r="G179" s="21">
        <f t="shared" si="217"/>
        <v>0.84599999999999997</v>
      </c>
      <c r="H179" s="21">
        <f t="shared" si="217"/>
        <v>0.99099999999999999</v>
      </c>
      <c r="I179" s="21">
        <f t="shared" si="217"/>
        <v>0.95499999999999996</v>
      </c>
      <c r="J179" s="21">
        <f t="shared" si="217"/>
        <v>0.99099999999999999</v>
      </c>
      <c r="K179" s="21">
        <f t="shared" ref="K179" si="218">K61-K64*(K47-K62)</f>
        <v>0.99099999999999999</v>
      </c>
      <c r="L179" s="20"/>
      <c r="Q179" s="41"/>
    </row>
    <row r="180" spans="1:17" s="5" customFormat="1" ht="20.100000000000001" customHeight="1">
      <c r="A180" s="20" t="s">
        <v>118</v>
      </c>
      <c r="B180" s="21">
        <f t="shared" ref="B180:J180" si="219">4.1868*(0.403+0.00081*B43)/(B90)^0.5</f>
        <v>2.1739474333312239</v>
      </c>
      <c r="C180" s="21">
        <f t="shared" si="219"/>
        <v>2.1129660032181623</v>
      </c>
      <c r="D180" s="21">
        <f t="shared" si="219"/>
        <v>2.1870253309430625</v>
      </c>
      <c r="E180" s="21">
        <f t="shared" si="219"/>
        <v>2.0628585826285244</v>
      </c>
      <c r="F180" s="21">
        <f t="shared" si="219"/>
        <v>2.1129660032181623</v>
      </c>
      <c r="G180" s="21">
        <f t="shared" si="219"/>
        <v>2.2011323270681729</v>
      </c>
      <c r="H180" s="21">
        <f t="shared" si="219"/>
        <v>1.9637758567800292</v>
      </c>
      <c r="I180" s="21">
        <f t="shared" si="219"/>
        <v>1.9954635869230837</v>
      </c>
      <c r="J180" s="21">
        <f t="shared" si="219"/>
        <v>1.9637758567800292</v>
      </c>
      <c r="K180" s="21">
        <f t="shared" ref="K180" si="220">4.1868*(0.403+0.00081*K43)/(K90)^0.5</f>
        <v>1.9637758567800292</v>
      </c>
      <c r="L180" s="20"/>
      <c r="Q180" s="41"/>
    </row>
    <row r="181" spans="1:17" s="41" customFormat="1" ht="20.100000000000001" customHeight="1">
      <c r="A181" s="20" t="s">
        <v>176</v>
      </c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5"/>
    </row>
    <row r="182" spans="1:17" s="5" customFormat="1" ht="20.100000000000001" customHeight="1">
      <c r="A182" s="20" t="s">
        <v>136</v>
      </c>
      <c r="B182" s="21">
        <f>3.6*B54*B184*(B43-B49)</f>
        <v>359481.33636847412</v>
      </c>
      <c r="C182" s="21">
        <f t="shared" ref="C182:D182" si="221">3.6*C54*C184*(C43-C49)</f>
        <v>356483.74825943296</v>
      </c>
      <c r="D182" s="21">
        <f t="shared" si="221"/>
        <v>359016.14160696039</v>
      </c>
      <c r="E182" s="21">
        <f t="shared" ref="E182" si="222">3.6*E54*E184*(E43-E49)</f>
        <v>317211.96798037877</v>
      </c>
      <c r="F182" s="21">
        <f t="shared" ref="F182:K182" si="223">3.6*F54*F184*(F43-F49)</f>
        <v>226931.33569059637</v>
      </c>
      <c r="G182" s="21">
        <f t="shared" si="223"/>
        <v>213017.20990884441</v>
      </c>
      <c r="H182" s="21">
        <f t="shared" si="223"/>
        <v>109043.2264656622</v>
      </c>
      <c r="I182" s="21">
        <f t="shared" si="223"/>
        <v>128961.7910288713</v>
      </c>
      <c r="J182" s="21">
        <f t="shared" si="223"/>
        <v>128849.21727063034</v>
      </c>
      <c r="K182" s="21">
        <f t="shared" si="223"/>
        <v>128849.21727063034</v>
      </c>
      <c r="L182" s="20"/>
      <c r="M182" s="5">
        <f>F182/4.1868</f>
        <v>54201.61834589576</v>
      </c>
      <c r="Q182" s="41"/>
    </row>
    <row r="183" spans="1:17" s="41" customFormat="1" ht="20.100000000000001" customHeight="1">
      <c r="A183" s="20" t="s">
        <v>177</v>
      </c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5"/>
    </row>
    <row r="184" spans="1:17" s="5" customFormat="1" ht="20.100000000000001" customHeight="1">
      <c r="A184" s="20" t="s">
        <v>178</v>
      </c>
      <c r="B184" s="21">
        <f t="shared" ref="B184:J184" si="224">3.1416*B107*B69</f>
        <v>2102.7671280000004</v>
      </c>
      <c r="C184" s="21">
        <f t="shared" si="224"/>
        <v>2102.7671280000004</v>
      </c>
      <c r="D184" s="21">
        <f t="shared" si="224"/>
        <v>2102.7671280000004</v>
      </c>
      <c r="E184" s="21">
        <f t="shared" si="224"/>
        <v>2102.7671280000004</v>
      </c>
      <c r="F184" s="21">
        <f t="shared" si="224"/>
        <v>1337.9446079999998</v>
      </c>
      <c r="G184" s="21">
        <f t="shared" si="224"/>
        <v>1337.9446079999998</v>
      </c>
      <c r="H184" s="21">
        <f t="shared" si="224"/>
        <v>761.37304319999998</v>
      </c>
      <c r="I184" s="21">
        <f t="shared" si="224"/>
        <v>909.30470400000002</v>
      </c>
      <c r="J184" s="21">
        <f t="shared" si="224"/>
        <v>909.30470400000002</v>
      </c>
      <c r="K184" s="21">
        <f t="shared" ref="K184" si="225">3.1416*K107*K69</f>
        <v>909.30470400000002</v>
      </c>
      <c r="L184" s="20"/>
      <c r="Q184" s="41"/>
    </row>
    <row r="185" spans="1:17" s="41" customFormat="1" ht="20.100000000000001" customHeight="1">
      <c r="A185" s="20" t="s">
        <v>179</v>
      </c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5"/>
    </row>
    <row r="186" spans="1:17" s="5" customFormat="1" ht="20.100000000000001" customHeight="1">
      <c r="A186" s="20" t="s">
        <v>137</v>
      </c>
      <c r="B186" s="21">
        <f>3.6*B122*B188*(B43-B49)</f>
        <v>202656.41606967812</v>
      </c>
      <c r="C186" s="21">
        <f t="shared" ref="C186:D186" si="226">3.6*C122*C188*(C43-C49)</f>
        <v>202656.41606967812</v>
      </c>
      <c r="D186" s="21">
        <f t="shared" si="226"/>
        <v>202656.41606967812</v>
      </c>
      <c r="E186" s="21">
        <f t="shared" ref="E186" si="227">3.6*E122*E188*(E43-E49)</f>
        <v>179113.57283371239</v>
      </c>
      <c r="F186" s="21">
        <f t="shared" ref="F186:K186" si="228">3.6*F122*F188*(F43-F49)</f>
        <v>118363.86483080457</v>
      </c>
      <c r="G186" s="21">
        <f t="shared" si="228"/>
        <v>109206.14414452277</v>
      </c>
      <c r="H186" s="21">
        <f t="shared" si="228"/>
        <v>38135.28347820921</v>
      </c>
      <c r="I186" s="21">
        <f t="shared" si="228"/>
        <v>50853.94692045133</v>
      </c>
      <c r="J186" s="21">
        <f t="shared" si="228"/>
        <v>50853.94692045133</v>
      </c>
      <c r="K186" s="21">
        <f t="shared" si="228"/>
        <v>50853.94692045133</v>
      </c>
      <c r="L186" s="20"/>
      <c r="M186" s="5">
        <f>F186/4.1868</f>
        <v>28270.72342380925</v>
      </c>
      <c r="Q186" s="41"/>
    </row>
    <row r="187" spans="1:17" s="41" customFormat="1" ht="20.100000000000001" customHeight="1">
      <c r="A187" s="20" t="s">
        <v>180</v>
      </c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5"/>
    </row>
    <row r="188" spans="1:17" s="5" customFormat="1" ht="20.100000000000001" customHeight="1">
      <c r="A188" s="20" t="s">
        <v>181</v>
      </c>
      <c r="B188" s="21">
        <f t="shared" ref="B188:J188" si="229">2*3.1416*B189*B132+3.1416*B107*(B71-B69)</f>
        <v>1360.0726171881943</v>
      </c>
      <c r="C188" s="21">
        <f t="shared" si="229"/>
        <v>1360.0726171881943</v>
      </c>
      <c r="D188" s="21">
        <f t="shared" si="229"/>
        <v>1360.0726171881943</v>
      </c>
      <c r="E188" s="21">
        <f t="shared" si="229"/>
        <v>1360.0726171881943</v>
      </c>
      <c r="F188" s="21">
        <f t="shared" si="229"/>
        <v>793.74637828746881</v>
      </c>
      <c r="G188" s="21">
        <f t="shared" si="229"/>
        <v>793.74637828746881</v>
      </c>
      <c r="H188" s="21">
        <f t="shared" si="229"/>
        <v>322.39013663300773</v>
      </c>
      <c r="I188" s="21">
        <f t="shared" si="229"/>
        <v>430.15929798340233</v>
      </c>
      <c r="J188" s="21">
        <f t="shared" si="229"/>
        <v>430.15929798340233</v>
      </c>
      <c r="K188" s="21">
        <f t="shared" ref="K188" si="230">2*3.1416*K189*K132+3.1416*K107*(K71-K69)</f>
        <v>430.15929798340233</v>
      </c>
      <c r="L188" s="20"/>
      <c r="Q188" s="41"/>
    </row>
    <row r="189" spans="1:17" s="35" customFormat="1" ht="20.100000000000001" customHeight="1">
      <c r="A189" s="35" t="s">
        <v>182</v>
      </c>
      <c r="B189" s="36">
        <f t="shared" ref="B189:J189" si="231">B19</f>
        <v>44.4</v>
      </c>
      <c r="C189" s="36">
        <f t="shared" si="231"/>
        <v>44.4</v>
      </c>
      <c r="D189" s="36">
        <f t="shared" si="231"/>
        <v>44.4</v>
      </c>
      <c r="E189" s="36">
        <f t="shared" si="231"/>
        <v>44.4</v>
      </c>
      <c r="F189" s="36">
        <f t="shared" si="231"/>
        <v>33.6</v>
      </c>
      <c r="G189" s="36">
        <f t="shared" si="231"/>
        <v>33.6</v>
      </c>
      <c r="H189" s="36">
        <f t="shared" si="231"/>
        <v>20.399999999999999</v>
      </c>
      <c r="I189" s="36">
        <f t="shared" si="231"/>
        <v>24</v>
      </c>
      <c r="J189" s="36">
        <f t="shared" si="231"/>
        <v>24</v>
      </c>
      <c r="K189" s="36">
        <f t="shared" ref="K189" si="232">K19</f>
        <v>24</v>
      </c>
      <c r="Q189" s="41"/>
    </row>
    <row r="190" spans="1:17" s="41" customFormat="1" ht="20.100000000000001" customHeight="1">
      <c r="A190" s="20" t="s">
        <v>285</v>
      </c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5"/>
    </row>
    <row r="191" spans="1:17" s="5" customFormat="1" ht="20.100000000000001" customHeight="1">
      <c r="A191" s="20" t="s">
        <v>138</v>
      </c>
      <c r="B191" s="21">
        <f>3.6*B159*B193*(B43-B194)</f>
        <v>51039.586216259253</v>
      </c>
      <c r="C191" s="21">
        <f t="shared" ref="C191:D191" si="233">3.6*C159*C193*(C43-C194)</f>
        <v>50869.96624594411</v>
      </c>
      <c r="D191" s="21">
        <f t="shared" si="233"/>
        <v>51014.117763907961</v>
      </c>
      <c r="E191" s="21">
        <f t="shared" ref="E191" si="234">3.6*E159*E193*(E43-E194)</f>
        <v>45295.151174033948</v>
      </c>
      <c r="F191" s="21">
        <f t="shared" ref="F191:K191" si="235">3.6*F159*F193*(F43-F194)</f>
        <v>38370.618672985074</v>
      </c>
      <c r="G191" s="21">
        <f t="shared" si="235"/>
        <v>35805.825623196819</v>
      </c>
      <c r="H191" s="21">
        <f t="shared" si="235"/>
        <v>15666.451750661461</v>
      </c>
      <c r="I191" s="21">
        <f t="shared" si="235"/>
        <v>18369.876307374649</v>
      </c>
      <c r="J191" s="21">
        <f t="shared" si="235"/>
        <v>18360.294848840345</v>
      </c>
      <c r="K191" s="21">
        <f t="shared" si="235"/>
        <v>18360.294848840345</v>
      </c>
      <c r="L191" s="20"/>
      <c r="M191" s="5">
        <f>F191/4.1868</f>
        <v>9164.6648211008596</v>
      </c>
      <c r="Q191" s="41"/>
    </row>
    <row r="192" spans="1:17" s="41" customFormat="1" ht="20.100000000000001" customHeight="1">
      <c r="A192" s="20" t="s">
        <v>183</v>
      </c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5"/>
    </row>
    <row r="193" spans="1:17" s="5" customFormat="1" ht="20.100000000000001" customHeight="1">
      <c r="A193" s="20" t="s">
        <v>75</v>
      </c>
      <c r="B193" s="21">
        <f t="shared" ref="B193:J193" si="236">3.1416*B107^2/4</f>
        <v>1075.2126000000001</v>
      </c>
      <c r="C193" s="21">
        <f t="shared" si="236"/>
        <v>1075.2126000000001</v>
      </c>
      <c r="D193" s="21">
        <f t="shared" si="236"/>
        <v>1075.2126000000001</v>
      </c>
      <c r="E193" s="21">
        <f t="shared" si="236"/>
        <v>1075.2126000000001</v>
      </c>
      <c r="F193" s="21">
        <f t="shared" si="236"/>
        <v>615.75360000000001</v>
      </c>
      <c r="G193" s="21">
        <f t="shared" si="236"/>
        <v>615.75360000000001</v>
      </c>
      <c r="H193" s="21">
        <f t="shared" si="236"/>
        <v>226.98060000000001</v>
      </c>
      <c r="I193" s="21">
        <f t="shared" si="236"/>
        <v>314.15999999999997</v>
      </c>
      <c r="J193" s="21">
        <f t="shared" si="236"/>
        <v>314.15999999999997</v>
      </c>
      <c r="K193" s="21">
        <f t="shared" ref="K193" si="237">3.1416*K107^2/4</f>
        <v>314.15999999999997</v>
      </c>
      <c r="L193" s="20"/>
      <c r="Q193" s="4"/>
    </row>
    <row r="194" spans="1:17" s="6" customFormat="1" ht="20.100000000000001" customHeight="1">
      <c r="A194" s="35" t="s">
        <v>76</v>
      </c>
      <c r="B194" s="36">
        <f t="shared" ref="B194:J194" si="238">B31</f>
        <v>-2.8</v>
      </c>
      <c r="C194" s="36">
        <f t="shared" si="238"/>
        <v>-2.8</v>
      </c>
      <c r="D194" s="36">
        <f t="shared" si="238"/>
        <v>-2.8</v>
      </c>
      <c r="E194" s="36">
        <f t="shared" si="238"/>
        <v>-2.8</v>
      </c>
      <c r="F194" s="36">
        <f t="shared" si="238"/>
        <v>-2.8</v>
      </c>
      <c r="G194" s="36">
        <f t="shared" si="238"/>
        <v>-2.8</v>
      </c>
      <c r="H194" s="36">
        <f t="shared" si="238"/>
        <v>-2.8</v>
      </c>
      <c r="I194" s="36">
        <f t="shared" si="238"/>
        <v>-2.8</v>
      </c>
      <c r="J194" s="36">
        <f t="shared" si="238"/>
        <v>-2.8</v>
      </c>
      <c r="K194" s="36">
        <f t="shared" ref="K194" si="239">K31</f>
        <v>-2.8</v>
      </c>
      <c r="L194" s="31"/>
      <c r="Q194" s="4"/>
    </row>
    <row r="195" spans="1:17" s="4" customFormat="1" ht="20.100000000000001" customHeight="1">
      <c r="A195" s="44" t="s">
        <v>191</v>
      </c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3"/>
    </row>
    <row r="196" spans="1:17" s="58" customFormat="1" ht="20.100000000000001" customHeight="1">
      <c r="A196" s="56" t="s">
        <v>188</v>
      </c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Q196" s="59"/>
    </row>
    <row r="197" spans="1:17" s="58" customFormat="1" ht="20.100000000000001" customHeight="1">
      <c r="A197" s="56" t="s">
        <v>189</v>
      </c>
      <c r="B197" s="57">
        <f>B173/(B199*((B226+B227)/2-B43))/3.6</f>
        <v>238.68405915033389</v>
      </c>
      <c r="C197" s="57">
        <f t="shared" ref="C197:J197" si="240">C173/(C199*((C226+C227)/2-C43))/3.6</f>
        <v>461.51332386628673</v>
      </c>
      <c r="D197" s="57">
        <f t="shared" si="240"/>
        <v>256.51570754966446</v>
      </c>
      <c r="E197" s="57">
        <f t="shared" si="240"/>
        <v>47.023800551569202</v>
      </c>
      <c r="F197" s="57">
        <f t="shared" si="240"/>
        <v>232.76650684381659</v>
      </c>
      <c r="G197" s="57">
        <f t="shared" si="240"/>
        <v>41.91381435974936</v>
      </c>
      <c r="H197" s="57">
        <f t="shared" si="240"/>
        <v>4.2277695287478858</v>
      </c>
      <c r="I197" s="57">
        <f t="shared" si="240"/>
        <v>8.7981881870037775</v>
      </c>
      <c r="J197" s="57">
        <f t="shared" si="240"/>
        <v>9.0121862394275709</v>
      </c>
      <c r="K197" s="57">
        <f t="shared" ref="K197" si="241">K173/(K199*((K226+K227)/2-K43))/3.6</f>
        <v>9.0121862394275709</v>
      </c>
      <c r="L197" s="56"/>
      <c r="Q197" s="59"/>
    </row>
    <row r="198" spans="1:17" s="5" customFormat="1" ht="20.100000000000001" customHeight="1">
      <c r="A198" s="20" t="s">
        <v>288</v>
      </c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0"/>
      <c r="Q198" s="41"/>
    </row>
    <row r="199" spans="1:17" s="5" customFormat="1" ht="20.100000000000001" customHeight="1">
      <c r="A199" s="20" t="s">
        <v>94</v>
      </c>
      <c r="B199" s="21">
        <f t="shared" ref="B199:J199" si="242">1/(1/B201+B225)</f>
        <v>90.49768615884139</v>
      </c>
      <c r="C199" s="21">
        <f t="shared" si="242"/>
        <v>48.376054117372114</v>
      </c>
      <c r="D199" s="21">
        <f t="shared" si="242"/>
        <v>83.391132995358859</v>
      </c>
      <c r="E199" s="21">
        <f t="shared" si="242"/>
        <v>49.991370877023577</v>
      </c>
      <c r="F199" s="21">
        <f t="shared" si="242"/>
        <v>48.375111078806071</v>
      </c>
      <c r="G199" s="21">
        <f t="shared" si="242"/>
        <v>142.24951722100579</v>
      </c>
      <c r="H199" s="21">
        <f t="shared" si="242"/>
        <v>113.82369183196045</v>
      </c>
      <c r="I199" s="21">
        <f t="shared" si="242"/>
        <v>66.565396876883838</v>
      </c>
      <c r="J199" s="21">
        <f t="shared" si="242"/>
        <v>64.944719754217729</v>
      </c>
      <c r="K199" s="21">
        <f t="shared" ref="K199" si="243">1/(1/K201+K225)</f>
        <v>64.944719754217729</v>
      </c>
      <c r="L199" s="20"/>
      <c r="M199" s="5">
        <f>F199/1.163</f>
        <v>41.595108408259733</v>
      </c>
      <c r="Q199" s="41"/>
    </row>
    <row r="200" spans="1:17" s="4" customFormat="1" ht="20.100000000000001" customHeight="1">
      <c r="A200" s="20" t="s">
        <v>139</v>
      </c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3"/>
    </row>
    <row r="201" spans="1:17" s="5" customFormat="1" ht="20.100000000000001" customHeight="1">
      <c r="A201" s="20" t="s">
        <v>97</v>
      </c>
      <c r="B201" s="21">
        <f>B222*B203*(B208*B218)^B223/B206</f>
        <v>106.95179987086367</v>
      </c>
      <c r="C201" s="21">
        <f>C222*C203*(C208*C218)^C223/C206</f>
        <v>52.710966699336488</v>
      </c>
      <c r="D201" s="21">
        <f>D222*D203*(D208*D218)^D223/D206</f>
        <v>97.16584130691075</v>
      </c>
      <c r="E201" s="21">
        <f>E222*E203*(E208*E218)^E223/E206</f>
        <v>54.634502093661347</v>
      </c>
      <c r="F201" s="21">
        <f t="shared" ref="F201:K201" si="244">F222*F203*F221^F223/F206</f>
        <v>52.709847081587853</v>
      </c>
      <c r="G201" s="21">
        <f t="shared" si="244"/>
        <v>187.62075145724634</v>
      </c>
      <c r="H201" s="21">
        <f t="shared" si="244"/>
        <v>141.13295821549045</v>
      </c>
      <c r="I201" s="21">
        <f t="shared" si="244"/>
        <v>75.059182093959649</v>
      </c>
      <c r="J201" s="21">
        <f t="shared" si="244"/>
        <v>73.004900522970829</v>
      </c>
      <c r="K201" s="21">
        <f t="shared" si="244"/>
        <v>73.004900522970829</v>
      </c>
      <c r="L201" s="20"/>
      <c r="M201" s="3">
        <f>F201/1.163</f>
        <v>45.322310474280179</v>
      </c>
      <c r="Q201" s="4"/>
    </row>
    <row r="202" spans="1:17" s="5" customFormat="1" ht="20.100000000000001" customHeight="1">
      <c r="A202" s="20" t="s">
        <v>150</v>
      </c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0"/>
      <c r="M202" s="3"/>
      <c r="Q202" s="4"/>
    </row>
    <row r="203" spans="1:17" s="5" customFormat="1" ht="20.100000000000001" customHeight="1">
      <c r="A203" s="20" t="s">
        <v>310</v>
      </c>
      <c r="B203" s="21">
        <f>0.101*(1-0.00054*B204)/B60</f>
        <v>9.502875613982617E-2</v>
      </c>
      <c r="C203" s="21">
        <f t="shared" ref="C203:K203" si="245">0.101*(1-0.00054*C204)/C60</f>
        <v>8.9672183244813491E-2</v>
      </c>
      <c r="D203" s="21">
        <f t="shared" si="245"/>
        <v>9.6157545629638547E-2</v>
      </c>
      <c r="E203" s="21">
        <f t="shared" si="245"/>
        <v>9.0109866832127961E-2</v>
      </c>
      <c r="F203" s="21">
        <f t="shared" si="245"/>
        <v>8.9672236162669547E-2</v>
      </c>
      <c r="G203" s="21">
        <f t="shared" si="245"/>
        <v>0.10108414750854774</v>
      </c>
      <c r="H203" s="21">
        <f t="shared" si="245"/>
        <v>9.1372052015316674E-2</v>
      </c>
      <c r="I203" s="21">
        <f t="shared" si="245"/>
        <v>9.4123845280483037E-2</v>
      </c>
      <c r="J203" s="21">
        <f t="shared" si="245"/>
        <v>9.1150838522107591E-2</v>
      </c>
      <c r="K203" s="21">
        <f t="shared" si="245"/>
        <v>9.1150838522107591E-2</v>
      </c>
      <c r="L203" s="20"/>
      <c r="Q203" s="4"/>
    </row>
    <row r="204" spans="1:17" s="5" customFormat="1" ht="20.100000000000001" customHeight="1">
      <c r="A204" s="20" t="s">
        <v>100</v>
      </c>
      <c r="B204" s="21">
        <f t="shared" ref="B204:J204" si="246">(B43+B205)/2</f>
        <v>155.40699999999998</v>
      </c>
      <c r="C204" s="21">
        <f t="shared" si="246"/>
        <v>157.29750000000001</v>
      </c>
      <c r="D204" s="21">
        <f t="shared" si="246"/>
        <v>155.72424999999998</v>
      </c>
      <c r="E204" s="21">
        <f t="shared" si="246"/>
        <v>149.0265</v>
      </c>
      <c r="F204" s="21">
        <f t="shared" si="246"/>
        <v>157.29649999999998</v>
      </c>
      <c r="G204" s="21">
        <f t="shared" si="246"/>
        <v>146.82249999999999</v>
      </c>
      <c r="H204" s="21">
        <f t="shared" si="246"/>
        <v>127.16500000000001</v>
      </c>
      <c r="I204" s="21">
        <f t="shared" si="246"/>
        <v>131.20099999999999</v>
      </c>
      <c r="J204" s="21">
        <f t="shared" si="246"/>
        <v>131.34050000000002</v>
      </c>
      <c r="K204" s="21">
        <f t="shared" ref="K204" si="247">(K43+K205)/2</f>
        <v>131.34050000000002</v>
      </c>
      <c r="L204" s="20"/>
      <c r="Q204" s="4"/>
    </row>
    <row r="205" spans="1:17" s="8" customFormat="1" ht="20.100000000000001" customHeight="1">
      <c r="A205" s="29" t="s">
        <v>96</v>
      </c>
      <c r="B205" s="30">
        <v>175.81399999999999</v>
      </c>
      <c r="C205" s="30">
        <v>179.595</v>
      </c>
      <c r="D205" s="30">
        <v>176.4485</v>
      </c>
      <c r="E205" s="30">
        <v>178.053</v>
      </c>
      <c r="F205" s="30">
        <v>179.59299999999999</v>
      </c>
      <c r="G205" s="30">
        <v>168.64500000000001</v>
      </c>
      <c r="H205" s="30">
        <v>164.33</v>
      </c>
      <c r="I205" s="30">
        <v>172.40199999999999</v>
      </c>
      <c r="J205" s="30">
        <v>172.68100000000001</v>
      </c>
      <c r="K205" s="30">
        <v>172.68100000000001</v>
      </c>
      <c r="L205" s="78" t="s">
        <v>258</v>
      </c>
      <c r="Q205" s="38"/>
    </row>
    <row r="206" spans="1:17" s="41" customFormat="1" ht="20.100000000000001" customHeight="1">
      <c r="A206" s="35" t="s">
        <v>77</v>
      </c>
      <c r="B206" s="36">
        <f t="shared" ref="B206:J206" si="248">B21</f>
        <v>8.8999999999999996E-2</v>
      </c>
      <c r="C206" s="36">
        <f t="shared" si="248"/>
        <v>8.8999999999999996E-2</v>
      </c>
      <c r="D206" s="36">
        <f t="shared" si="248"/>
        <v>8.8999999999999996E-2</v>
      </c>
      <c r="E206" s="36">
        <f t="shared" si="248"/>
        <v>8.8999999999999996E-2</v>
      </c>
      <c r="F206" s="36">
        <f t="shared" si="248"/>
        <v>8.8999999999999996E-2</v>
      </c>
      <c r="G206" s="36">
        <f t="shared" si="248"/>
        <v>8.8999999999999996E-2</v>
      </c>
      <c r="H206" s="36">
        <f t="shared" si="248"/>
        <v>8.8999999999999996E-2</v>
      </c>
      <c r="I206" s="36">
        <f t="shared" si="248"/>
        <v>8.8999999999999996E-2</v>
      </c>
      <c r="J206" s="36">
        <f t="shared" si="248"/>
        <v>8.8999999999999996E-2</v>
      </c>
      <c r="K206" s="36">
        <f t="shared" ref="K206" si="249">K21</f>
        <v>8.8999999999999996E-2</v>
      </c>
      <c r="L206" s="35"/>
      <c r="Q206" s="4"/>
    </row>
    <row r="207" spans="1:17" s="41" customFormat="1" ht="20.100000000000001" customHeight="1">
      <c r="A207" s="20" t="s">
        <v>146</v>
      </c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5"/>
      <c r="Q207" s="4"/>
    </row>
    <row r="208" spans="1:17" s="5" customFormat="1" ht="20.100000000000001" customHeight="1">
      <c r="A208" s="20" t="s">
        <v>145</v>
      </c>
      <c r="B208" s="21">
        <f t="shared" ref="B208:J208" si="250">B67*B206^3*B210*B214/B216^2</f>
        <v>1896282.3429030678</v>
      </c>
      <c r="C208" s="21">
        <f t="shared" si="250"/>
        <v>34631.622845196631</v>
      </c>
      <c r="D208" s="21">
        <f t="shared" si="250"/>
        <v>949732.49277883221</v>
      </c>
      <c r="E208" s="21">
        <f t="shared" si="250"/>
        <v>33021.823977573265</v>
      </c>
      <c r="F208" s="21">
        <f t="shared" si="250"/>
        <v>34628.766129279938</v>
      </c>
      <c r="G208" s="21">
        <f t="shared" si="250"/>
        <v>37582862.206733137</v>
      </c>
      <c r="H208" s="21">
        <f t="shared" si="250"/>
        <v>8331764.9798144298</v>
      </c>
      <c r="I208" s="21">
        <f t="shared" si="250"/>
        <v>137833.64443365089</v>
      </c>
      <c r="J208" s="21">
        <f t="shared" si="250"/>
        <v>143291.11492174611</v>
      </c>
      <c r="K208" s="21">
        <f t="shared" ref="K208" si="251">K67*K206^3*K210*K214/K216^2</f>
        <v>143291.11492174611</v>
      </c>
      <c r="L208" s="20"/>
      <c r="Q208" s="4"/>
    </row>
    <row r="209" spans="1:24" s="5" customFormat="1" ht="20.100000000000001" customHeight="1">
      <c r="A209" s="18" t="s">
        <v>12</v>
      </c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0"/>
      <c r="Q209" s="4"/>
    </row>
    <row r="210" spans="1:24" s="5" customFormat="1" ht="20.100000000000001" customHeight="1">
      <c r="A210" s="18" t="s">
        <v>144</v>
      </c>
      <c r="B210" s="21">
        <f t="shared" ref="B210:J210" si="252">(B61-B212)/(B212*(B204-B62))</f>
        <v>7.1380230874489492E-4</v>
      </c>
      <c r="C210" s="21">
        <f t="shared" si="252"/>
        <v>5.8932992242410366E-4</v>
      </c>
      <c r="D210" s="21">
        <f t="shared" si="252"/>
        <v>7.7290536596759071E-4</v>
      </c>
      <c r="E210" s="21">
        <f t="shared" si="252"/>
        <v>5.8647125754689232E-4</v>
      </c>
      <c r="F210" s="21">
        <f t="shared" si="252"/>
        <v>5.8932957511455926E-4</v>
      </c>
      <c r="G210" s="21">
        <f t="shared" si="252"/>
        <v>8.514955309184872E-4</v>
      </c>
      <c r="H210" s="21">
        <f t="shared" si="252"/>
        <v>5.276875377237994E-4</v>
      </c>
      <c r="I210" s="21">
        <f t="shared" si="252"/>
        <v>6.0134500429154638E-4</v>
      </c>
      <c r="J210" s="21">
        <f t="shared" si="252"/>
        <v>5.2885279044523727E-4</v>
      </c>
      <c r="K210" s="21">
        <f t="shared" ref="K210" si="253">(K61-K212)/(K212*(K204-K62))</f>
        <v>5.2885279044523727E-4</v>
      </c>
      <c r="L210" s="20"/>
      <c r="Q210" s="4"/>
    </row>
    <row r="211" spans="1:24" s="5" customFormat="1" ht="20.100000000000001" customHeight="1">
      <c r="A211" s="18" t="s">
        <v>148</v>
      </c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0"/>
      <c r="Q211" s="4"/>
    </row>
    <row r="212" spans="1:24" s="3" customFormat="1" ht="20.100000000000001" customHeight="1">
      <c r="A212" s="18" t="s">
        <v>143</v>
      </c>
      <c r="B212" s="21">
        <f t="shared" ref="B212:J212" si="254">B61-B64*(B204-B62)</f>
        <v>0.88495090624000006</v>
      </c>
      <c r="C212" s="21">
        <f t="shared" si="254"/>
        <v>0.95091048099999997</v>
      </c>
      <c r="D212" s="21">
        <f t="shared" si="254"/>
        <v>0.86766120346500009</v>
      </c>
      <c r="E212" s="21">
        <f t="shared" si="254"/>
        <v>0.95554554939999992</v>
      </c>
      <c r="F212" s="21">
        <f t="shared" si="254"/>
        <v>0.95091104139999993</v>
      </c>
      <c r="G212" s="21">
        <f t="shared" si="254"/>
        <v>0.8271094497</v>
      </c>
      <c r="H212" s="21">
        <f t="shared" si="254"/>
        <v>0.97193881479999999</v>
      </c>
      <c r="I212" s="21">
        <f t="shared" si="254"/>
        <v>0.93191095959999992</v>
      </c>
      <c r="J212" s="21">
        <f t="shared" si="254"/>
        <v>0.96979728436000001</v>
      </c>
      <c r="K212" s="21">
        <f t="shared" ref="K212" si="255">K61-K64*(K204-K62)</f>
        <v>0.96979728436000001</v>
      </c>
      <c r="L212" s="18"/>
      <c r="Q212" s="4"/>
    </row>
    <row r="213" spans="1:24" s="3" customFormat="1" ht="20.100000000000001" customHeight="1">
      <c r="A213" s="18" t="s">
        <v>149</v>
      </c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18"/>
      <c r="Q213" s="4"/>
    </row>
    <row r="214" spans="1:24" s="5" customFormat="1" ht="20.100000000000001" customHeight="1">
      <c r="A214" s="18" t="s">
        <v>98</v>
      </c>
      <c r="B214" s="21">
        <f t="shared" ref="B214:J214" si="256">B205-B43</f>
        <v>40.813999999999993</v>
      </c>
      <c r="C214" s="21">
        <f t="shared" si="256"/>
        <v>44.594999999999999</v>
      </c>
      <c r="D214" s="21">
        <f t="shared" si="256"/>
        <v>41.448499999999996</v>
      </c>
      <c r="E214" s="21">
        <f t="shared" si="256"/>
        <v>58.052999999999997</v>
      </c>
      <c r="F214" s="21">
        <f t="shared" si="256"/>
        <v>44.592999999999989</v>
      </c>
      <c r="G214" s="21">
        <f t="shared" si="256"/>
        <v>43.64500000000001</v>
      </c>
      <c r="H214" s="21">
        <f t="shared" si="256"/>
        <v>74.330000000000013</v>
      </c>
      <c r="I214" s="21">
        <f t="shared" si="256"/>
        <v>82.401999999999987</v>
      </c>
      <c r="J214" s="21">
        <f t="shared" si="256"/>
        <v>82.681000000000012</v>
      </c>
      <c r="K214" s="21">
        <f t="shared" ref="K214" si="257">K205-K43</f>
        <v>82.681000000000012</v>
      </c>
      <c r="L214" s="20"/>
      <c r="Q214" s="4"/>
    </row>
    <row r="215" spans="1:24" s="5" customFormat="1" ht="20.100000000000001" customHeight="1">
      <c r="A215" s="18" t="s">
        <v>147</v>
      </c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0"/>
      <c r="Q215" s="4"/>
    </row>
    <row r="216" spans="1:24" s="3" customFormat="1" ht="20.100000000000001" customHeight="1">
      <c r="A216" s="18" t="s">
        <v>142</v>
      </c>
      <c r="B216" s="21">
        <f t="shared" ref="B216:J216" si="258">B84*EXP(-B81*(B204-B82))</f>
        <v>1.0307695185441542E-5</v>
      </c>
      <c r="C216" s="21">
        <f t="shared" si="258"/>
        <v>7.2444500508968268E-5</v>
      </c>
      <c r="D216" s="21">
        <f t="shared" si="258"/>
        <v>1.5273424967346501E-5</v>
      </c>
      <c r="E216" s="21">
        <f t="shared" si="258"/>
        <v>8.444125604845841E-5</v>
      </c>
      <c r="F216" s="21">
        <f t="shared" si="258"/>
        <v>7.2445842687720482E-5</v>
      </c>
      <c r="G216" s="21">
        <f t="shared" si="258"/>
        <v>2.615068221627089E-6</v>
      </c>
      <c r="H216" s="21">
        <f t="shared" si="258"/>
        <v>5.7058650171367589E-6</v>
      </c>
      <c r="I216" s="21">
        <f t="shared" si="258"/>
        <v>4.9862336355930323E-5</v>
      </c>
      <c r="J216" s="21">
        <f t="shared" si="258"/>
        <v>4.593885253596683E-5</v>
      </c>
      <c r="K216" s="21">
        <f t="shared" ref="K216" si="259">K84*EXP(-K81*(K204-K82))</f>
        <v>4.593885253596683E-5</v>
      </c>
      <c r="L216" s="18"/>
      <c r="Q216" s="4"/>
    </row>
    <row r="217" spans="1:24" s="3" customFormat="1" ht="20.100000000000001" customHeight="1">
      <c r="A217" s="18" t="s">
        <v>22</v>
      </c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18"/>
      <c r="Q217" s="4"/>
      <c r="X217" s="3" t="s">
        <v>0</v>
      </c>
    </row>
    <row r="218" spans="1:24" s="3" customFormat="1" ht="20.100000000000001" customHeight="1">
      <c r="A218" s="18" t="s">
        <v>119</v>
      </c>
      <c r="B218" s="21">
        <f t="shared" ref="B218:J218" si="260">B216*B212*B220*10^6/B203</f>
        <v>215.40950963857082</v>
      </c>
      <c r="C218" s="21">
        <f t="shared" si="260"/>
        <v>1680.4499559294502</v>
      </c>
      <c r="D218" s="21">
        <f t="shared" si="260"/>
        <v>311.28497220880342</v>
      </c>
      <c r="E218" s="21">
        <f t="shared" si="260"/>
        <v>1933.9782311090758</v>
      </c>
      <c r="F218" s="21">
        <f t="shared" si="260"/>
        <v>1680.4785219843147</v>
      </c>
      <c r="G218" s="21">
        <f t="shared" si="260"/>
        <v>48.749741535093754</v>
      </c>
      <c r="H218" s="21">
        <f t="shared" si="260"/>
        <v>126.72926102823344</v>
      </c>
      <c r="I218" s="21">
        <f t="shared" si="260"/>
        <v>1054.2071908102321</v>
      </c>
      <c r="J218" s="21">
        <f t="shared" si="260"/>
        <v>1027.3619775921102</v>
      </c>
      <c r="K218" s="21">
        <f t="shared" ref="K218" si="261">K216*K212*K220*10^6/K203</f>
        <v>1027.3619775921102</v>
      </c>
      <c r="L218" s="18"/>
      <c r="Q218" s="4"/>
    </row>
    <row r="219" spans="1:24" s="3" customFormat="1" ht="20.100000000000001" customHeight="1">
      <c r="A219" s="18" t="s">
        <v>140</v>
      </c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18"/>
      <c r="Q219" s="4"/>
    </row>
    <row r="220" spans="1:24" s="3" customFormat="1" ht="20.100000000000001" customHeight="1">
      <c r="A220" s="18" t="s">
        <v>141</v>
      </c>
      <c r="B220" s="21">
        <f t="shared" ref="B220:J220" si="262">4.1868*(0.403+0.00081*B204)/(B90)^0.5</f>
        <v>2.2440843195814666</v>
      </c>
      <c r="C220" s="21">
        <f t="shared" si="262"/>
        <v>2.1874506839246579</v>
      </c>
      <c r="D220" s="21">
        <f t="shared" si="262"/>
        <v>2.2586810591932536</v>
      </c>
      <c r="E220" s="21">
        <f t="shared" si="262"/>
        <v>2.1598214522115318</v>
      </c>
      <c r="F220" s="21">
        <f t="shared" si="262"/>
        <v>2.1874473434299513</v>
      </c>
      <c r="G220" s="21">
        <f t="shared" si="262"/>
        <v>2.2782918913081938</v>
      </c>
      <c r="H220" s="21">
        <f t="shared" si="262"/>
        <v>2.0879969558995</v>
      </c>
      <c r="I220" s="21">
        <f t="shared" si="262"/>
        <v>2.1353968232086533</v>
      </c>
      <c r="J220" s="21">
        <f t="shared" si="262"/>
        <v>2.1019532373302376</v>
      </c>
      <c r="K220" s="21">
        <f t="shared" ref="K220" si="263">4.1868*(0.403+0.00081*K204)/(K90)^0.5</f>
        <v>2.1019532373302376</v>
      </c>
      <c r="L220" s="18"/>
      <c r="Q220" s="4"/>
    </row>
    <row r="221" spans="1:24" s="4" customFormat="1" ht="20.100000000000001" customHeight="1">
      <c r="A221" s="20" t="s">
        <v>26</v>
      </c>
      <c r="B221" s="19">
        <f t="shared" ref="B221:J221" si="264">B208*B218</f>
        <v>408477249.62103003</v>
      </c>
      <c r="C221" s="19">
        <f t="shared" si="264"/>
        <v>58196709.083976015</v>
      </c>
      <c r="D221" s="19">
        <f t="shared" si="264"/>
        <v>295637452.6204564</v>
      </c>
      <c r="E221" s="19">
        <f t="shared" si="264"/>
        <v>63863488.72414241</v>
      </c>
      <c r="F221" s="19">
        <f t="shared" si="264"/>
        <v>58192897.723072849</v>
      </c>
      <c r="G221" s="19">
        <f t="shared" si="264"/>
        <v>1832154818.7272837</v>
      </c>
      <c r="H221" s="19">
        <f t="shared" si="264"/>
        <v>1055878418.9527969</v>
      </c>
      <c r="I221" s="19">
        <f t="shared" si="264"/>
        <v>145305219.09753549</v>
      </c>
      <c r="J221" s="19">
        <f t="shared" si="264"/>
        <v>147211843.1973834</v>
      </c>
      <c r="K221" s="19">
        <f t="shared" ref="K221" si="265">K208*K218</f>
        <v>147211843.1973834</v>
      </c>
      <c r="L221" s="23"/>
      <c r="M221" s="4">
        <f>2.157684*37.358</f>
        <v>80.606758872</v>
      </c>
    </row>
    <row r="222" spans="1:24" s="4" customFormat="1" ht="20.100000000000001" customHeight="1">
      <c r="A222" s="20" t="s">
        <v>27</v>
      </c>
      <c r="B222" s="19">
        <f t="shared" ref="B222:J222" si="266">IF(B221&lt;10^(-3),0.5,IF(B221&lt;(5*10^2),1.18,IF(B221&lt;(2*10^7),0.54,IF(B221&gt;(2*10^7),0.135))))</f>
        <v>0.13500000000000001</v>
      </c>
      <c r="C222" s="19">
        <f t="shared" si="266"/>
        <v>0.13500000000000001</v>
      </c>
      <c r="D222" s="19">
        <f t="shared" si="266"/>
        <v>0.13500000000000001</v>
      </c>
      <c r="E222" s="19">
        <f t="shared" si="266"/>
        <v>0.13500000000000001</v>
      </c>
      <c r="F222" s="19">
        <f t="shared" si="266"/>
        <v>0.13500000000000001</v>
      </c>
      <c r="G222" s="19">
        <f t="shared" si="266"/>
        <v>0.13500000000000001</v>
      </c>
      <c r="H222" s="19">
        <f t="shared" si="266"/>
        <v>0.13500000000000001</v>
      </c>
      <c r="I222" s="19">
        <f t="shared" si="266"/>
        <v>0.13500000000000001</v>
      </c>
      <c r="J222" s="19">
        <f t="shared" si="266"/>
        <v>0.13500000000000001</v>
      </c>
      <c r="K222" s="19">
        <f t="shared" ref="K222" si="267">IF(K221&lt;10^(-3),0.5,IF(K221&lt;(5*10^2),1.18,IF(K221&lt;(2*10^7),0.54,IF(K221&gt;(2*10^7),0.135))))</f>
        <v>0.13500000000000001</v>
      </c>
      <c r="L222" s="23" t="s">
        <v>84</v>
      </c>
    </row>
    <row r="223" spans="1:24" s="4" customFormat="1" ht="20.100000000000001" customHeight="1">
      <c r="A223" s="20" t="s">
        <v>28</v>
      </c>
      <c r="B223" s="19">
        <f t="shared" ref="B223:J223" si="268">IF(B221&lt;10^(-3),0,IF(B221&lt;(5*10^2),(1/8),IF(B221&lt;(2*10^7),(1/4),IF(B221&gt;(2*10^7),(1/3)))))</f>
        <v>0.33333333333333331</v>
      </c>
      <c r="C223" s="19">
        <f t="shared" si="268"/>
        <v>0.33333333333333331</v>
      </c>
      <c r="D223" s="19">
        <f t="shared" si="268"/>
        <v>0.33333333333333331</v>
      </c>
      <c r="E223" s="19">
        <f t="shared" si="268"/>
        <v>0.33333333333333331</v>
      </c>
      <c r="F223" s="19">
        <f t="shared" si="268"/>
        <v>0.33333333333333331</v>
      </c>
      <c r="G223" s="19">
        <f t="shared" si="268"/>
        <v>0.33333333333333331</v>
      </c>
      <c r="H223" s="19">
        <f t="shared" si="268"/>
        <v>0.33333333333333331</v>
      </c>
      <c r="I223" s="19">
        <f t="shared" si="268"/>
        <v>0.33333333333333331</v>
      </c>
      <c r="J223" s="19">
        <f t="shared" si="268"/>
        <v>0.33333333333333331</v>
      </c>
      <c r="K223" s="19">
        <f t="shared" ref="K223" si="269">IF(K221&lt;10^(-3),0,IF(K221&lt;(5*10^2),(1/8),IF(K221&lt;(2*10^7),(1/4),IF(K221&gt;(2*10^7),(1/3)))))</f>
        <v>0.33333333333333331</v>
      </c>
      <c r="L223" s="23" t="s">
        <v>84</v>
      </c>
    </row>
    <row r="224" spans="1:24" s="54" customFormat="1" ht="20.100000000000001" customHeight="1">
      <c r="A224" s="52" t="s">
        <v>256</v>
      </c>
      <c r="B224" s="53">
        <f t="shared" ref="B224:J224" si="270">B43+(B226-B43)*B199/B201-B205</f>
        <v>0.64754274296851122</v>
      </c>
      <c r="C224" s="53">
        <f t="shared" si="270"/>
        <v>0.37527469202291286</v>
      </c>
      <c r="D224" s="53">
        <f t="shared" si="270"/>
        <v>0.60501862148660734</v>
      </c>
      <c r="E224" s="53">
        <f t="shared" si="270"/>
        <v>0.5079388485798404</v>
      </c>
      <c r="F224" s="53">
        <f t="shared" si="270"/>
        <v>0.37735324713545992</v>
      </c>
      <c r="G224" s="53">
        <f t="shared" si="270"/>
        <v>1.0873734227330942</v>
      </c>
      <c r="H224" s="53">
        <f t="shared" si="270"/>
        <v>1.4809740452526796</v>
      </c>
      <c r="I224" s="53">
        <f t="shared" si="270"/>
        <v>0.96084957907396529</v>
      </c>
      <c r="J224" s="53">
        <f t="shared" si="270"/>
        <v>0.94083378327599121</v>
      </c>
      <c r="K224" s="53">
        <f t="shared" ref="K224" si="271">K43+(K226-K43)*K199/K201-K205</f>
        <v>0.94083378327599121</v>
      </c>
      <c r="L224" s="78" t="s">
        <v>255</v>
      </c>
      <c r="Q224" s="7"/>
    </row>
    <row r="225" spans="1:17" s="41" customFormat="1" ht="20.100000000000001" customHeight="1">
      <c r="A225" s="35" t="s">
        <v>95</v>
      </c>
      <c r="B225" s="50">
        <f t="shared" ref="B225:J225" si="272">B22</f>
        <v>1.6999999999999999E-3</v>
      </c>
      <c r="C225" s="50">
        <f t="shared" si="272"/>
        <v>1.6999999999999999E-3</v>
      </c>
      <c r="D225" s="50">
        <f t="shared" si="272"/>
        <v>1.6999999999999999E-3</v>
      </c>
      <c r="E225" s="50">
        <f t="shared" si="272"/>
        <v>1.6999999999999999E-3</v>
      </c>
      <c r="F225" s="50">
        <f t="shared" si="272"/>
        <v>1.6999999999999999E-3</v>
      </c>
      <c r="G225" s="50">
        <f t="shared" si="272"/>
        <v>1.6999999999999999E-3</v>
      </c>
      <c r="H225" s="50">
        <f t="shared" si="272"/>
        <v>1.6999999999999999E-3</v>
      </c>
      <c r="I225" s="50">
        <f t="shared" si="272"/>
        <v>1.6999999999999999E-3</v>
      </c>
      <c r="J225" s="50">
        <f t="shared" si="272"/>
        <v>1.6999999999999999E-3</v>
      </c>
      <c r="K225" s="50">
        <f t="shared" ref="K225" si="273">K22</f>
        <v>1.6999999999999999E-3</v>
      </c>
      <c r="L225" s="35" t="s">
        <v>78</v>
      </c>
      <c r="Q225" s="4"/>
    </row>
    <row r="226" spans="1:17" s="41" customFormat="1" ht="20.100000000000001" customHeight="1">
      <c r="A226" s="35" t="s">
        <v>79</v>
      </c>
      <c r="B226" s="50">
        <f t="shared" ref="B226:C227" si="274">B36</f>
        <v>184</v>
      </c>
      <c r="C226" s="50">
        <f t="shared" si="274"/>
        <v>184</v>
      </c>
      <c r="D226" s="50">
        <f t="shared" ref="D226:E226" si="275">D36</f>
        <v>184</v>
      </c>
      <c r="E226" s="50">
        <f t="shared" si="275"/>
        <v>184</v>
      </c>
      <c r="F226" s="50">
        <f t="shared" ref="F226:G226" si="276">F36</f>
        <v>184</v>
      </c>
      <c r="G226" s="50">
        <f t="shared" si="276"/>
        <v>184</v>
      </c>
      <c r="H226" s="50">
        <f t="shared" ref="H226:I226" si="277">H36</f>
        <v>184</v>
      </c>
      <c r="I226" s="50">
        <f t="shared" si="277"/>
        <v>184</v>
      </c>
      <c r="J226" s="50">
        <f t="shared" ref="J226:K226" si="278">J36</f>
        <v>184</v>
      </c>
      <c r="K226" s="50">
        <f t="shared" si="278"/>
        <v>184</v>
      </c>
      <c r="L226" s="35"/>
      <c r="Q226" s="4"/>
    </row>
    <row r="227" spans="1:17" s="41" customFormat="1" ht="20.100000000000001" customHeight="1">
      <c r="A227" s="35" t="s">
        <v>80</v>
      </c>
      <c r="B227" s="50">
        <f t="shared" si="274"/>
        <v>184</v>
      </c>
      <c r="C227" s="50">
        <f t="shared" si="274"/>
        <v>184</v>
      </c>
      <c r="D227" s="50">
        <f t="shared" ref="D227:E227" si="279">D37</f>
        <v>184</v>
      </c>
      <c r="E227" s="50">
        <f t="shared" si="279"/>
        <v>184</v>
      </c>
      <c r="F227" s="50">
        <f t="shared" ref="F227:G227" si="280">F37</f>
        <v>184</v>
      </c>
      <c r="G227" s="50">
        <f t="shared" si="280"/>
        <v>184</v>
      </c>
      <c r="H227" s="50">
        <f t="shared" ref="H227:I227" si="281">H37</f>
        <v>184</v>
      </c>
      <c r="I227" s="50">
        <f t="shared" si="281"/>
        <v>184</v>
      </c>
      <c r="J227" s="50">
        <f t="shared" ref="J227:K227" si="282">J37</f>
        <v>184</v>
      </c>
      <c r="K227" s="50">
        <f t="shared" si="282"/>
        <v>184</v>
      </c>
      <c r="L227" s="35"/>
      <c r="Q227" s="4"/>
    </row>
    <row r="228" spans="1:17" s="6" customFormat="1" ht="20.100000000000001" customHeight="1">
      <c r="A228" s="31" t="s">
        <v>192</v>
      </c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1"/>
      <c r="Q228" s="4"/>
    </row>
    <row r="229" spans="1:17" s="58" customFormat="1" ht="19.5" customHeight="1">
      <c r="A229" s="56" t="s">
        <v>184</v>
      </c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Q229" s="59"/>
    </row>
    <row r="230" spans="1:17" s="58" customFormat="1" ht="20.100000000000001" customHeight="1">
      <c r="A230" s="56" t="s">
        <v>185</v>
      </c>
      <c r="B230" s="57">
        <f t="shared" ref="B230:J230" si="283">B173/(B231-B232)</f>
        <v>1904.7198605696678</v>
      </c>
      <c r="C230" s="57">
        <f t="shared" si="283"/>
        <v>1968.7243140240885</v>
      </c>
      <c r="D230" s="57">
        <f t="shared" si="283"/>
        <v>1886.2708715820972</v>
      </c>
      <c r="E230" s="57">
        <f t="shared" si="283"/>
        <v>270.74901592697483</v>
      </c>
      <c r="F230" s="57">
        <f t="shared" si="283"/>
        <v>992.91640061331896</v>
      </c>
      <c r="G230" s="57">
        <f t="shared" si="283"/>
        <v>633.04435166688552</v>
      </c>
      <c r="H230" s="57">
        <f t="shared" si="283"/>
        <v>81.404041203852955</v>
      </c>
      <c r="I230" s="57">
        <f t="shared" si="283"/>
        <v>99.070365709108231</v>
      </c>
      <c r="J230" s="57">
        <f t="shared" si="283"/>
        <v>99.009301932887183</v>
      </c>
      <c r="K230" s="57">
        <f t="shared" ref="K230" si="284">K173/(K231-K232)</f>
        <v>99.009301932887183</v>
      </c>
      <c r="L230" s="56"/>
      <c r="Q230" s="59"/>
    </row>
    <row r="231" spans="1:17" s="41" customFormat="1" ht="20.100000000000001" customHeight="1">
      <c r="A231" s="35" t="s">
        <v>186</v>
      </c>
      <c r="B231" s="36">
        <f t="shared" ref="B231:F232" si="285">B38</f>
        <v>2781.2912399999996</v>
      </c>
      <c r="C231" s="36">
        <f t="shared" si="285"/>
        <v>2781.2912399999996</v>
      </c>
      <c r="D231" s="36">
        <f t="shared" si="285"/>
        <v>2781.2912399999996</v>
      </c>
      <c r="E231" s="36">
        <f t="shared" ref="E231" si="286">E38</f>
        <v>2781.2912399999996</v>
      </c>
      <c r="F231" s="36">
        <f t="shared" si="285"/>
        <v>2781.2912399999996</v>
      </c>
      <c r="G231" s="36">
        <f t="shared" ref="G231:H231" si="287">G38</f>
        <v>2781.2912399999996</v>
      </c>
      <c r="H231" s="36">
        <f t="shared" si="287"/>
        <v>2781.2912399999996</v>
      </c>
      <c r="I231" s="36">
        <f t="shared" ref="I231:J231" si="288">I38</f>
        <v>2781.2912399999996</v>
      </c>
      <c r="J231" s="36">
        <f t="shared" si="288"/>
        <v>2781.2912399999996</v>
      </c>
      <c r="K231" s="36">
        <f t="shared" ref="K231" si="289">K38</f>
        <v>2781.2912399999996</v>
      </c>
      <c r="L231" s="35" t="s">
        <v>187</v>
      </c>
    </row>
    <row r="232" spans="1:17" s="41" customFormat="1" ht="20.100000000000001" customHeight="1">
      <c r="A232" s="35" t="s">
        <v>82</v>
      </c>
      <c r="B232" s="36">
        <f t="shared" si="285"/>
        <v>780.83820000000003</v>
      </c>
      <c r="C232" s="36">
        <f t="shared" si="285"/>
        <v>780.83820000000003</v>
      </c>
      <c r="D232" s="36">
        <f t="shared" si="285"/>
        <v>780.83820000000003</v>
      </c>
      <c r="E232" s="36">
        <f t="shared" ref="E232" si="290">E39</f>
        <v>780.83820000000003</v>
      </c>
      <c r="F232" s="36">
        <f t="shared" si="285"/>
        <v>780.83820000000003</v>
      </c>
      <c r="G232" s="36">
        <f t="shared" ref="G232:H232" si="291">G39</f>
        <v>780.83820000000003</v>
      </c>
      <c r="H232" s="36">
        <f t="shared" si="291"/>
        <v>780.83820000000003</v>
      </c>
      <c r="I232" s="36">
        <f t="shared" ref="I232:J232" si="292">I39</f>
        <v>780.83820000000003</v>
      </c>
      <c r="J232" s="36">
        <f t="shared" si="292"/>
        <v>780.83820000000003</v>
      </c>
      <c r="K232" s="36">
        <f t="shared" ref="K232" si="293">K39</f>
        <v>780.83820000000003</v>
      </c>
      <c r="L232" s="35" t="s">
        <v>83</v>
      </c>
      <c r="Q232" s="4"/>
    </row>
    <row r="233" spans="1:17" s="4" customFormat="1" ht="20.100000000000001" customHeight="1">
      <c r="A233" s="31" t="s">
        <v>303</v>
      </c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3"/>
    </row>
    <row r="234" spans="1:17" s="62" customFormat="1" ht="20.100000000000001" customHeight="1">
      <c r="A234" s="62" t="s">
        <v>279</v>
      </c>
      <c r="B234" s="63">
        <f>CEILING(B54,0.001)</f>
        <v>0.34</v>
      </c>
      <c r="C234" s="63">
        <f>CEILING(C54,0.001)</f>
        <v>0.33700000000000002</v>
      </c>
      <c r="D234" s="63">
        <f>CEILING(D54,0.001)</f>
        <v>0.33900000000000002</v>
      </c>
      <c r="E234" s="63">
        <f>CEILING(E54,0.001)</f>
        <v>0.33600000000000002</v>
      </c>
      <c r="F234" s="63">
        <f t="shared" ref="F234:J234" si="294">CEILING(F54,0.001)</f>
        <v>0.33700000000000002</v>
      </c>
      <c r="G234" s="63">
        <f t="shared" si="294"/>
        <v>0.34100000000000003</v>
      </c>
      <c r="H234" s="63">
        <f t="shared" si="294"/>
        <v>0.41899999999999998</v>
      </c>
      <c r="I234" s="63">
        <f t="shared" si="294"/>
        <v>0.41500000000000004</v>
      </c>
      <c r="J234" s="63">
        <f t="shared" si="294"/>
        <v>0.41500000000000004</v>
      </c>
      <c r="K234" s="63">
        <f t="shared" ref="K234" si="295">CEILING(K54,0.001)</f>
        <v>0.41500000000000004</v>
      </c>
    </row>
    <row r="235" spans="1:17" s="62" customFormat="1" ht="20.100000000000001" customHeight="1">
      <c r="A235" s="62" t="s">
        <v>280</v>
      </c>
      <c r="B235" s="63">
        <f>CEILING(B122,0.001)</f>
        <v>0.29599999999999999</v>
      </c>
      <c r="C235" s="63">
        <f t="shared" ref="C235:J235" si="296">CEILING(C122,0.001)</f>
        <v>0.29599999999999999</v>
      </c>
      <c r="D235" s="63">
        <f t="shared" si="296"/>
        <v>0.29599999999999999</v>
      </c>
      <c r="E235" s="63">
        <f t="shared" si="296"/>
        <v>0.29299999999999998</v>
      </c>
      <c r="F235" s="63">
        <f t="shared" si="296"/>
        <v>0.29599999999999999</v>
      </c>
      <c r="G235" s="63">
        <f t="shared" si="296"/>
        <v>0.29399999999999998</v>
      </c>
      <c r="H235" s="63">
        <f t="shared" si="296"/>
        <v>0.34600000000000003</v>
      </c>
      <c r="I235" s="63">
        <f t="shared" si="296"/>
        <v>0.34600000000000003</v>
      </c>
      <c r="J235" s="63">
        <f t="shared" si="296"/>
        <v>0.34600000000000003</v>
      </c>
      <c r="K235" s="63">
        <f t="shared" ref="K235" si="297">CEILING(K122,0.001)</f>
        <v>0.34600000000000003</v>
      </c>
    </row>
    <row r="236" spans="1:17" s="62" customFormat="1" ht="20.100000000000001" customHeight="1">
      <c r="A236" s="62" t="s">
        <v>281</v>
      </c>
      <c r="B236" s="63">
        <f>CEILING(B159,0.001)</f>
        <v>9.6000000000000002E-2</v>
      </c>
      <c r="C236" s="63">
        <f t="shared" ref="C236:J236" si="298">CEILING(C159,0.001)</f>
        <v>9.6000000000000002E-2</v>
      </c>
      <c r="D236" s="63">
        <f t="shared" si="298"/>
        <v>9.6000000000000002E-2</v>
      </c>
      <c r="E236" s="63">
        <f t="shared" si="298"/>
        <v>9.6000000000000002E-2</v>
      </c>
      <c r="F236" s="63">
        <f t="shared" si="298"/>
        <v>0.126</v>
      </c>
      <c r="G236" s="63">
        <f t="shared" si="298"/>
        <v>0.127</v>
      </c>
      <c r="H236" s="63">
        <f t="shared" si="298"/>
        <v>0.20700000000000002</v>
      </c>
      <c r="I236" s="63">
        <f t="shared" si="298"/>
        <v>0.17599999999999999</v>
      </c>
      <c r="J236" s="63">
        <f t="shared" si="298"/>
        <v>0.17500000000000002</v>
      </c>
      <c r="K236" s="63">
        <f t="shared" ref="K236" si="299">CEILING(K159,0.001)</f>
        <v>0.17500000000000002</v>
      </c>
    </row>
    <row r="237" spans="1:17" s="81" customFormat="1" ht="20.100000000000001" customHeight="1">
      <c r="A237" s="62" t="s">
        <v>287</v>
      </c>
      <c r="B237" s="63">
        <f>B173</f>
        <v>3810302.6354249669</v>
      </c>
      <c r="C237" s="63">
        <f t="shared" ref="C237:I237" si="300">C173</f>
        <v>3938340.5389114013</v>
      </c>
      <c r="D237" s="63">
        <f t="shared" si="300"/>
        <v>3773396.2993198549</v>
      </c>
      <c r="E237" s="63">
        <f t="shared" si="300"/>
        <v>541620.69198812509</v>
      </c>
      <c r="F237" s="63">
        <f t="shared" si="300"/>
        <v>1986282.6320727712</v>
      </c>
      <c r="G237" s="63">
        <f t="shared" si="300"/>
        <v>1266375.4977468499</v>
      </c>
      <c r="H237" s="63">
        <f t="shared" si="300"/>
        <v>162844.96169453286</v>
      </c>
      <c r="I237" s="63">
        <f t="shared" si="300"/>
        <v>198185.61425669727</v>
      </c>
      <c r="J237" s="63">
        <f t="shared" ref="J237:K237" si="301">J173</f>
        <v>198063.45903992199</v>
      </c>
      <c r="K237" s="63">
        <f t="shared" si="301"/>
        <v>198063.45903992199</v>
      </c>
      <c r="L237" s="62"/>
    </row>
    <row r="238" spans="1:17" s="81" customFormat="1" ht="20.100000000000001" customHeight="1">
      <c r="A238" s="62" t="s">
        <v>282</v>
      </c>
      <c r="B238" s="63">
        <f>B176</f>
        <v>3197125.2967705554</v>
      </c>
      <c r="C238" s="63">
        <f t="shared" ref="C238:I238" si="302">C176</f>
        <v>3328330.408336346</v>
      </c>
      <c r="D238" s="63">
        <f t="shared" si="302"/>
        <v>3160709.6238793083</v>
      </c>
      <c r="E238" s="63">
        <f t="shared" si="302"/>
        <v>0</v>
      </c>
      <c r="F238" s="63">
        <f t="shared" si="302"/>
        <v>1602616.8128783852</v>
      </c>
      <c r="G238" s="63">
        <f t="shared" si="302"/>
        <v>908346.31807028595</v>
      </c>
      <c r="H238" s="63">
        <f t="shared" si="302"/>
        <v>0</v>
      </c>
      <c r="I238" s="63">
        <f t="shared" si="302"/>
        <v>0</v>
      </c>
      <c r="J238" s="63">
        <f t="shared" ref="J238:K238" si="303">J176</f>
        <v>0</v>
      </c>
      <c r="K238" s="63">
        <f t="shared" si="303"/>
        <v>0</v>
      </c>
      <c r="L238" s="62"/>
    </row>
    <row r="239" spans="1:17" s="81" customFormat="1" ht="20.100000000000001" customHeight="1">
      <c r="A239" s="62" t="s">
        <v>283</v>
      </c>
      <c r="B239" s="63">
        <f>B182</f>
        <v>359481.33636847412</v>
      </c>
      <c r="C239" s="63">
        <f t="shared" ref="C239:I239" si="304">C182</f>
        <v>356483.74825943296</v>
      </c>
      <c r="D239" s="63">
        <f t="shared" si="304"/>
        <v>359016.14160696039</v>
      </c>
      <c r="E239" s="63">
        <f t="shared" si="304"/>
        <v>317211.96798037877</v>
      </c>
      <c r="F239" s="63">
        <f t="shared" si="304"/>
        <v>226931.33569059637</v>
      </c>
      <c r="G239" s="63">
        <f t="shared" si="304"/>
        <v>213017.20990884441</v>
      </c>
      <c r="H239" s="63">
        <f t="shared" si="304"/>
        <v>109043.2264656622</v>
      </c>
      <c r="I239" s="63">
        <f t="shared" si="304"/>
        <v>128961.7910288713</v>
      </c>
      <c r="J239" s="63">
        <f t="shared" ref="J239:K239" si="305">J182</f>
        <v>128849.21727063034</v>
      </c>
      <c r="K239" s="63">
        <f t="shared" si="305"/>
        <v>128849.21727063034</v>
      </c>
      <c r="L239" s="62"/>
    </row>
    <row r="240" spans="1:17" s="81" customFormat="1" ht="20.100000000000001" customHeight="1">
      <c r="A240" s="62" t="s">
        <v>284</v>
      </c>
      <c r="B240" s="63">
        <f>B186</f>
        <v>202656.41606967812</v>
      </c>
      <c r="C240" s="63">
        <f t="shared" ref="C240:I240" si="306">C186</f>
        <v>202656.41606967812</v>
      </c>
      <c r="D240" s="63">
        <f t="shared" si="306"/>
        <v>202656.41606967812</v>
      </c>
      <c r="E240" s="63">
        <f t="shared" si="306"/>
        <v>179113.57283371239</v>
      </c>
      <c r="F240" s="63">
        <f t="shared" si="306"/>
        <v>118363.86483080457</v>
      </c>
      <c r="G240" s="63">
        <f t="shared" si="306"/>
        <v>109206.14414452277</v>
      </c>
      <c r="H240" s="63">
        <f t="shared" si="306"/>
        <v>38135.28347820921</v>
      </c>
      <c r="I240" s="63">
        <f t="shared" si="306"/>
        <v>50853.94692045133</v>
      </c>
      <c r="J240" s="63">
        <f t="shared" ref="J240:K240" si="307">J186</f>
        <v>50853.94692045133</v>
      </c>
      <c r="K240" s="63">
        <f t="shared" si="307"/>
        <v>50853.94692045133</v>
      </c>
      <c r="L240" s="62"/>
    </row>
    <row r="241" spans="1:13" s="81" customFormat="1" ht="20.100000000000001" customHeight="1">
      <c r="A241" s="62" t="s">
        <v>286</v>
      </c>
      <c r="B241" s="63">
        <f>B191</f>
        <v>51039.586216259253</v>
      </c>
      <c r="C241" s="63">
        <f t="shared" ref="C241:I241" si="308">C191</f>
        <v>50869.96624594411</v>
      </c>
      <c r="D241" s="63">
        <f t="shared" si="308"/>
        <v>51014.117763907961</v>
      </c>
      <c r="E241" s="63">
        <f t="shared" si="308"/>
        <v>45295.151174033948</v>
      </c>
      <c r="F241" s="63">
        <f t="shared" si="308"/>
        <v>38370.618672985074</v>
      </c>
      <c r="G241" s="63">
        <f t="shared" si="308"/>
        <v>35805.825623196819</v>
      </c>
      <c r="H241" s="63">
        <f t="shared" si="308"/>
        <v>15666.451750661461</v>
      </c>
      <c r="I241" s="63">
        <f t="shared" si="308"/>
        <v>18369.876307374649</v>
      </c>
      <c r="J241" s="63">
        <f t="shared" ref="J241:K241" si="309">J191</f>
        <v>18360.294848840345</v>
      </c>
      <c r="K241" s="63">
        <f t="shared" si="309"/>
        <v>18360.294848840345</v>
      </c>
      <c r="L241" s="62"/>
    </row>
    <row r="242" spans="1:13" s="81" customFormat="1" ht="20.100000000000001" customHeight="1">
      <c r="A242" s="62" t="s">
        <v>289</v>
      </c>
      <c r="B242" s="63">
        <f>B199</f>
        <v>90.49768615884139</v>
      </c>
      <c r="C242" s="63">
        <f t="shared" ref="C242:I242" si="310">C199</f>
        <v>48.376054117372114</v>
      </c>
      <c r="D242" s="63">
        <f t="shared" si="310"/>
        <v>83.391132995358859</v>
      </c>
      <c r="E242" s="63">
        <f t="shared" si="310"/>
        <v>49.991370877023577</v>
      </c>
      <c r="F242" s="63">
        <f t="shared" si="310"/>
        <v>48.375111078806071</v>
      </c>
      <c r="G242" s="63">
        <f t="shared" si="310"/>
        <v>142.24951722100579</v>
      </c>
      <c r="H242" s="63">
        <f t="shared" si="310"/>
        <v>113.82369183196045</v>
      </c>
      <c r="I242" s="63">
        <f t="shared" si="310"/>
        <v>66.565396876883838</v>
      </c>
      <c r="J242" s="63">
        <f t="shared" ref="J242:K242" si="311">J199</f>
        <v>64.944719754217729</v>
      </c>
      <c r="K242" s="63">
        <f t="shared" si="311"/>
        <v>64.944719754217729</v>
      </c>
      <c r="L242" s="62"/>
    </row>
    <row r="243" spans="1:13" s="81" customFormat="1" ht="20.100000000000001" customHeight="1">
      <c r="A243" s="62" t="s">
        <v>275</v>
      </c>
      <c r="B243" s="63">
        <f>CEILING(B197,0.001)</f>
        <v>238.685</v>
      </c>
      <c r="C243" s="63">
        <f t="shared" ref="C243:J243" si="312">CEILING(C197,0.001)</f>
        <v>461.51400000000001</v>
      </c>
      <c r="D243" s="63">
        <f t="shared" si="312"/>
        <v>256.51600000000002</v>
      </c>
      <c r="E243" s="63">
        <f t="shared" si="312"/>
        <v>47.024000000000001</v>
      </c>
      <c r="F243" s="63">
        <f t="shared" si="312"/>
        <v>232.767</v>
      </c>
      <c r="G243" s="63">
        <f t="shared" si="312"/>
        <v>41.914000000000001</v>
      </c>
      <c r="H243" s="63">
        <f t="shared" si="312"/>
        <v>4.2279999999999998</v>
      </c>
      <c r="I243" s="63">
        <f t="shared" si="312"/>
        <v>8.7989999999999995</v>
      </c>
      <c r="J243" s="63">
        <f t="shared" si="312"/>
        <v>9.0129999999999999</v>
      </c>
      <c r="K243" s="63">
        <f t="shared" ref="K243" si="313">CEILING(K197,0.001)</f>
        <v>9.0129999999999999</v>
      </c>
      <c r="L243" s="62"/>
    </row>
    <row r="244" spans="1:13" s="81" customFormat="1" ht="20.100000000000001" customHeight="1">
      <c r="A244" s="62" t="s">
        <v>276</v>
      </c>
      <c r="B244" s="63">
        <f>CEILING(B230,0.001)</f>
        <v>1904.72</v>
      </c>
      <c r="C244" s="63">
        <f t="shared" ref="C244:J244" si="314">CEILING(C230,0.001)</f>
        <v>1968.7250000000001</v>
      </c>
      <c r="D244" s="63">
        <f t="shared" si="314"/>
        <v>1886.271</v>
      </c>
      <c r="E244" s="63">
        <f t="shared" si="314"/>
        <v>270.75</v>
      </c>
      <c r="F244" s="63">
        <f t="shared" si="314"/>
        <v>992.91700000000003</v>
      </c>
      <c r="G244" s="63">
        <f t="shared" si="314"/>
        <v>633.04499999999996</v>
      </c>
      <c r="H244" s="63">
        <f t="shared" si="314"/>
        <v>81.405000000000001</v>
      </c>
      <c r="I244" s="63">
        <f t="shared" si="314"/>
        <v>99.070999999999998</v>
      </c>
      <c r="J244" s="63">
        <f t="shared" si="314"/>
        <v>99.01</v>
      </c>
      <c r="K244" s="63">
        <f t="shared" ref="K244" si="315">CEILING(K230,0.001)</f>
        <v>99.01</v>
      </c>
      <c r="L244" s="62"/>
    </row>
    <row r="245" spans="1:13" s="85" customFormat="1" ht="20.100000000000001" customHeight="1">
      <c r="A245" s="82" t="s">
        <v>297</v>
      </c>
      <c r="B245" s="83">
        <f>CEILING((B197*1.1),1)</f>
        <v>263</v>
      </c>
      <c r="C245" s="83">
        <f t="shared" ref="C245:J245" si="316">CEILING((C197*1.1),1)</f>
        <v>508</v>
      </c>
      <c r="D245" s="83">
        <f t="shared" si="316"/>
        <v>283</v>
      </c>
      <c r="E245" s="83">
        <f t="shared" si="316"/>
        <v>52</v>
      </c>
      <c r="F245" s="83">
        <f t="shared" si="316"/>
        <v>257</v>
      </c>
      <c r="G245" s="83">
        <f t="shared" si="316"/>
        <v>47</v>
      </c>
      <c r="H245" s="83">
        <f t="shared" si="316"/>
        <v>5</v>
      </c>
      <c r="I245" s="83">
        <f t="shared" si="316"/>
        <v>10</v>
      </c>
      <c r="J245" s="83">
        <f t="shared" si="316"/>
        <v>10</v>
      </c>
      <c r="K245" s="83">
        <f t="shared" ref="K245" si="317">CEILING((K197*1.1),1)</f>
        <v>10</v>
      </c>
      <c r="L245" s="84"/>
    </row>
    <row r="246" spans="1:13" s="85" customFormat="1" ht="20.100000000000001" customHeight="1">
      <c r="A246" s="82" t="s">
        <v>296</v>
      </c>
      <c r="B246" s="83">
        <f>CEILING((B230*1.1),1)</f>
        <v>2096</v>
      </c>
      <c r="C246" s="83">
        <f t="shared" ref="C246:J246" si="318">CEILING((C230*1.1),1)</f>
        <v>2166</v>
      </c>
      <c r="D246" s="83">
        <f t="shared" si="318"/>
        <v>2075</v>
      </c>
      <c r="E246" s="83">
        <f t="shared" si="318"/>
        <v>298</v>
      </c>
      <c r="F246" s="83">
        <f t="shared" si="318"/>
        <v>1093</v>
      </c>
      <c r="G246" s="83">
        <f t="shared" si="318"/>
        <v>697</v>
      </c>
      <c r="H246" s="83">
        <f t="shared" si="318"/>
        <v>90</v>
      </c>
      <c r="I246" s="83">
        <f t="shared" si="318"/>
        <v>109</v>
      </c>
      <c r="J246" s="83">
        <f t="shared" si="318"/>
        <v>109</v>
      </c>
      <c r="K246" s="83">
        <f t="shared" ref="K246" si="319">CEILING((K230*1.1),1)</f>
        <v>109</v>
      </c>
      <c r="L246" s="84"/>
    </row>
    <row r="247" spans="1:13" s="4" customFormat="1" ht="20.100000000000001" customHeight="1">
      <c r="A247" s="23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3"/>
      <c r="M247" s="64">
        <f>SUM(B247:L247)</f>
        <v>0</v>
      </c>
    </row>
    <row r="248" spans="1:13" s="4" customFormat="1" ht="20.100000000000001" customHeight="1">
      <c r="A248" s="23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3"/>
    </row>
    <row r="249" spans="1:13" s="4" customFormat="1" ht="20.100000000000001" customHeight="1">
      <c r="A249" s="44" t="s">
        <v>279</v>
      </c>
      <c r="B249" s="24">
        <f>B234*0.8598</f>
        <v>0.29233200000000004</v>
      </c>
      <c r="C249" s="32" t="s">
        <v>301</v>
      </c>
      <c r="D249" s="24"/>
      <c r="E249" s="24"/>
      <c r="F249" s="24"/>
      <c r="G249" s="24"/>
      <c r="H249" s="24"/>
      <c r="I249" s="24"/>
      <c r="J249" s="24"/>
      <c r="K249" s="24"/>
      <c r="L249" s="23"/>
    </row>
    <row r="250" spans="1:13" ht="20.100000000000001" customHeight="1">
      <c r="A250" s="44" t="s">
        <v>280</v>
      </c>
      <c r="B250" s="24">
        <f t="shared" ref="B250:B251" si="320">B235*0.8598</f>
        <v>0.25450079999999997</v>
      </c>
      <c r="C250" s="32" t="s">
        <v>301</v>
      </c>
    </row>
    <row r="251" spans="1:13" ht="20.100000000000001" customHeight="1">
      <c r="A251" s="44" t="s">
        <v>281</v>
      </c>
      <c r="B251" s="24">
        <f t="shared" si="320"/>
        <v>8.2540799999999998E-2</v>
      </c>
      <c r="C251" s="32" t="s">
        <v>301</v>
      </c>
    </row>
    <row r="252" spans="1:13" s="4" customFormat="1" ht="20.100000000000001" customHeight="1">
      <c r="A252" s="44" t="s">
        <v>290</v>
      </c>
      <c r="B252" s="24">
        <f>B237/4.1868</f>
        <v>910075.14938018704</v>
      </c>
      <c r="C252" s="32" t="s">
        <v>302</v>
      </c>
      <c r="D252" s="24"/>
      <c r="E252" s="24"/>
      <c r="F252" s="24"/>
      <c r="G252" s="24"/>
      <c r="H252" s="24"/>
      <c r="I252" s="24"/>
      <c r="J252" s="24"/>
      <c r="K252" s="24"/>
      <c r="L252" s="23"/>
    </row>
    <row r="253" spans="1:13" s="4" customFormat="1" ht="20.100000000000001" customHeight="1">
      <c r="A253" s="44" t="s">
        <v>295</v>
      </c>
      <c r="B253" s="24">
        <f>B238/4.1868/B13</f>
        <v>2121.1673837155899</v>
      </c>
      <c r="C253" s="32" t="s">
        <v>302</v>
      </c>
      <c r="D253" s="24"/>
      <c r="E253" s="24"/>
      <c r="F253" s="24"/>
      <c r="G253" s="24"/>
      <c r="H253" s="24"/>
      <c r="I253" s="24"/>
      <c r="J253" s="24"/>
      <c r="K253" s="24"/>
      <c r="L253" s="23"/>
    </row>
    <row r="254" spans="1:13" s="4" customFormat="1" ht="20.100000000000001" customHeight="1">
      <c r="A254" s="44" t="s">
        <v>291</v>
      </c>
      <c r="B254" s="24">
        <f>B239/4.1868</f>
        <v>85860.642105778665</v>
      </c>
      <c r="C254" s="32" t="s">
        <v>302</v>
      </c>
      <c r="D254" s="24"/>
      <c r="E254" s="24"/>
      <c r="F254" s="24"/>
      <c r="G254" s="24"/>
      <c r="H254" s="24"/>
      <c r="I254" s="24"/>
      <c r="J254" s="24"/>
      <c r="K254" s="24"/>
      <c r="L254" s="23"/>
    </row>
    <row r="255" spans="1:13" s="4" customFormat="1" ht="20.100000000000001" customHeight="1">
      <c r="A255" s="44" t="s">
        <v>292</v>
      </c>
      <c r="B255" s="24">
        <f>B240/4.1868</f>
        <v>48403.653403477147</v>
      </c>
      <c r="C255" s="32" t="s">
        <v>302</v>
      </c>
      <c r="D255" s="24"/>
      <c r="E255" s="24"/>
      <c r="F255" s="24"/>
      <c r="G255" s="24"/>
      <c r="H255" s="24"/>
      <c r="I255" s="24"/>
      <c r="J255" s="24"/>
      <c r="K255" s="24"/>
      <c r="L255" s="23"/>
    </row>
    <row r="256" spans="1:13" s="4" customFormat="1" ht="20.100000000000001" customHeight="1">
      <c r="A256" s="44" t="s">
        <v>293</v>
      </c>
      <c r="B256" s="24">
        <f>B241/4.1868</f>
        <v>12190.595733318825</v>
      </c>
      <c r="C256" s="32" t="s">
        <v>302</v>
      </c>
      <c r="D256" s="24"/>
      <c r="E256" s="24"/>
      <c r="F256" s="24"/>
      <c r="G256" s="24"/>
      <c r="H256" s="24"/>
      <c r="I256" s="24"/>
      <c r="J256" s="24"/>
      <c r="K256" s="24"/>
      <c r="L256" s="23"/>
    </row>
    <row r="257" spans="1:12" s="4" customFormat="1" ht="20.100000000000001" customHeight="1">
      <c r="A257" s="44" t="s">
        <v>294</v>
      </c>
      <c r="B257" s="24">
        <f>B242*0.8598</f>
        <v>77.809910559371829</v>
      </c>
      <c r="C257" s="32" t="s">
        <v>301</v>
      </c>
      <c r="D257" s="24"/>
      <c r="E257" s="24"/>
      <c r="F257" s="24"/>
      <c r="G257" s="24"/>
      <c r="H257" s="24"/>
      <c r="I257" s="24"/>
      <c r="J257" s="24"/>
      <c r="K257" s="24"/>
      <c r="L257" s="23"/>
    </row>
    <row r="258" spans="1:12" ht="20.100000000000001" customHeight="1">
      <c r="A258" s="44" t="s">
        <v>298</v>
      </c>
      <c r="B258" s="10">
        <f>B243</f>
        <v>238.685</v>
      </c>
    </row>
    <row r="259" spans="1:12" ht="20.100000000000001" customHeight="1">
      <c r="A259" s="44" t="s">
        <v>299</v>
      </c>
      <c r="B259" s="10">
        <f>B244</f>
        <v>1904.72</v>
      </c>
    </row>
    <row r="260" spans="1:12" ht="20.100000000000001" customHeight="1"/>
    <row r="261" spans="1:12" ht="20.100000000000001" customHeight="1"/>
    <row r="262" spans="1:12" ht="20.100000000000001" customHeight="1"/>
    <row r="263" spans="1:12" ht="20.100000000000001" customHeight="1"/>
    <row r="264" spans="1:12" ht="20.100000000000001" customHeight="1"/>
    <row r="265" spans="1:12" ht="20.100000000000001" customHeight="1"/>
    <row r="266" spans="1:12" ht="20.100000000000001" customHeight="1"/>
    <row r="267" spans="1:12" ht="20.100000000000001" customHeight="1"/>
    <row r="268" spans="1:12" ht="20.100000000000001" customHeight="1"/>
    <row r="269" spans="1:12" ht="20.100000000000001" customHeight="1"/>
    <row r="270" spans="1:12" ht="20.100000000000001" customHeight="1"/>
    <row r="271" spans="1:12" ht="20.100000000000001" customHeight="1"/>
    <row r="272" spans="1:1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  <row r="345" ht="20.100000000000001" customHeight="1"/>
    <row r="346" ht="20.100000000000001" customHeight="1"/>
    <row r="347" ht="20.100000000000001" customHeight="1"/>
    <row r="348" ht="20.100000000000001" customHeight="1"/>
    <row r="349" ht="20.100000000000001" customHeight="1"/>
    <row r="350" ht="20.100000000000001" customHeight="1"/>
    <row r="351" ht="20.100000000000001" customHeight="1"/>
    <row r="352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  <row r="358" ht="20.100000000000001" customHeight="1"/>
    <row r="359" ht="20.100000000000001" customHeight="1"/>
    <row r="360" ht="20.100000000000001" customHeight="1"/>
    <row r="361" ht="20.100000000000001" customHeight="1"/>
    <row r="362" ht="20.100000000000001" customHeight="1"/>
    <row r="363" ht="20.100000000000001" customHeight="1"/>
    <row r="364" ht="20.100000000000001" customHeight="1"/>
    <row r="365" ht="20.100000000000001" customHeight="1"/>
    <row r="366" ht="20.100000000000001" customHeight="1"/>
    <row r="367" ht="20.100000000000001" customHeight="1"/>
    <row r="368" ht="20.100000000000001" customHeight="1"/>
    <row r="369" ht="20.100000000000001" customHeight="1"/>
    <row r="370" ht="20.100000000000001" customHeight="1"/>
    <row r="371" ht="20.100000000000001" customHeight="1"/>
    <row r="372" ht="20.100000000000001" customHeight="1"/>
    <row r="373" ht="20.100000000000001" customHeight="1"/>
    <row r="374" ht="20.100000000000001" customHeight="1"/>
    <row r="375" ht="20.100000000000001" customHeight="1"/>
    <row r="376" ht="20.100000000000001" customHeight="1"/>
    <row r="377" ht="20.100000000000001" customHeight="1"/>
    <row r="378" ht="20.100000000000001" customHeight="1"/>
    <row r="379" ht="20.100000000000001" customHeight="1"/>
    <row r="380" ht="20.100000000000001" customHeight="1"/>
    <row r="381" ht="20.100000000000001" customHeight="1"/>
    <row r="382" ht="20.100000000000001" customHeight="1"/>
    <row r="383" ht="20.100000000000001" customHeight="1"/>
    <row r="384" ht="20.100000000000001" customHeight="1"/>
    <row r="385" ht="20.100000000000001" customHeight="1"/>
    <row r="386" ht="20.100000000000001" customHeight="1"/>
    <row r="387" ht="20.100000000000001" customHeight="1"/>
    <row r="388" ht="20.100000000000001" customHeight="1"/>
    <row r="389" ht="20.100000000000001" customHeight="1"/>
    <row r="390" ht="20.100000000000001" customHeight="1"/>
    <row r="391" ht="20.100000000000001" customHeight="1"/>
    <row r="392" ht="20.100000000000001" customHeight="1"/>
    <row r="393" ht="20.100000000000001" customHeight="1"/>
    <row r="394" ht="20.100000000000001" customHeight="1"/>
    <row r="395" ht="20.100000000000001" customHeight="1"/>
    <row r="396" ht="20.100000000000001" customHeight="1"/>
    <row r="397" ht="20.100000000000001" customHeight="1"/>
    <row r="398" ht="20.100000000000001" customHeight="1"/>
    <row r="399" ht="20.100000000000001" customHeight="1"/>
    <row r="400" ht="20.100000000000001" customHeight="1"/>
    <row r="401" ht="20.100000000000001" customHeight="1"/>
  </sheetData>
  <phoneticPr fontId="1" type="noConversion"/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66"/>
  <sheetViews>
    <sheetView topLeftCell="A46" workbookViewId="0">
      <selection activeCell="I12" sqref="I12"/>
    </sheetView>
  </sheetViews>
  <sheetFormatPr defaultRowHeight="13.5"/>
  <cols>
    <col min="1" max="1" width="60.25" customWidth="1"/>
    <col min="2" max="3" width="11.5" style="65" customWidth="1"/>
    <col min="4" max="4" width="15.625" customWidth="1"/>
  </cols>
  <sheetData>
    <row r="1" spans="1:4" s="72" customFormat="1" ht="21.75" customHeight="1">
      <c r="A1" s="72" t="s">
        <v>248</v>
      </c>
      <c r="B1" s="75"/>
      <c r="C1" s="75"/>
    </row>
    <row r="2" spans="1:4" ht="19.5" customHeight="1">
      <c r="A2" s="69" t="s">
        <v>232</v>
      </c>
      <c r="B2" s="10"/>
      <c r="C2" s="10"/>
      <c r="D2" s="11"/>
    </row>
    <row r="3" spans="1:4" s="66" customFormat="1" ht="18" customHeight="1">
      <c r="A3" s="67" t="s">
        <v>231</v>
      </c>
      <c r="B3" s="68">
        <f>B5+B21</f>
        <v>5498414762.5875034</v>
      </c>
      <c r="C3" s="68">
        <f>C5+C21</f>
        <v>9686377270.6076965</v>
      </c>
      <c r="D3" s="67"/>
    </row>
    <row r="4" spans="1:4" s="66" customFormat="1" ht="18" customHeight="1">
      <c r="A4" s="67" t="s">
        <v>214</v>
      </c>
      <c r="B4" s="68"/>
      <c r="C4" s="68"/>
      <c r="D4" s="67"/>
    </row>
    <row r="5" spans="1:4" s="66" customFormat="1" ht="18" customHeight="1">
      <c r="A5" s="67" t="s">
        <v>239</v>
      </c>
      <c r="B5" s="68">
        <f>(B7*B10*(B16-B17)+B7*B18*B19/100)*10^3</f>
        <v>4523275263.7505913</v>
      </c>
      <c r="C5" s="68">
        <f>(C7*C10*(C16-C17)+C7*C18*C19/100)*10^3</f>
        <v>7892526574.4511538</v>
      </c>
      <c r="D5" s="67"/>
    </row>
    <row r="6" spans="1:4" s="66" customFormat="1" ht="18" customHeight="1">
      <c r="A6" s="67" t="s">
        <v>193</v>
      </c>
      <c r="B6" s="68"/>
      <c r="C6" s="68"/>
      <c r="D6" s="67"/>
    </row>
    <row r="7" spans="1:4" s="66" customFormat="1" ht="18" customHeight="1">
      <c r="A7" s="67" t="s">
        <v>211</v>
      </c>
      <c r="B7" s="68">
        <f>B8*B9</f>
        <v>45900</v>
      </c>
      <c r="C7" s="68">
        <f>C8*C9</f>
        <v>45900</v>
      </c>
      <c r="D7" s="67"/>
    </row>
    <row r="8" spans="1:4" ht="18" customHeight="1">
      <c r="A8" s="11" t="s">
        <v>212</v>
      </c>
      <c r="B8" s="10">
        <f>60*0.85</f>
        <v>51</v>
      </c>
      <c r="C8" s="10">
        <f>60*0.85</f>
        <v>51</v>
      </c>
      <c r="D8" s="11"/>
    </row>
    <row r="9" spans="1:4" ht="18" customHeight="1">
      <c r="A9" s="11" t="s">
        <v>213</v>
      </c>
      <c r="B9" s="10">
        <v>900</v>
      </c>
      <c r="C9" s="10">
        <v>900</v>
      </c>
      <c r="D9" s="11"/>
    </row>
    <row r="10" spans="1:4" ht="18" customHeight="1">
      <c r="A10" s="11" t="s">
        <v>247</v>
      </c>
      <c r="B10" s="10">
        <f>(B12-10)*(1.758-1.729)/(20-10)+1.729</f>
        <v>1.7519260408499309</v>
      </c>
      <c r="C10" s="10">
        <f>(C12-20)*(1.792-1.758)/(30-20)+1.758</f>
        <v>1.7888941114623951</v>
      </c>
      <c r="D10" s="11" t="s">
        <v>215</v>
      </c>
    </row>
    <row r="11" spans="1:4" ht="18" customHeight="1">
      <c r="A11" s="67" t="s">
        <v>233</v>
      </c>
      <c r="B11" s="10"/>
      <c r="C11" s="10"/>
      <c r="D11" s="11"/>
    </row>
    <row r="12" spans="1:4" ht="18" customHeight="1">
      <c r="A12" s="18" t="s">
        <v>238</v>
      </c>
      <c r="B12" s="21">
        <f>IF(B15&lt;2,B13,IF(B15&gt;2,B14))</f>
        <v>17.905531327562365</v>
      </c>
      <c r="C12" s="21">
        <f>IF(C15&lt;2,C13,IF(C15&gt;2,C14))</f>
        <v>29.086503371292658</v>
      </c>
      <c r="D12" s="11"/>
    </row>
    <row r="13" spans="1:4" ht="18" customHeight="1">
      <c r="A13" s="18" t="s">
        <v>237</v>
      </c>
      <c r="B13" s="21">
        <f>(B16+B17)/2</f>
        <v>25</v>
      </c>
      <c r="C13" s="21">
        <f>(C16+C17)/2</f>
        <v>45</v>
      </c>
      <c r="D13" s="11"/>
    </row>
    <row r="14" spans="1:4" ht="18" customHeight="1">
      <c r="A14" s="18" t="s">
        <v>210</v>
      </c>
      <c r="B14" s="21">
        <f>B29+((B16-B17)/LN((B16-B29)/(B17-B29)))</f>
        <v>17.905531327562365</v>
      </c>
      <c r="C14" s="21">
        <f>C29+((C16-C17)/LN((C16-C29)/(C17-C29)))</f>
        <v>29.086503371292658</v>
      </c>
      <c r="D14" s="11"/>
    </row>
    <row r="15" spans="1:4" ht="18" customHeight="1">
      <c r="A15" s="18" t="s">
        <v>209</v>
      </c>
      <c r="B15" s="21">
        <f>(B16-B29)/(B17-B29)</f>
        <v>6</v>
      </c>
      <c r="C15" s="21">
        <f>(C16-C29)/(C17-C29)</f>
        <v>10</v>
      </c>
      <c r="D15" s="11"/>
    </row>
    <row r="16" spans="1:4" ht="18" customHeight="1">
      <c r="A16" s="11" t="s">
        <v>194</v>
      </c>
      <c r="B16" s="10">
        <v>50</v>
      </c>
      <c r="C16" s="10">
        <v>90</v>
      </c>
      <c r="D16" s="11"/>
    </row>
    <row r="17" spans="1:4" ht="18" customHeight="1">
      <c r="A17" s="11" t="s">
        <v>195</v>
      </c>
      <c r="B17" s="10">
        <v>0</v>
      </c>
      <c r="C17" s="10">
        <v>0</v>
      </c>
      <c r="D17" s="11"/>
    </row>
    <row r="18" spans="1:4" ht="18" customHeight="1">
      <c r="A18" s="11" t="s">
        <v>196</v>
      </c>
      <c r="B18" s="10">
        <v>5</v>
      </c>
      <c r="C18" s="10">
        <v>5</v>
      </c>
      <c r="D18" s="11"/>
    </row>
    <row r="19" spans="1:4" ht="18" customHeight="1">
      <c r="A19" s="11" t="s">
        <v>197</v>
      </c>
      <c r="B19" s="10">
        <v>219</v>
      </c>
      <c r="C19" s="10">
        <v>219</v>
      </c>
      <c r="D19" s="11" t="s">
        <v>244</v>
      </c>
    </row>
    <row r="20" spans="1:4" s="66" customFormat="1" ht="18" customHeight="1">
      <c r="A20" s="67" t="s">
        <v>229</v>
      </c>
      <c r="B20" s="68"/>
      <c r="C20" s="68"/>
      <c r="D20" s="67"/>
    </row>
    <row r="21" spans="1:4" s="66" customFormat="1" ht="18" customHeight="1">
      <c r="A21" s="67" t="s">
        <v>230</v>
      </c>
      <c r="B21" s="68">
        <f>B23+B42</f>
        <v>975139498.83691216</v>
      </c>
      <c r="C21" s="68">
        <f>C23+C42</f>
        <v>1793850696.1565428</v>
      </c>
      <c r="D21" s="67"/>
    </row>
    <row r="22" spans="1:4" s="66" customFormat="1" ht="18" customHeight="1">
      <c r="A22" s="67" t="s">
        <v>222</v>
      </c>
      <c r="B22" s="68"/>
      <c r="C22" s="68"/>
      <c r="D22" s="67"/>
    </row>
    <row r="23" spans="1:4" s="66" customFormat="1" ht="18" customHeight="1">
      <c r="A23" s="67" t="s">
        <v>223</v>
      </c>
      <c r="B23" s="70">
        <f>B24*B31</f>
        <v>86841131.719756022</v>
      </c>
      <c r="C23" s="70">
        <f>C24*C31</f>
        <v>245454123.79367375</v>
      </c>
      <c r="D23" s="67"/>
    </row>
    <row r="24" spans="1:4" s="66" customFormat="1" ht="18" customHeight="1">
      <c r="A24" s="67" t="s">
        <v>241</v>
      </c>
      <c r="B24" s="68">
        <f>B26*B27*(B12-B29)</f>
        <v>10938.968280404448</v>
      </c>
      <c r="C24" s="68">
        <f>C26*C27*(C12-C29)</f>
        <v>15321.909321546722</v>
      </c>
      <c r="D24" s="67"/>
    </row>
    <row r="25" spans="1:4" ht="18" customHeight="1">
      <c r="A25" s="11" t="s">
        <v>198</v>
      </c>
      <c r="B25" s="10"/>
      <c r="C25" s="10"/>
      <c r="D25" s="11"/>
    </row>
    <row r="26" spans="1:4" ht="18" customHeight="1">
      <c r="A26" s="11" t="s">
        <v>221</v>
      </c>
      <c r="B26" s="10">
        <v>8</v>
      </c>
      <c r="C26" s="10">
        <v>8</v>
      </c>
      <c r="D26" s="11"/>
    </row>
    <row r="27" spans="1:4" s="66" customFormat="1" ht="18" customHeight="1">
      <c r="A27" s="67" t="s">
        <v>217</v>
      </c>
      <c r="B27" s="68">
        <f>IF(B28=12,49,IF(B28=17,54))</f>
        <v>49</v>
      </c>
      <c r="C27" s="68">
        <f>IF(C28=12,49,IF(C28=17,54))</f>
        <v>49</v>
      </c>
      <c r="D27" s="67"/>
    </row>
    <row r="28" spans="1:4" ht="18" customHeight="1">
      <c r="A28" s="11" t="s">
        <v>216</v>
      </c>
      <c r="B28" s="10">
        <v>12</v>
      </c>
      <c r="C28" s="10">
        <v>12</v>
      </c>
      <c r="D28" s="11"/>
    </row>
    <row r="29" spans="1:4" ht="18" customHeight="1">
      <c r="A29" s="11" t="s">
        <v>199</v>
      </c>
      <c r="B29" s="10">
        <v>-10</v>
      </c>
      <c r="C29" s="10">
        <v>-10</v>
      </c>
      <c r="D29" s="11"/>
    </row>
    <row r="30" spans="1:4" ht="18" customHeight="1">
      <c r="A30" s="18" t="s">
        <v>240</v>
      </c>
      <c r="B30" s="10"/>
      <c r="C30" s="10"/>
      <c r="D30" s="11"/>
    </row>
    <row r="31" spans="1:4" s="5" customFormat="1" ht="18" customHeight="1">
      <c r="A31" s="18" t="s">
        <v>226</v>
      </c>
      <c r="B31" s="21">
        <f>B5/(B34-B24)</f>
        <v>7938.6949019057984</v>
      </c>
      <c r="C31" s="21">
        <f>C5/(C34-C24)</f>
        <v>16019.813108311462</v>
      </c>
      <c r="D31" s="20"/>
    </row>
    <row r="32" spans="1:4" s="74" customFormat="1" ht="18" customHeight="1">
      <c r="A32" s="69" t="s">
        <v>245</v>
      </c>
      <c r="B32" s="73">
        <f>B31/3600</f>
        <v>2.2051930283071663</v>
      </c>
      <c r="C32" s="73">
        <f>C31/3600</f>
        <v>4.449948085642073</v>
      </c>
      <c r="D32" s="69"/>
    </row>
    <row r="33" spans="1:4" s="4" customFormat="1" ht="18" customHeight="1">
      <c r="A33" s="15" t="s">
        <v>225</v>
      </c>
      <c r="B33" s="24"/>
      <c r="C33" s="24"/>
      <c r="D33" s="23"/>
    </row>
    <row r="34" spans="1:4" s="5" customFormat="1" ht="18" customHeight="1">
      <c r="A34" s="15" t="s">
        <v>224</v>
      </c>
      <c r="B34" s="21">
        <f>B36*B37*((B38+B39)/2-B12)/B40</f>
        <v>580714.64547196822</v>
      </c>
      <c r="C34" s="21">
        <f>C36*C37*((C38+C39)/2-C12)/C40</f>
        <v>507994.73397243622</v>
      </c>
      <c r="D34" s="20"/>
    </row>
    <row r="35" spans="1:4" s="4" customFormat="1" ht="18" customHeight="1">
      <c r="A35" s="11" t="s">
        <v>202</v>
      </c>
      <c r="B35" s="24"/>
      <c r="C35" s="24"/>
      <c r="D35" s="23"/>
    </row>
    <row r="36" spans="1:4" s="4" customFormat="1" ht="18" customHeight="1">
      <c r="A36" s="11" t="s">
        <v>204</v>
      </c>
      <c r="B36" s="24">
        <v>116</v>
      </c>
      <c r="C36" s="24">
        <v>116</v>
      </c>
      <c r="D36" s="23"/>
    </row>
    <row r="37" spans="1:4" s="5" customFormat="1" ht="18" customHeight="1">
      <c r="A37" s="67" t="s">
        <v>219</v>
      </c>
      <c r="B37" s="21">
        <f>IF(B28=12,46,IF(B28=17,51))</f>
        <v>46</v>
      </c>
      <c r="C37" s="21">
        <f>IF(C28=12,46,IF(C28=17,51))</f>
        <v>46</v>
      </c>
      <c r="D37" s="20"/>
    </row>
    <row r="38" spans="1:4" s="4" customFormat="1" ht="18" customHeight="1">
      <c r="A38" s="11" t="s">
        <v>205</v>
      </c>
      <c r="B38" s="24">
        <v>130</v>
      </c>
      <c r="C38" s="24">
        <v>130</v>
      </c>
      <c r="D38" s="23"/>
    </row>
    <row r="39" spans="1:4" s="4" customFormat="1" ht="18" customHeight="1">
      <c r="A39" s="11" t="s">
        <v>206</v>
      </c>
      <c r="B39" s="24">
        <v>130</v>
      </c>
      <c r="C39" s="24">
        <v>130</v>
      </c>
      <c r="D39" s="23"/>
    </row>
    <row r="40" spans="1:4" s="4" customFormat="1" ht="18" customHeight="1">
      <c r="A40" s="11" t="s">
        <v>207</v>
      </c>
      <c r="B40" s="24">
        <v>1.03</v>
      </c>
      <c r="C40" s="24">
        <v>1.06</v>
      </c>
      <c r="D40" s="23" t="s">
        <v>243</v>
      </c>
    </row>
    <row r="41" spans="1:4" s="4" customFormat="1" ht="18" customHeight="1">
      <c r="A41" s="67" t="s">
        <v>228</v>
      </c>
      <c r="B41" s="24"/>
      <c r="C41" s="24"/>
      <c r="D41" s="23"/>
    </row>
    <row r="42" spans="1:4" s="66" customFormat="1" ht="18" customHeight="1">
      <c r="A42" s="67" t="s">
        <v>227</v>
      </c>
      <c r="B42" s="68">
        <f>B44*B45*(B46-B12)*B31</f>
        <v>888298367.11715615</v>
      </c>
      <c r="C42" s="68">
        <f>C44*C45*(C46-C12)*C31</f>
        <v>1548396572.362869</v>
      </c>
      <c r="D42" s="67"/>
    </row>
    <row r="43" spans="1:4" ht="18" customHeight="1">
      <c r="A43" s="11" t="s">
        <v>200</v>
      </c>
      <c r="B43" s="10"/>
      <c r="C43" s="10"/>
      <c r="D43" s="11"/>
    </row>
    <row r="44" spans="1:4" ht="18" customHeight="1">
      <c r="A44" s="11" t="s">
        <v>220</v>
      </c>
      <c r="B44" s="10">
        <v>29</v>
      </c>
      <c r="C44" s="10">
        <v>29</v>
      </c>
      <c r="D44" s="11"/>
    </row>
    <row r="45" spans="1:4" s="66" customFormat="1" ht="18" customHeight="1">
      <c r="A45" s="67" t="s">
        <v>218</v>
      </c>
      <c r="B45" s="21">
        <f>IF(B28=12,47,IF(B28=17,52))</f>
        <v>47</v>
      </c>
      <c r="C45" s="21">
        <f>IF(C28=12,47,IF(C28=17,52))</f>
        <v>47</v>
      </c>
      <c r="D45" s="67"/>
    </row>
    <row r="46" spans="1:4" ht="18" customHeight="1">
      <c r="A46" s="11" t="s">
        <v>201</v>
      </c>
      <c r="B46" s="10">
        <v>100</v>
      </c>
      <c r="C46" s="10">
        <v>100</v>
      </c>
      <c r="D46" s="11"/>
    </row>
    <row r="47" spans="1:4" ht="18" customHeight="1">
      <c r="A47" s="11" t="s">
        <v>203</v>
      </c>
      <c r="B47" s="10"/>
      <c r="C47" s="10"/>
      <c r="D47" s="11"/>
    </row>
    <row r="48" spans="1:4" ht="18" customHeight="1">
      <c r="A48" s="11"/>
      <c r="B48" s="10"/>
      <c r="C48" s="10"/>
      <c r="D48" s="11"/>
    </row>
    <row r="49" spans="1:4" ht="18" customHeight="1">
      <c r="A49" s="11" t="s">
        <v>234</v>
      </c>
      <c r="B49" s="10"/>
      <c r="C49" s="10"/>
      <c r="D49" s="11"/>
    </row>
    <row r="50" spans="1:4" ht="18" customHeight="1">
      <c r="A50" s="11" t="s">
        <v>246</v>
      </c>
      <c r="B50" s="10">
        <f>B3*10^(-3)/(B52-B53)/B31</f>
        <v>0.31855750944308314</v>
      </c>
      <c r="C50" s="10">
        <f>C3*10^(-3)/(C52-C53)/C31</f>
        <v>0.27810154200408627</v>
      </c>
      <c r="D50" s="11"/>
    </row>
    <row r="51" spans="1:4" s="72" customFormat="1" ht="18" customHeight="1">
      <c r="A51" s="71" t="s">
        <v>242</v>
      </c>
      <c r="B51" s="12">
        <f>B50*3600/1000</f>
        <v>1.1468070339950993</v>
      </c>
      <c r="C51" s="12">
        <f>C50*3600/1000</f>
        <v>1.0011655512147106</v>
      </c>
      <c r="D51" s="71"/>
    </row>
    <row r="52" spans="1:4" ht="18" customHeight="1">
      <c r="A52" s="11" t="s">
        <v>236</v>
      </c>
      <c r="B52" s="36">
        <f>649.8*4.1868</f>
        <v>2720.5826399999996</v>
      </c>
      <c r="C52" s="36">
        <f>649.8*4.1868</f>
        <v>2720.5826399999996</v>
      </c>
      <c r="D52" s="11"/>
    </row>
    <row r="53" spans="1:4" ht="18" customHeight="1">
      <c r="A53" s="11" t="s">
        <v>235</v>
      </c>
      <c r="B53" s="36">
        <f>130.5*4.1868</f>
        <v>546.37739999999997</v>
      </c>
      <c r="C53" s="36">
        <f>130.5*4.1868</f>
        <v>546.37739999999997</v>
      </c>
      <c r="D53" s="11"/>
    </row>
    <row r="54" spans="1:4" ht="18" customHeight="1"/>
    <row r="55" spans="1:4" ht="18" customHeight="1"/>
    <row r="56" spans="1:4" ht="18" customHeight="1"/>
    <row r="57" spans="1:4" ht="18" customHeight="1"/>
    <row r="58" spans="1:4" ht="18" customHeight="1"/>
    <row r="59" spans="1:4" ht="18" customHeight="1"/>
    <row r="60" spans="1:4" ht="18" customHeight="1"/>
    <row r="61" spans="1:4" ht="18" customHeight="1"/>
    <row r="62" spans="1:4" ht="18" customHeight="1"/>
    <row r="63" spans="1:4" ht="18" customHeight="1"/>
    <row r="64" spans="1:4" ht="18" customHeight="1"/>
    <row r="65" ht="18" customHeight="1"/>
    <row r="66" ht="18" customHeight="1"/>
  </sheetData>
  <phoneticPr fontId="1" type="noConversion"/>
  <pageMargins left="0.7" right="0.7" top="0.75" bottom="0.75" header="0.3" footer="0.3"/>
  <pageSetup paperSize="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罐加热</vt:lpstr>
      <vt:lpstr>铁路罐车加热</vt:lpstr>
      <vt:lpstr>Sheet3</vt:lpstr>
      <vt:lpstr>罐加热!Print_Area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2014-05-07T03:13:41Z</cp:lastPrinted>
  <dcterms:created xsi:type="dcterms:W3CDTF">2013-07-23T05:58:17Z</dcterms:created>
  <dcterms:modified xsi:type="dcterms:W3CDTF">2014-05-08T10:36:52Z</dcterms:modified>
</cp:coreProperties>
</file>