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ericwu/Downloads/"/>
    </mc:Choice>
  </mc:AlternateContent>
  <xr:revisionPtr revIDLastSave="0" documentId="13_ncr:1_{57AAF128-3EF8-AC48-BBD4-EF882914591A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RE" sheetId="9" r:id="rId1"/>
    <sheet name="RES" sheetId="6" r:id="rId2"/>
    <sheet name="RES_H" sheetId="10" r:id="rId3"/>
    <sheet name="VG" sheetId="8" r:id="rId4"/>
    <sheet name="VGG" sheetId="7" r:id="rId5"/>
    <sheet name="VGG_H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6" l="1"/>
  <c r="F24" i="6"/>
  <c r="E23" i="6"/>
  <c r="D23" i="6"/>
  <c r="J16" i="6"/>
  <c r="F30" i="10" l="1"/>
  <c r="E37" i="10"/>
  <c r="E36" i="10"/>
  <c r="E35" i="10"/>
  <c r="E34" i="10"/>
  <c r="E33" i="10"/>
  <c r="E32" i="10"/>
  <c r="E31" i="10"/>
  <c r="E30" i="10"/>
  <c r="E29" i="10"/>
  <c r="D37" i="10"/>
  <c r="D36" i="10"/>
  <c r="D35" i="10"/>
  <c r="D34" i="10"/>
  <c r="D33" i="10"/>
  <c r="D32" i="10"/>
  <c r="D31" i="10"/>
  <c r="D30" i="10"/>
  <c r="D29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D27" i="10"/>
  <c r="D26" i="10"/>
  <c r="D25" i="10"/>
  <c r="D24" i="10"/>
  <c r="D23" i="10"/>
  <c r="E27" i="10"/>
  <c r="E26" i="10"/>
  <c r="E25" i="10"/>
  <c r="E24" i="10"/>
  <c r="E23" i="10"/>
  <c r="H29" i="10" l="1"/>
  <c r="F24" i="10"/>
  <c r="F24" i="11"/>
  <c r="E25" i="11"/>
  <c r="E24" i="11"/>
  <c r="E34" i="11"/>
  <c r="E33" i="11"/>
  <c r="E41" i="11"/>
  <c r="E27" i="11"/>
  <c r="D25" i="11"/>
  <c r="D23" i="11"/>
  <c r="D24" i="11"/>
  <c r="D26" i="11"/>
  <c r="D27" i="11"/>
  <c r="E23" i="11"/>
  <c r="E26" i="11"/>
  <c r="K14" i="7"/>
  <c r="J14" i="7"/>
  <c r="E35" i="11"/>
  <c r="E36" i="11"/>
  <c r="E37" i="11"/>
  <c r="E38" i="11"/>
  <c r="E39" i="11"/>
  <c r="E40" i="11"/>
  <c r="E32" i="11"/>
  <c r="E31" i="11"/>
  <c r="E30" i="11"/>
  <c r="E29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E14" i="11"/>
  <c r="D14" i="11"/>
  <c r="F15" i="11"/>
  <c r="H14" i="11" s="1"/>
  <c r="K20" i="7"/>
  <c r="J20" i="7"/>
  <c r="L21" i="7" s="1"/>
  <c r="N20" i="7" s="1"/>
  <c r="L17" i="7"/>
  <c r="K17" i="7"/>
  <c r="J17" i="7"/>
  <c r="L18" i="7" s="1"/>
  <c r="N17" i="7" s="1"/>
  <c r="L15" i="7"/>
  <c r="N14" i="7" s="1"/>
  <c r="H23" i="10"/>
  <c r="F14" i="10"/>
  <c r="E14" i="10"/>
  <c r="D14" i="10"/>
  <c r="F15" i="10" s="1"/>
  <c r="H14" i="10" s="1"/>
  <c r="E19" i="6"/>
  <c r="D19" i="6"/>
  <c r="F20" i="6" s="1"/>
  <c r="H19" i="6" s="1"/>
  <c r="E16" i="6"/>
  <c r="D16" i="6"/>
  <c r="F17" i="6" s="1"/>
  <c r="H16" i="6" s="1"/>
  <c r="E13" i="6"/>
  <c r="D13" i="6"/>
  <c r="F14" i="6" s="1"/>
  <c r="H13" i="6" s="1"/>
  <c r="H23" i="11" l="1"/>
  <c r="F30" i="11"/>
  <c r="H29" i="11" s="1"/>
  <c r="AN7" i="7" l="1"/>
  <c r="AO7" i="7" s="1"/>
  <c r="M8" i="8"/>
  <c r="M7" i="8"/>
  <c r="I6" i="8"/>
  <c r="O1" i="8"/>
  <c r="Q8" i="8" s="1"/>
  <c r="K1" i="8"/>
  <c r="G1" i="8"/>
  <c r="I7" i="8" s="1"/>
  <c r="AE1" i="6"/>
  <c r="R1" i="6"/>
  <c r="E1" i="6"/>
  <c r="M6" i="9"/>
  <c r="I6" i="9"/>
  <c r="I7" i="9"/>
  <c r="I5" i="9"/>
  <c r="O1" i="9"/>
  <c r="Q8" i="9" s="1"/>
  <c r="K1" i="9"/>
  <c r="M7" i="9" s="1"/>
  <c r="G1" i="9"/>
  <c r="I8" i="9" s="1"/>
  <c r="AF5" i="11"/>
  <c r="AF6" i="11"/>
  <c r="L8" i="7"/>
  <c r="I7" i="7"/>
  <c r="F6" i="7"/>
  <c r="L8" i="11"/>
  <c r="I7" i="11"/>
  <c r="F6" i="11"/>
  <c r="AO8" i="11"/>
  <c r="AL8" i="11"/>
  <c r="AB8" i="11"/>
  <c r="Y8" i="11"/>
  <c r="O8" i="11"/>
  <c r="AO7" i="11"/>
  <c r="AL7" i="11"/>
  <c r="AI7" i="11"/>
  <c r="AB7" i="11"/>
  <c r="Y7" i="11"/>
  <c r="V7" i="11"/>
  <c r="O7" i="11"/>
  <c r="L7" i="11"/>
  <c r="AO6" i="11"/>
  <c r="AL6" i="11"/>
  <c r="AI6" i="11"/>
  <c r="AB6" i="11"/>
  <c r="Y6" i="11"/>
  <c r="V6" i="11"/>
  <c r="S6" i="11"/>
  <c r="O6" i="11"/>
  <c r="L6" i="11"/>
  <c r="I6" i="11"/>
  <c r="AO5" i="11"/>
  <c r="AL5" i="11"/>
  <c r="AI5" i="11"/>
  <c r="AB5" i="11"/>
  <c r="Y5" i="11"/>
  <c r="V5" i="11"/>
  <c r="S5" i="11"/>
  <c r="O5" i="11"/>
  <c r="L5" i="11"/>
  <c r="I5" i="11"/>
  <c r="F5" i="11"/>
  <c r="V6" i="10"/>
  <c r="V7" i="10"/>
  <c r="V8" i="10"/>
  <c r="V5" i="10"/>
  <c r="F5" i="10"/>
  <c r="AO8" i="10"/>
  <c r="AL8" i="10"/>
  <c r="AI8" i="10"/>
  <c r="AB8" i="10"/>
  <c r="Y8" i="10"/>
  <c r="O8" i="10"/>
  <c r="L8" i="10"/>
  <c r="AL7" i="10"/>
  <c r="AI7" i="10"/>
  <c r="AF7" i="10"/>
  <c r="AB7" i="10"/>
  <c r="Y7" i="10"/>
  <c r="S7" i="10"/>
  <c r="O7" i="10"/>
  <c r="L7" i="10"/>
  <c r="I7" i="10"/>
  <c r="AO6" i="10"/>
  <c r="AL6" i="10"/>
  <c r="AI6" i="10"/>
  <c r="AF6" i="10"/>
  <c r="AB6" i="10"/>
  <c r="Y6" i="10"/>
  <c r="S6" i="10"/>
  <c r="O6" i="10"/>
  <c r="L6" i="10"/>
  <c r="I6" i="10"/>
  <c r="F6" i="10"/>
  <c r="AO5" i="10"/>
  <c r="AL5" i="10"/>
  <c r="AI5" i="10"/>
  <c r="AF5" i="10"/>
  <c r="AB5" i="10"/>
  <c r="Y5" i="10"/>
  <c r="S5" i="10"/>
  <c r="O5" i="10"/>
  <c r="L5" i="10"/>
  <c r="I5" i="10"/>
  <c r="Q7" i="9" l="1"/>
  <c r="AF7" i="6"/>
  <c r="M8" i="9"/>
  <c r="AI7" i="6"/>
  <c r="AI8" i="6"/>
  <c r="AO7" i="10"/>
  <c r="AH6" i="7"/>
  <c r="AI6" i="7" s="1"/>
  <c r="G8" i="8"/>
  <c r="I8" i="8" s="1"/>
  <c r="C7" i="8"/>
  <c r="E7" i="8" s="1"/>
  <c r="E6" i="8"/>
  <c r="E5" i="8"/>
  <c r="E5" i="9"/>
  <c r="E6" i="9"/>
  <c r="E7" i="9"/>
  <c r="E4" i="9"/>
  <c r="AN8" i="7"/>
  <c r="AO8" i="7" s="1"/>
  <c r="AK7" i="7"/>
  <c r="AL7" i="7" s="1"/>
  <c r="AN6" i="7"/>
  <c r="AO6" i="7" s="1"/>
  <c r="AK6" i="7"/>
  <c r="AL6" i="7" s="1"/>
  <c r="AN5" i="7"/>
  <c r="AO5" i="7" s="1"/>
  <c r="AK5" i="7"/>
  <c r="AL5" i="7" s="1"/>
  <c r="AH5" i="7"/>
  <c r="AI5" i="7" s="1"/>
  <c r="AE5" i="7"/>
  <c r="AF5" i="7" s="1"/>
  <c r="AA8" i="7"/>
  <c r="AB8" i="7" s="1"/>
  <c r="AA7" i="7"/>
  <c r="AB7" i="7" s="1"/>
  <c r="X7" i="7"/>
  <c r="Y7" i="7" s="1"/>
  <c r="AA6" i="7"/>
  <c r="AB6" i="7" s="1"/>
  <c r="X6" i="7"/>
  <c r="Y6" i="7" s="1"/>
  <c r="U6" i="7"/>
  <c r="V6" i="7" s="1"/>
  <c r="AA5" i="7"/>
  <c r="AB5" i="7" s="1"/>
  <c r="X5" i="7"/>
  <c r="Y5" i="7" s="1"/>
  <c r="U5" i="7"/>
  <c r="V5" i="7" s="1"/>
  <c r="R5" i="7"/>
  <c r="S5" i="7" s="1"/>
  <c r="N7" i="7"/>
  <c r="O7" i="7" s="1"/>
  <c r="N6" i="7"/>
  <c r="O6" i="7" s="1"/>
  <c r="K6" i="7"/>
  <c r="L6" i="7" s="1"/>
  <c r="N5" i="7"/>
  <c r="O5" i="7" s="1"/>
  <c r="K5" i="7"/>
  <c r="H5" i="7"/>
  <c r="I5" i="7" s="1"/>
  <c r="F5" i="7"/>
  <c r="AL8" i="7"/>
  <c r="Y8" i="7"/>
  <c r="O8" i="7"/>
  <c r="AI7" i="7"/>
  <c r="V7" i="7"/>
  <c r="L7" i="7"/>
  <c r="AF6" i="7"/>
  <c r="S6" i="7"/>
  <c r="I6" i="7"/>
  <c r="L5" i="7"/>
  <c r="Y8" i="6"/>
  <c r="V8" i="6"/>
  <c r="S7" i="6"/>
  <c r="O6" i="6"/>
  <c r="O8" i="6"/>
  <c r="L6" i="6"/>
  <c r="L7" i="6"/>
  <c r="L8" i="6"/>
  <c r="L5" i="6"/>
  <c r="F6" i="6"/>
  <c r="I6" i="6"/>
  <c r="I7" i="6"/>
  <c r="I5" i="6"/>
  <c r="AN8" i="6"/>
  <c r="AO8" i="6" s="1"/>
  <c r="AK8" i="6"/>
  <c r="AL8" i="6" s="1"/>
  <c r="AH8" i="6"/>
  <c r="AM7" i="6"/>
  <c r="AK7" i="6"/>
  <c r="AL7" i="6" s="1"/>
  <c r="AH7" i="6"/>
  <c r="AE7" i="6"/>
  <c r="AN6" i="6"/>
  <c r="AO6" i="6" s="1"/>
  <c r="AK6" i="6"/>
  <c r="AL6" i="6" s="1"/>
  <c r="AH6" i="6"/>
  <c r="AI6" i="6" s="1"/>
  <c r="AE6" i="6"/>
  <c r="AF6" i="6" s="1"/>
  <c r="AN5" i="6"/>
  <c r="AO5" i="6" s="1"/>
  <c r="AK5" i="6"/>
  <c r="AL5" i="6" s="1"/>
  <c r="AH5" i="6"/>
  <c r="AI5" i="6" s="1"/>
  <c r="AE5" i="6"/>
  <c r="AF5" i="6" s="1"/>
  <c r="AA8" i="6"/>
  <c r="AB8" i="6" s="1"/>
  <c r="X8" i="6"/>
  <c r="AA7" i="6"/>
  <c r="AB7" i="6" s="1"/>
  <c r="X7" i="6"/>
  <c r="Y7" i="6" s="1"/>
  <c r="U7" i="6"/>
  <c r="V7" i="6" s="1"/>
  <c r="AA6" i="6"/>
  <c r="AB6" i="6" s="1"/>
  <c r="X6" i="6"/>
  <c r="Y6" i="6" s="1"/>
  <c r="U6" i="6"/>
  <c r="V6" i="6" s="1"/>
  <c r="R6" i="6"/>
  <c r="S6" i="6" s="1"/>
  <c r="AA5" i="6"/>
  <c r="AB5" i="6" s="1"/>
  <c r="X5" i="6"/>
  <c r="Y5" i="6" s="1"/>
  <c r="U5" i="6"/>
  <c r="V5" i="6" s="1"/>
  <c r="R5" i="6"/>
  <c r="S5" i="6" s="1"/>
  <c r="N7" i="6"/>
  <c r="O7" i="6" s="1"/>
  <c r="N6" i="6"/>
  <c r="K6" i="6"/>
  <c r="N5" i="6"/>
  <c r="O5" i="6" s="1"/>
  <c r="K5" i="6"/>
  <c r="H5" i="6"/>
  <c r="AN7" i="6" l="1"/>
  <c r="AO7" i="6" s="1"/>
</calcChain>
</file>

<file path=xl/sharedStrings.xml><?xml version="1.0" encoding="utf-8"?>
<sst xmlns="http://schemas.openxmlformats.org/spreadsheetml/2006/main" count="370" uniqueCount="42">
  <si>
    <t>mini-batch size</t>
    <phoneticPr fontId="1" type="noConversion"/>
  </si>
  <si>
    <t>#machines</t>
    <phoneticPr fontId="1" type="noConversion"/>
  </si>
  <si>
    <t>#micro-batch</t>
    <phoneticPr fontId="1" type="noConversion"/>
  </si>
  <si>
    <t>n machines</t>
    <phoneticPr fontId="1" type="noConversion"/>
  </si>
  <si>
    <t>batchsize</t>
    <phoneticPr fontId="1" type="noConversion"/>
  </si>
  <si>
    <t>DP</t>
    <phoneticPr fontId="1" type="noConversion"/>
  </si>
  <si>
    <t>throughput</t>
    <phoneticPr fontId="1" type="noConversion"/>
  </si>
  <si>
    <t>Texec</t>
    <phoneticPr fontId="1" type="noConversion"/>
  </si>
  <si>
    <t>Tsync</t>
    <phoneticPr fontId="1" type="noConversion"/>
  </si>
  <si>
    <t>ours</t>
    <phoneticPr fontId="1" type="noConversion"/>
  </si>
  <si>
    <t>-</t>
    <phoneticPr fontId="1" type="noConversion"/>
  </si>
  <si>
    <t>-</t>
    <phoneticPr fontId="1" type="noConversion"/>
  </si>
  <si>
    <t>sync factor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</si>
  <si>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</si>
  <si>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</si>
  <si>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</si>
  <si>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</si>
  <si>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</si>
  <si>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</si>
  <si>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</si>
  <si>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</si>
  <si>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</si>
  <si>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</si>
  <si>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</si>
  <si>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</si>
  <si>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</si>
  <si>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</si>
  <si>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</si>
  <si>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</si>
  <si>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ours</t>
    <phoneticPr fontId="1" type="noConversion"/>
  </si>
  <si>
    <t>factor</t>
    <phoneticPr fontId="1" type="noConversion"/>
  </si>
  <si>
    <t>fp wait time</t>
  </si>
  <si>
    <t>bp wait time</t>
  </si>
  <si>
    <t>total time</t>
  </si>
  <si>
    <t># wait batch</t>
  </si>
  <si>
    <t>load overhead</t>
  </si>
  <si>
    <t>overhead</t>
  </si>
  <si>
    <t>Ours</t>
  </si>
  <si>
    <t>Heuristic</t>
  </si>
  <si>
    <t>2 GPU</t>
  </si>
  <si>
    <t>4 GPU</t>
  </si>
  <si>
    <t>8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</si>
</sst>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%"/>
    <numFmt numFmtId="166" formatCode="0.00000"/>
    <numFmt numFmtId="167" formatCode="0.0000"/>
  </numFmts>
  <fonts count="5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2"/>
      <name val="Calibri"/>
      <family val="1"/>
      <charset val="136"/>
      <scheme val="minor"/>
    </font>
    <font>
      <sz val="12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Resnet-152</a:t>
            </a:r>
            <a:r>
              <a:rPr lang="zh-TW" altLang="en-US" baseline="0"/>
              <a:t>  </a:t>
            </a:r>
            <a:r>
              <a:rPr lang="en-US" altLang="zh-TW" baseline="0"/>
              <a:t>Load</a:t>
            </a:r>
            <a:r>
              <a:rPr lang="zh-TW" altLang="en-US" baseline="0"/>
              <a:t> </a:t>
            </a:r>
            <a:r>
              <a:rPr lang="en-US" altLang="zh-TW" baseline="0"/>
              <a:t>Imbalance</a:t>
            </a:r>
            <a:r>
              <a:rPr lang="zh-TW" altLang="en-US" baseline="0"/>
              <a:t> </a:t>
            </a:r>
            <a:r>
              <a:rPr lang="en-US" altLang="zh-TW" baseline="0"/>
              <a:t>Overhead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RES!$J$12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RES!$I$13:$I$15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RES!$J$13:$J$15</c:f>
              <c:numCache>
                <c:formatCode>0.000%</c:formatCode>
                <c:ptCount val="3"/>
                <c:pt idx="0">
                  <c:v>4.9845551894563432E-2</c:v>
                </c:pt>
                <c:pt idx="1">
                  <c:v>3.577844168260038E-2</c:v>
                </c:pt>
                <c:pt idx="2" formatCode="0.00%">
                  <c:v>5.6599999999999998E-2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B-6B46-AC93-0EC08CB64FC0}"/>
            </c:ext>
          </c:extLst>
        </c:ser>
        <c:ser>
          <c:idx val="1"/>
          <c:order val="1"/>
          <c:tx>
            <c:strRef>
              <c:f>RES!$K$12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RES!$I$13:$I$15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RES!$K$13:$K$15</c:f>
              <c:numCache>
                <c:formatCode>0.000%</c:formatCode>
                <c:ptCount val="3"/>
                <c:pt idx="0">
                  <c:v>4.9666049763520466E-2</c:v>
                </c:pt>
                <c:pt idx="1">
                  <c:v>0.10700288794763189</c:v>
                </c:pt>
                <c:pt idx="2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B-6B46-AC93-0EC08CB6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28048"/>
        <c:axId val="96726064"/>
      </c:barChart>
      <c:catAx>
        <c:axId val="91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6064"/>
        <c:crosses val="autoZero"/>
        <c:auto val="1"/>
        <c:lblAlgn val="ctr"/>
        <c:lblOffset val="100"/>
        <c:noMultiLvlLbl val="0"/>
      </c:catAx>
      <c:valAx>
        <c:axId val="967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Vgg</a:t>
            </a:r>
            <a:r>
              <a:rPr lang="zh-TW" altLang="en-US" baseline="0"/>
              <a:t> </a:t>
            </a:r>
            <a:r>
              <a:rPr lang="en-US" altLang="zh-TW" baseline="0"/>
              <a:t>Load</a:t>
            </a:r>
            <a:r>
              <a:rPr lang="zh-TW" altLang="en-US" baseline="0"/>
              <a:t> </a:t>
            </a:r>
            <a:r>
              <a:rPr lang="en-US" altLang="zh-TW" baseline="0"/>
              <a:t>Imbalance</a:t>
            </a:r>
            <a:r>
              <a:rPr lang="zh-TW" altLang="en-US" baseline="0"/>
              <a:t> </a:t>
            </a:r>
            <a:r>
              <a:rPr lang="en-US" altLang="zh-TW" baseline="0"/>
              <a:t>Overhead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VGG!$P$13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VGG!$O$14:$O$16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VGG!$P$14:$P$16</c:f>
              <c:numCache>
                <c:formatCode>0.000%</c:formatCode>
                <c:ptCount val="3"/>
                <c:pt idx="0">
                  <c:v>2.8587389659520807E-2</c:v>
                </c:pt>
                <c:pt idx="1">
                  <c:v>0.19760645724258291</c:v>
                </c:pt>
                <c:pt idx="2">
                  <c:v>0.31203837821108016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BA4F-92F6-753A4DD505C9}"/>
            </c:ext>
          </c:extLst>
        </c:ser>
        <c:ser>
          <c:idx val="1"/>
          <c:order val="1"/>
          <c:tx>
            <c:strRef>
              <c:f>VGG!$Q$13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VGG!$O$14:$O$16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VGG!$Q$14:$Q$16</c:f>
              <c:numCache>
                <c:formatCode>0.000%</c:formatCode>
                <c:ptCount val="3"/>
                <c:pt idx="0">
                  <c:v>2.8562177145017006E-2</c:v>
                </c:pt>
                <c:pt idx="1">
                  <c:v>0.12603806734992679</c:v>
                </c:pt>
                <c:pt idx="2">
                  <c:v>0.27116582207207213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BA4F-92F6-753A4DD5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4"/>
        <c:axId val="102679440"/>
        <c:axId val="102269744"/>
      </c:barChart>
      <c:catAx>
        <c:axId val="1026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9744"/>
        <c:crosses val="autoZero"/>
        <c:auto val="1"/>
        <c:lblAlgn val="ctr"/>
        <c:lblOffset val="100"/>
        <c:tickLblSkip val="1"/>
        <c:noMultiLvlLbl val="0"/>
      </c:catAx>
      <c:valAx>
        <c:axId val="1022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19</xdr:row>
      <xdr:rowOff>76200</xdr:rowOff>
    </xdr:from>
    <xdr:to>
      <xdr:col>11</xdr:col>
      <xdr:colOff>254000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0A989-16A6-974E-9F35-3C1C0C1B6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15093</xdr:colOff>
      <xdr:row>16</xdr:row>
      <xdr:rowOff>14908</xdr:rowOff>
    </xdr:from>
    <xdr:to>
      <xdr:col>25</xdr:col>
      <xdr:colOff>70586</xdr:colOff>
      <xdr:row>37</xdr:row>
      <xdr:rowOff>97182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7FD40-F70E-4443-A8FA-277A47C37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K14" sqref="K14"/>
    </sheetView>
  </sheetViews>
  <sheetFormatPr baseColWidth="10" defaultColWidth="8.6640625" defaultRowHeight="16" x14ac:dyDescent="0.2"/>
  <cols>
    <col min="1" max="2" width="15.83203125" style="1" customWidth="1"/>
    <col min="3" max="16384" width="8.6640625" style="1"/>
  </cols>
  <sheetData>
    <row r="1" spans="1:17" x14ac:dyDescent="0.2">
      <c r="A1" s="1" t="s">
        <v>5</v>
      </c>
      <c r="G1" s="1">
        <f>2*(G3-1)/G3</f>
        <v>1</v>
      </c>
      <c r="K1" s="1">
        <f>2*(K3-1)/K3</f>
        <v>1.5</v>
      </c>
      <c r="O1" s="1">
        <f>2*(O3-1)/O3</f>
        <v>1.75</v>
      </c>
    </row>
    <row r="2" spans="1:17" x14ac:dyDescent="0.2">
      <c r="C2" s="9" t="s">
        <v>7</v>
      </c>
      <c r="D2" s="9" t="s">
        <v>8</v>
      </c>
      <c r="E2" s="9" t="s">
        <v>6</v>
      </c>
      <c r="G2" s="9" t="s">
        <v>7</v>
      </c>
      <c r="H2" s="9" t="s">
        <v>8</v>
      </c>
      <c r="I2" s="9" t="s">
        <v>6</v>
      </c>
      <c r="J2" s="9"/>
      <c r="K2" s="9" t="s">
        <v>7</v>
      </c>
      <c r="L2" s="9" t="s">
        <v>8</v>
      </c>
      <c r="M2" s="9" t="s">
        <v>6</v>
      </c>
      <c r="N2" s="9"/>
      <c r="O2" s="9" t="s">
        <v>7</v>
      </c>
      <c r="P2" s="9" t="s">
        <v>8</v>
      </c>
      <c r="Q2" s="9" t="s">
        <v>6</v>
      </c>
    </row>
    <row r="3" spans="1:17" x14ac:dyDescent="0.2">
      <c r="A3" s="1" t="s">
        <v>3</v>
      </c>
      <c r="C3" s="1">
        <v>1</v>
      </c>
      <c r="G3" s="1">
        <v>2</v>
      </c>
      <c r="K3" s="1">
        <v>4</v>
      </c>
      <c r="O3" s="1">
        <v>8</v>
      </c>
    </row>
    <row r="4" spans="1:17" x14ac:dyDescent="0.2">
      <c r="A4" s="1" t="s">
        <v>4</v>
      </c>
      <c r="B4" s="1">
        <v>1</v>
      </c>
      <c r="C4" s="1">
        <v>0.41099999999999998</v>
      </c>
      <c r="D4" s="1">
        <v>0</v>
      </c>
      <c r="E4" s="1">
        <f>$B4/(C4+$A$11*D4)</f>
        <v>2.4330900243309004</v>
      </c>
      <c r="G4" s="1" t="s">
        <v>20</v>
      </c>
      <c r="H4" s="1" t="s">
        <v>13</v>
      </c>
      <c r="I4" s="1" t="s">
        <v>21</v>
      </c>
      <c r="K4" s="1" t="s">
        <v>20</v>
      </c>
      <c r="L4" s="1" t="s">
        <v>13</v>
      </c>
      <c r="M4" s="1" t="s">
        <v>21</v>
      </c>
      <c r="O4" s="1" t="s">
        <v>20</v>
      </c>
      <c r="P4" s="1" t="s">
        <v>13</v>
      </c>
      <c r="Q4" s="1" t="s">
        <v>21</v>
      </c>
    </row>
    <row r="5" spans="1:17" x14ac:dyDescent="0.2">
      <c r="B5" s="1">
        <v>2</v>
      </c>
      <c r="C5" s="1">
        <v>0.52600000000000002</v>
      </c>
      <c r="D5" s="1">
        <v>0</v>
      </c>
      <c r="E5" s="1">
        <f t="shared" ref="E5:E7" si="0">$B5/(C5+$A$11*D5)</f>
        <v>3.8022813688212924</v>
      </c>
      <c r="G5" s="1">
        <v>0.41099999999999998</v>
      </c>
      <c r="H5" s="1">
        <v>0.84699999999999998</v>
      </c>
      <c r="I5" s="1">
        <f>$B5/(G5+$G$1*H5)</f>
        <v>1.589825119236884</v>
      </c>
      <c r="K5" s="1" t="s">
        <v>20</v>
      </c>
      <c r="L5" s="1" t="s">
        <v>13</v>
      </c>
      <c r="M5" s="1" t="s">
        <v>21</v>
      </c>
      <c r="O5" s="1" t="s">
        <v>20</v>
      </c>
      <c r="P5" s="1" t="s">
        <v>13</v>
      </c>
      <c r="Q5" s="1" t="s">
        <v>21</v>
      </c>
    </row>
    <row r="6" spans="1:17" x14ac:dyDescent="0.2">
      <c r="B6" s="1">
        <v>4</v>
      </c>
      <c r="C6" s="1">
        <v>0.89800000000000002</v>
      </c>
      <c r="D6" s="1">
        <v>0</v>
      </c>
      <c r="E6" s="1">
        <f t="shared" si="0"/>
        <v>4.4543429844097995</v>
      </c>
      <c r="G6" s="1">
        <v>0.52600000000000002</v>
      </c>
      <c r="H6" s="1">
        <v>0.84699999999999998</v>
      </c>
      <c r="I6" s="1">
        <f t="shared" ref="I6:I8" si="1">$B6/(G6+$G$1*H6)</f>
        <v>2.9133284777858703</v>
      </c>
      <c r="K6" s="1">
        <v>0.41099999999999998</v>
      </c>
      <c r="L6" s="1">
        <v>0.84699999999999998</v>
      </c>
      <c r="M6" s="1">
        <f>$B6/(K6+$K$1*L6)</f>
        <v>2.3788284269997026</v>
      </c>
      <c r="O6" s="1" t="s">
        <v>20</v>
      </c>
      <c r="P6" s="1" t="s">
        <v>13</v>
      </c>
      <c r="Q6" s="1" t="s">
        <v>21</v>
      </c>
    </row>
    <row r="7" spans="1:17" x14ac:dyDescent="0.2">
      <c r="B7" s="1">
        <v>8</v>
      </c>
      <c r="C7" s="1">
        <v>1.538</v>
      </c>
      <c r="D7" s="1">
        <v>0</v>
      </c>
      <c r="E7" s="2">
        <f t="shared" si="0"/>
        <v>5.2015604681404417</v>
      </c>
      <c r="G7" s="1">
        <v>0.89800000000000002</v>
      </c>
      <c r="H7" s="1">
        <v>0.84699999999999998</v>
      </c>
      <c r="I7" s="1">
        <f t="shared" si="1"/>
        <v>4.5845272206303722</v>
      </c>
      <c r="K7" s="1">
        <v>0.52600000000000002</v>
      </c>
      <c r="L7" s="1">
        <v>0.84699999999999998</v>
      </c>
      <c r="M7" s="1">
        <f t="shared" ref="M7:M8" si="2">$B7/(K7+$K$1*L7)</f>
        <v>4.4531032563317563</v>
      </c>
      <c r="O7" s="1">
        <v>0.41099999999999998</v>
      </c>
      <c r="P7" s="1">
        <v>0.84699999999999998</v>
      </c>
      <c r="Q7" s="1">
        <f>$B7/(O7+$O$1*P7)</f>
        <v>4.2255380958668951</v>
      </c>
    </row>
    <row r="8" spans="1:17" x14ac:dyDescent="0.2">
      <c r="B8" s="1">
        <v>16</v>
      </c>
      <c r="C8" s="1" t="s">
        <v>20</v>
      </c>
      <c r="D8" s="1" t="s">
        <v>13</v>
      </c>
      <c r="E8" s="1" t="s">
        <v>21</v>
      </c>
      <c r="G8" s="1">
        <v>1.538</v>
      </c>
      <c r="H8" s="1">
        <v>0.84699999999999998</v>
      </c>
      <c r="I8" s="19">
        <f t="shared" si="1"/>
        <v>6.7085953878406714</v>
      </c>
      <c r="K8" s="1">
        <v>0.89800000000000002</v>
      </c>
      <c r="L8" s="1">
        <v>0.84699999999999998</v>
      </c>
      <c r="M8" s="2">
        <f t="shared" si="2"/>
        <v>7.3783721466451473</v>
      </c>
      <c r="O8" s="1">
        <v>0.52600000000000002</v>
      </c>
      <c r="P8" s="1">
        <v>0.84699999999999998</v>
      </c>
      <c r="Q8" s="2">
        <f>$B8/(O8+$O$1*P8)</f>
        <v>7.9671355657911107</v>
      </c>
    </row>
    <row r="10" spans="1:17" x14ac:dyDescent="0.2">
      <c r="A10" s="1" t="s">
        <v>12</v>
      </c>
    </row>
    <row r="11" spans="1:17" x14ac:dyDescent="0.2">
      <c r="A1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4"/>
  <sheetViews>
    <sheetView tabSelected="1" topLeftCell="A7" workbookViewId="0">
      <pane xSplit="1" topLeftCell="B1" activePane="topRight" state="frozen"/>
      <selection pane="topRight" activeCell="N21" sqref="N21"/>
    </sheetView>
  </sheetViews>
  <sheetFormatPr baseColWidth="10" defaultColWidth="8.6640625" defaultRowHeight="16" x14ac:dyDescent="0.2"/>
  <cols>
    <col min="1" max="1" width="17.33203125" style="1" customWidth="1"/>
    <col min="2" max="2" width="16.33203125" style="1" customWidth="1"/>
    <col min="3" max="5" width="8.6640625" style="1"/>
    <col min="6" max="6" width="23.6640625" style="1" customWidth="1"/>
    <col min="7" max="9" width="8.6640625" style="1"/>
    <col min="10" max="10" width="10.1640625" style="1" bestFit="1" customWidth="1"/>
    <col min="11" max="16384" width="8.6640625" style="1"/>
  </cols>
  <sheetData>
    <row r="1" spans="1:41" x14ac:dyDescent="0.2">
      <c r="A1" s="1" t="s">
        <v>0</v>
      </c>
      <c r="B1" s="1" t="s">
        <v>29</v>
      </c>
      <c r="D1" s="1" t="s">
        <v>30</v>
      </c>
      <c r="E1" s="1">
        <f>2*(D3-1)/D3</f>
        <v>1</v>
      </c>
      <c r="Q1" s="1" t="s">
        <v>30</v>
      </c>
      <c r="R1" s="1">
        <f>2*(Q3-1)/Q3</f>
        <v>1.5</v>
      </c>
      <c r="AD1" s="1" t="s">
        <v>30</v>
      </c>
      <c r="AE1" s="1">
        <f>2*(AD3-1)/AD3</f>
        <v>1.75</v>
      </c>
    </row>
    <row r="2" spans="1:41" x14ac:dyDescent="0.2">
      <c r="D2" s="1" t="s">
        <v>7</v>
      </c>
      <c r="E2" s="1" t="s">
        <v>8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  <c r="N2" s="1" t="s">
        <v>8</v>
      </c>
      <c r="O2" s="1" t="s">
        <v>6</v>
      </c>
      <c r="Q2" s="1" t="s">
        <v>7</v>
      </c>
      <c r="R2" s="1" t="s">
        <v>8</v>
      </c>
      <c r="S2" s="1" t="s">
        <v>6</v>
      </c>
      <c r="T2" s="1" t="s">
        <v>7</v>
      </c>
      <c r="U2" s="1" t="s">
        <v>8</v>
      </c>
      <c r="V2" s="1" t="s">
        <v>6</v>
      </c>
      <c r="W2" s="1" t="s">
        <v>7</v>
      </c>
      <c r="X2" s="1" t="s">
        <v>8</v>
      </c>
      <c r="Y2" s="1" t="s">
        <v>6</v>
      </c>
      <c r="Z2" s="1" t="s">
        <v>7</v>
      </c>
      <c r="AA2" s="1" t="s">
        <v>8</v>
      </c>
      <c r="AB2" s="1" t="s">
        <v>6</v>
      </c>
      <c r="AD2" s="1" t="s">
        <v>7</v>
      </c>
      <c r="AE2" s="1" t="s">
        <v>8</v>
      </c>
      <c r="AF2" s="1" t="s">
        <v>6</v>
      </c>
      <c r="AG2" s="1" t="s">
        <v>7</v>
      </c>
      <c r="AH2" s="1" t="s">
        <v>8</v>
      </c>
      <c r="AI2" s="1" t="s">
        <v>6</v>
      </c>
      <c r="AJ2" s="1" t="s">
        <v>7</v>
      </c>
      <c r="AK2" s="1" t="s">
        <v>8</v>
      </c>
      <c r="AL2" s="1" t="s">
        <v>6</v>
      </c>
      <c r="AM2" s="1" t="s">
        <v>7</v>
      </c>
      <c r="AN2" s="1" t="s">
        <v>8</v>
      </c>
      <c r="AO2" s="1" t="s">
        <v>6</v>
      </c>
    </row>
    <row r="3" spans="1:41" x14ac:dyDescent="0.2">
      <c r="B3" s="1" t="s">
        <v>1</v>
      </c>
      <c r="D3" s="1">
        <v>2</v>
      </c>
      <c r="Q3" s="1">
        <v>4</v>
      </c>
      <c r="AD3" s="1">
        <v>8</v>
      </c>
    </row>
    <row r="4" spans="1:41" x14ac:dyDescent="0.2">
      <c r="B4" s="1" t="s">
        <v>2</v>
      </c>
      <c r="D4" s="1">
        <v>2</v>
      </c>
      <c r="G4" s="1">
        <v>4</v>
      </c>
      <c r="J4" s="1">
        <v>8</v>
      </c>
      <c r="M4" s="1">
        <v>16</v>
      </c>
      <c r="Q4" s="1">
        <v>2</v>
      </c>
      <c r="T4" s="1">
        <v>4</v>
      </c>
      <c r="W4" s="1">
        <v>8</v>
      </c>
      <c r="Z4" s="1">
        <v>16</v>
      </c>
      <c r="AD4" s="1">
        <v>2</v>
      </c>
      <c r="AG4" s="1">
        <v>4</v>
      </c>
      <c r="AJ4" s="1">
        <v>8</v>
      </c>
      <c r="AM4" s="1">
        <v>16</v>
      </c>
    </row>
    <row r="5" spans="1:41" ht="17" thickBot="1" x14ac:dyDescent="0.25">
      <c r="A5" s="1">
        <v>16</v>
      </c>
      <c r="D5" s="1" t="s">
        <v>10</v>
      </c>
      <c r="E5" s="1" t="s">
        <v>11</v>
      </c>
      <c r="F5" s="1" t="s">
        <v>11</v>
      </c>
      <c r="G5" s="1">
        <v>2.7229999999999999</v>
      </c>
      <c r="H5" s="1">
        <f>3.567-G5</f>
        <v>0.84400000000000031</v>
      </c>
      <c r="I5" s="1">
        <f>$A5/(G5+$A$11*H5)</f>
        <v>4.4855620970002805</v>
      </c>
      <c r="J5" s="1">
        <v>4.1539999999999999</v>
      </c>
      <c r="K5" s="1">
        <f>4.998-J5</f>
        <v>0.84400000000000031</v>
      </c>
      <c r="L5" s="1">
        <f>$A5/(J5+$A$11*K5)</f>
        <v>3.2012805122048817</v>
      </c>
      <c r="M5" s="1">
        <v>8.1890000000000001</v>
      </c>
      <c r="N5" s="1">
        <f>9.03-M5</f>
        <v>0.8409999999999993</v>
      </c>
      <c r="O5" s="1">
        <f>$A5/(M5+$A$11*N5)</f>
        <v>1.7718715393133999</v>
      </c>
      <c r="Q5" s="1">
        <v>1.845</v>
      </c>
      <c r="R5" s="1">
        <f>2.634-Q5</f>
        <v>0.78899999999999992</v>
      </c>
      <c r="S5" s="1">
        <f>$A5/(Q5+1.5*R5)</f>
        <v>5.283143470364867</v>
      </c>
      <c r="T5" s="1">
        <v>2.0499999999999998</v>
      </c>
      <c r="U5" s="1">
        <f>2.897-T5</f>
        <v>0.84699999999999998</v>
      </c>
      <c r="V5" s="1">
        <f>$A5/(T5+1.5*U5)</f>
        <v>4.8185514229784667</v>
      </c>
      <c r="W5" s="1">
        <v>4.1130000000000004</v>
      </c>
      <c r="X5" s="1">
        <f>4.958-W5</f>
        <v>0.84499999999999975</v>
      </c>
      <c r="Y5" s="1">
        <f>$A5/(W5+1.5*X5)</f>
        <v>2.9737013288727816</v>
      </c>
      <c r="Z5" s="1">
        <v>8.3829999999999991</v>
      </c>
      <c r="AA5" s="1">
        <f>9.224-Z5</f>
        <v>0.84100000000000108</v>
      </c>
      <c r="AB5" s="1">
        <f>$A5/(Z5+1.5*AA5)</f>
        <v>1.6589766187982786</v>
      </c>
      <c r="AD5" s="1">
        <v>1.274</v>
      </c>
      <c r="AE5" s="1">
        <f>2.116-AD5</f>
        <v>0.84200000000000008</v>
      </c>
      <c r="AF5" s="1">
        <f>$A5/(AD5+$AE$1*AE5)</f>
        <v>5.8234758871701544</v>
      </c>
      <c r="AG5" s="1">
        <v>2.0710000000000002</v>
      </c>
      <c r="AH5" s="1">
        <f>2.919-AG5</f>
        <v>0.84799999999999986</v>
      </c>
      <c r="AI5" s="1">
        <f>$A5/(AG5+$AE$1*AH5)</f>
        <v>4.5007032348804508</v>
      </c>
      <c r="AJ5" s="1">
        <v>4.1340000000000003</v>
      </c>
      <c r="AK5" s="1">
        <f>4.974-AJ5</f>
        <v>0.83999999999999986</v>
      </c>
      <c r="AL5" s="1">
        <f>$A5/(AJ5+$AE$1*AK5)</f>
        <v>2.8551034975017844</v>
      </c>
      <c r="AM5" s="1">
        <v>8.2720000000000002</v>
      </c>
      <c r="AN5" s="1">
        <f>9.119-AM5</f>
        <v>0.84699999999999953</v>
      </c>
      <c r="AO5" s="1">
        <f>$A5/(AM5+$AE$1*AN5)</f>
        <v>1.640310633826281</v>
      </c>
    </row>
    <row r="6" spans="1:41" ht="17" thickBot="1" x14ac:dyDescent="0.25">
      <c r="A6" s="1">
        <v>32</v>
      </c>
      <c r="D6" s="3">
        <v>5.7</v>
      </c>
      <c r="E6" s="4">
        <v>0</v>
      </c>
      <c r="F6" s="6">
        <f>$A6/(D6+$A$11*E6)</f>
        <v>5.6140350877192979</v>
      </c>
      <c r="G6" s="7">
        <v>5.1020000000000003</v>
      </c>
      <c r="H6" s="7">
        <v>0</v>
      </c>
      <c r="I6" s="1">
        <f t="shared" ref="I6:I7" si="0">$A6/(G6+$A$11*H6)</f>
        <v>6.2720501764014109</v>
      </c>
      <c r="J6" s="1">
        <v>5.3159999999999998</v>
      </c>
      <c r="K6" s="1">
        <f>6.163-J6</f>
        <v>0.84700000000000042</v>
      </c>
      <c r="L6" s="1">
        <f t="shared" ref="L6:L8" si="1">$A6/(J6+$A$11*K6)</f>
        <v>5.1922764887230244</v>
      </c>
      <c r="M6" s="1">
        <v>8.1720000000000006</v>
      </c>
      <c r="N6" s="1">
        <f>9.013-M6</f>
        <v>0.8409999999999993</v>
      </c>
      <c r="O6" s="1">
        <f t="shared" ref="O6:O8" si="2">$A6/(M6+$A$11*N6)</f>
        <v>3.55042716076778</v>
      </c>
      <c r="Q6" s="3">
        <v>3.1019999999999999</v>
      </c>
      <c r="R6" s="4">
        <f>3.572-Q6</f>
        <v>0.4700000000000002</v>
      </c>
      <c r="S6" s="6">
        <f t="shared" ref="S6:S7" si="3">$A6/(Q6+$A$11*R6)</f>
        <v>8.9585666293393054</v>
      </c>
      <c r="T6" s="1">
        <v>2.9649999999999999</v>
      </c>
      <c r="U6" s="1">
        <f>3.752-T6</f>
        <v>0.78699999999999992</v>
      </c>
      <c r="V6" s="1">
        <f>$A6/(T6+1.5*U6)</f>
        <v>7.7192136051139784</v>
      </c>
      <c r="W6" s="1">
        <v>4.1079999999999997</v>
      </c>
      <c r="X6" s="1">
        <f>4.954-W6</f>
        <v>0.84600000000000009</v>
      </c>
      <c r="Y6" s="1">
        <f t="shared" ref="Y6:Y7" si="4">$A6/(W6+1.5*X6)</f>
        <v>5.9512739445787615</v>
      </c>
      <c r="Z6" s="1">
        <v>8.2840000000000007</v>
      </c>
      <c r="AA6" s="1">
        <f>9.13-Z6</f>
        <v>0.84600000000000009</v>
      </c>
      <c r="AB6" s="1">
        <f t="shared" ref="AB6:AB8" si="5">$A6/(Z6+1.5*AA6)</f>
        <v>3.3497330681461319</v>
      </c>
      <c r="AD6" s="20">
        <v>1.9430000000000001</v>
      </c>
      <c r="AE6" s="21">
        <f>2.769-AD6</f>
        <v>0.82600000000000007</v>
      </c>
      <c r="AF6" s="22">
        <f t="shared" ref="AF6:AF7" si="6">$A6/(AD6+$AE$1*AE6)</f>
        <v>9.4437066548620336</v>
      </c>
      <c r="AG6" s="1">
        <v>2.2970000000000002</v>
      </c>
      <c r="AH6" s="1">
        <f>3.113-AG6</f>
        <v>0.81599999999999984</v>
      </c>
      <c r="AI6" s="1">
        <f t="shared" ref="AI6:AI8" si="7">$A6/(AG6+$AE$1*AH6)</f>
        <v>8.5906040268456376</v>
      </c>
      <c r="AJ6" s="1">
        <v>4.1130000000000004</v>
      </c>
      <c r="AK6" s="1">
        <f>4.955-AJ6</f>
        <v>0.84199999999999964</v>
      </c>
      <c r="AL6" s="1">
        <f t="shared" ref="AL6:AL8" si="8">$A6/(AJ6+$AE$1*AK6)</f>
        <v>5.7280945135594736</v>
      </c>
      <c r="AM6" s="1">
        <v>8.1620000000000008</v>
      </c>
      <c r="AN6" s="1">
        <f>9.005-AM6</f>
        <v>0.84299999999999997</v>
      </c>
      <c r="AO6" s="1">
        <f t="shared" ref="AO6:AO8" si="9">$A6/(AM6+$AE$1*AN6)</f>
        <v>3.3204492982956753</v>
      </c>
    </row>
    <row r="7" spans="1:41" ht="17" thickBot="1" x14ac:dyDescent="0.25">
      <c r="A7" s="1">
        <v>64</v>
      </c>
      <c r="D7" s="1" t="s">
        <v>10</v>
      </c>
      <c r="E7" s="1" t="s">
        <v>11</v>
      </c>
      <c r="F7" s="1" t="s">
        <v>11</v>
      </c>
      <c r="G7" s="3">
        <v>8.6579999999999995</v>
      </c>
      <c r="H7" s="4">
        <v>0</v>
      </c>
      <c r="I7" s="6">
        <f t="shared" si="0"/>
        <v>7.3920073920073923</v>
      </c>
      <c r="J7" s="7">
        <v>8.6549999999999994</v>
      </c>
      <c r="K7" s="7">
        <v>0</v>
      </c>
      <c r="L7" s="1">
        <f t="shared" si="1"/>
        <v>7.3945696129404972</v>
      </c>
      <c r="M7" s="1">
        <v>10.621</v>
      </c>
      <c r="N7" s="1">
        <f>11.463-M7</f>
        <v>0.84199999999999875</v>
      </c>
      <c r="O7" s="1">
        <f t="shared" si="2"/>
        <v>5.5831806682369365</v>
      </c>
      <c r="Q7" s="1">
        <v>10.571</v>
      </c>
      <c r="R7" s="1">
        <v>0</v>
      </c>
      <c r="S7" s="1">
        <f t="shared" si="3"/>
        <v>6.054299498628323</v>
      </c>
      <c r="T7" s="3">
        <v>4.7080000000000002</v>
      </c>
      <c r="U7" s="4">
        <f>5.175-T7</f>
        <v>0.46699999999999964</v>
      </c>
      <c r="V7" s="6">
        <f t="shared" ref="V7:V8" si="10">$A7/(T7+U7)</f>
        <v>12.367149758454106</v>
      </c>
      <c r="W7" s="1">
        <v>5.1769999999999996</v>
      </c>
      <c r="X7" s="1">
        <f>5.963-W7</f>
        <v>0.78600000000000048</v>
      </c>
      <c r="Y7" s="1">
        <f t="shared" si="4"/>
        <v>10.069225928256765</v>
      </c>
      <c r="Z7" s="1">
        <v>8.2789999999999999</v>
      </c>
      <c r="AA7" s="1">
        <f>9.121-Z7</f>
        <v>0.84200000000000053</v>
      </c>
      <c r="AB7" s="1">
        <f t="shared" si="5"/>
        <v>6.707189268497169</v>
      </c>
      <c r="AD7" s="1">
        <v>5.617</v>
      </c>
      <c r="AE7" s="1">
        <f>6.319-AD7</f>
        <v>0.70199999999999996</v>
      </c>
      <c r="AF7" s="1">
        <f t="shared" si="6"/>
        <v>9.3492075085822819</v>
      </c>
      <c r="AG7" s="1">
        <v>3.1760000000000002</v>
      </c>
      <c r="AH7" s="1">
        <f>4-AG7</f>
        <v>0.82399999999999984</v>
      </c>
      <c r="AI7" s="1">
        <f t="shared" si="7"/>
        <v>13.858813339107838</v>
      </c>
      <c r="AJ7" s="1">
        <v>3.9540000000000002</v>
      </c>
      <c r="AK7" s="1">
        <f>4.793-AJ7</f>
        <v>0.83899999999999997</v>
      </c>
      <c r="AL7" s="1">
        <f t="shared" si="8"/>
        <v>11.803218221218129</v>
      </c>
      <c r="AM7" s="1">
        <f>8.21</f>
        <v>8.2100000000000009</v>
      </c>
      <c r="AN7" s="1">
        <f>9.05-AM7</f>
        <v>0.83999999999999986</v>
      </c>
      <c r="AO7" s="1">
        <f t="shared" si="9"/>
        <v>6.6115702479338845</v>
      </c>
    </row>
    <row r="8" spans="1:41" ht="17" thickBot="1" x14ac:dyDescent="0.25">
      <c r="A8" s="1">
        <v>128</v>
      </c>
      <c r="D8" s="1" t="s">
        <v>11</v>
      </c>
      <c r="E8" s="1" t="s">
        <v>13</v>
      </c>
      <c r="F8" s="1" t="s">
        <v>11</v>
      </c>
      <c r="G8" s="1" t="s">
        <v>11</v>
      </c>
      <c r="H8" s="1" t="s">
        <v>14</v>
      </c>
      <c r="I8" s="1" t="s">
        <v>11</v>
      </c>
      <c r="J8" s="3">
        <v>14.568</v>
      </c>
      <c r="K8" s="4">
        <v>0</v>
      </c>
      <c r="L8" s="10">
        <f t="shared" si="1"/>
        <v>8.7863811092806152</v>
      </c>
      <c r="M8" s="3">
        <v>15.766999999999999</v>
      </c>
      <c r="N8" s="4">
        <v>0</v>
      </c>
      <c r="O8" s="6">
        <f t="shared" si="2"/>
        <v>8.1182216020802951</v>
      </c>
      <c r="Q8" s="1" t="s">
        <v>11</v>
      </c>
      <c r="R8" s="1" t="s">
        <v>11</v>
      </c>
      <c r="S8" s="1" t="s">
        <v>11</v>
      </c>
      <c r="T8" s="1">
        <v>13.509</v>
      </c>
      <c r="U8" s="1">
        <v>0</v>
      </c>
      <c r="V8" s="1">
        <f t="shared" si="10"/>
        <v>9.4751647050114745</v>
      </c>
      <c r="W8" s="3">
        <v>7.8970000000000002</v>
      </c>
      <c r="X8" s="4">
        <f>8.367-W8</f>
        <v>0.47000000000000064</v>
      </c>
      <c r="Y8" s="5">
        <f t="shared" ref="Y8" si="11">$A8/(W8+$A$11*X8)</f>
        <v>15.29819529102426</v>
      </c>
      <c r="Z8" s="3">
        <v>9.657</v>
      </c>
      <c r="AA8" s="4">
        <f>10.449-Z8</f>
        <v>0.79199999999999982</v>
      </c>
      <c r="AB8" s="6">
        <f t="shared" si="5"/>
        <v>11.802674043337944</v>
      </c>
      <c r="AD8" s="1" t="s">
        <v>15</v>
      </c>
      <c r="AE8" s="1" t="s">
        <v>11</v>
      </c>
      <c r="AF8" s="1" t="s">
        <v>16</v>
      </c>
      <c r="AG8" s="20">
        <v>7.2359999999999998</v>
      </c>
      <c r="AH8" s="21">
        <f>7.938-AG8</f>
        <v>0.70199999999999996</v>
      </c>
      <c r="AI8" s="22">
        <f t="shared" si="7"/>
        <v>15.121980034260737</v>
      </c>
      <c r="AJ8" s="3">
        <v>5.5919999999999996</v>
      </c>
      <c r="AK8" s="4">
        <f>6.418-AJ8</f>
        <v>0.82600000000000051</v>
      </c>
      <c r="AL8" s="5">
        <f t="shared" si="8"/>
        <v>18.188277087033747</v>
      </c>
      <c r="AM8" s="3">
        <v>5.8719999999999999</v>
      </c>
      <c r="AN8" s="4">
        <f>6.707-AM8</f>
        <v>0.83499999999999996</v>
      </c>
      <c r="AO8" s="6">
        <f t="shared" si="9"/>
        <v>17.454743803906865</v>
      </c>
    </row>
    <row r="10" spans="1:41" x14ac:dyDescent="0.2">
      <c r="A10" s="1" t="s">
        <v>12</v>
      </c>
    </row>
    <row r="11" spans="1:41" x14ac:dyDescent="0.2">
      <c r="A11" s="1">
        <v>1</v>
      </c>
    </row>
    <row r="12" spans="1:41" x14ac:dyDescent="0.2"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J12" s="1" t="s">
        <v>37</v>
      </c>
      <c r="K12" s="1" t="s">
        <v>38</v>
      </c>
    </row>
    <row r="13" spans="1:41" x14ac:dyDescent="0.2">
      <c r="C13" s="1">
        <v>2</v>
      </c>
      <c r="D13" s="24">
        <f>(333159-330008)/1000000</f>
        <v>3.1510000000000002E-3</v>
      </c>
      <c r="E13" s="1">
        <f>(1147858-1029984)/1000000</f>
        <v>0.11787400000000001</v>
      </c>
      <c r="F13" s="24">
        <v>14.568</v>
      </c>
      <c r="G13" s="1">
        <v>6</v>
      </c>
      <c r="H13" s="25">
        <f>F14/F13</f>
        <v>4.9845551894563432E-2</v>
      </c>
      <c r="I13" s="1" t="s">
        <v>39</v>
      </c>
      <c r="J13" s="25">
        <v>4.9845551894563432E-2</v>
      </c>
      <c r="K13" s="25">
        <v>4.9666049763520466E-2</v>
      </c>
    </row>
    <row r="14" spans="1:41" x14ac:dyDescent="0.2">
      <c r="F14" s="26">
        <f>(D13+E13)*G13</f>
        <v>0.72615000000000007</v>
      </c>
      <c r="I14" s="1" t="s">
        <v>40</v>
      </c>
      <c r="J14" s="25">
        <v>3.577844168260038E-2</v>
      </c>
      <c r="K14" s="25">
        <v>0.10700288794763189</v>
      </c>
    </row>
    <row r="15" spans="1:41" x14ac:dyDescent="0.2">
      <c r="I15" s="1" t="s">
        <v>41</v>
      </c>
      <c r="J15" s="28">
        <v>5.6599999999999998E-2</v>
      </c>
      <c r="K15" s="25">
        <v>0.16600000000000001</v>
      </c>
    </row>
    <row r="16" spans="1:41" x14ac:dyDescent="0.2">
      <c r="C16" s="1">
        <v>4</v>
      </c>
      <c r="D16" s="24">
        <f>(191693-166091)/1000000</f>
        <v>2.5602E-2</v>
      </c>
      <c r="E16" s="1">
        <f>(607960-583663)/1000000</f>
        <v>2.4296999999999999E-2</v>
      </c>
      <c r="F16" s="24">
        <v>8.3680000000000003</v>
      </c>
      <c r="G16" s="1">
        <v>6</v>
      </c>
      <c r="H16" s="25">
        <f>F17/F16</f>
        <v>3.577844168260038E-2</v>
      </c>
      <c r="J16" s="28">
        <f>0.46</f>
        <v>0.46</v>
      </c>
    </row>
    <row r="17" spans="3:9" x14ac:dyDescent="0.2">
      <c r="F17" s="26">
        <f>(D16+E16)*G16</f>
        <v>0.29939399999999999</v>
      </c>
    </row>
    <row r="19" spans="3:9" x14ac:dyDescent="0.2">
      <c r="C19" s="1">
        <v>8</v>
      </c>
      <c r="D19" s="24">
        <f>(133890-86439)/1000000</f>
        <v>4.7451E-2</v>
      </c>
      <c r="E19" s="1">
        <f>(474220-277487)/1000000</f>
        <v>0.19673299999999999</v>
      </c>
      <c r="F19" s="24">
        <v>6.4189999999999996</v>
      </c>
      <c r="G19" s="1">
        <v>6</v>
      </c>
      <c r="H19" s="25">
        <f>F20/F19</f>
        <v>0.22824489795918368</v>
      </c>
    </row>
    <row r="20" spans="3:9" x14ac:dyDescent="0.2">
      <c r="F20" s="26">
        <f>(D19+E19)*G19</f>
        <v>1.465104</v>
      </c>
    </row>
    <row r="23" spans="3:9" x14ac:dyDescent="0.2">
      <c r="D23" s="24">
        <f>(76099-63698)/1000000</f>
        <v>1.2401000000000001E-2</v>
      </c>
      <c r="E23" s="1">
        <f>(253181-238466)/1000000</f>
        <v>1.4715000000000001E-2</v>
      </c>
      <c r="F23" s="1">
        <v>6.7080000000000002</v>
      </c>
      <c r="H23" s="28">
        <f>F24/F23</f>
        <v>5.6592725104353009E-2</v>
      </c>
      <c r="I23" s="28"/>
    </row>
    <row r="24" spans="3:9" x14ac:dyDescent="0.2">
      <c r="F24" s="1">
        <f>14*(D23+E23)</f>
        <v>0.37962400000000002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0"/>
  <sheetViews>
    <sheetView topLeftCell="A2" workbookViewId="0">
      <selection activeCell="H29" sqref="H29"/>
    </sheetView>
  </sheetViews>
  <sheetFormatPr baseColWidth="10" defaultColWidth="8.6640625" defaultRowHeight="16" x14ac:dyDescent="0.2"/>
  <cols>
    <col min="1" max="1" width="17.33203125" style="9" customWidth="1"/>
    <col min="2" max="2" width="16.33203125" style="9" customWidth="1"/>
    <col min="3" max="5" width="8.6640625" style="9"/>
    <col min="6" max="6" width="20.33203125" style="9" customWidth="1"/>
    <col min="7" max="16384" width="8.6640625" style="9"/>
  </cols>
  <sheetData>
    <row r="1" spans="1:41" x14ac:dyDescent="0.2">
      <c r="A1" s="9" t="s">
        <v>0</v>
      </c>
      <c r="D1" s="9" t="s">
        <v>9</v>
      </c>
    </row>
    <row r="2" spans="1:41" x14ac:dyDescent="0.2">
      <c r="D2" s="9" t="s">
        <v>7</v>
      </c>
      <c r="E2" s="9" t="s">
        <v>8</v>
      </c>
      <c r="F2" s="9" t="s">
        <v>6</v>
      </c>
      <c r="G2" s="9" t="s">
        <v>7</v>
      </c>
      <c r="H2" s="9" t="s">
        <v>8</v>
      </c>
      <c r="I2" s="9" t="s">
        <v>6</v>
      </c>
      <c r="J2" s="9" t="s">
        <v>7</v>
      </c>
      <c r="K2" s="9" t="s">
        <v>8</v>
      </c>
      <c r="L2" s="9" t="s">
        <v>6</v>
      </c>
      <c r="M2" s="9" t="s">
        <v>7</v>
      </c>
      <c r="N2" s="9" t="s">
        <v>8</v>
      </c>
      <c r="O2" s="9" t="s">
        <v>6</v>
      </c>
      <c r="Q2" s="9" t="s">
        <v>7</v>
      </c>
      <c r="R2" s="9" t="s">
        <v>8</v>
      </c>
      <c r="S2" s="9" t="s">
        <v>6</v>
      </c>
      <c r="T2" s="9" t="s">
        <v>7</v>
      </c>
      <c r="U2" s="9" t="s">
        <v>8</v>
      </c>
      <c r="V2" s="9" t="s">
        <v>6</v>
      </c>
      <c r="W2" s="9" t="s">
        <v>7</v>
      </c>
      <c r="X2" s="9" t="s">
        <v>8</v>
      </c>
      <c r="Y2" s="9" t="s">
        <v>6</v>
      </c>
      <c r="Z2" s="9" t="s">
        <v>7</v>
      </c>
      <c r="AA2" s="9" t="s">
        <v>8</v>
      </c>
      <c r="AB2" s="9" t="s">
        <v>6</v>
      </c>
      <c r="AD2" s="9" t="s">
        <v>7</v>
      </c>
      <c r="AE2" s="9" t="s">
        <v>8</v>
      </c>
      <c r="AF2" s="9" t="s">
        <v>6</v>
      </c>
      <c r="AG2" s="9" t="s">
        <v>7</v>
      </c>
      <c r="AH2" s="9" t="s">
        <v>8</v>
      </c>
      <c r="AI2" s="9" t="s">
        <v>6</v>
      </c>
      <c r="AJ2" s="9" t="s">
        <v>7</v>
      </c>
      <c r="AK2" s="9" t="s">
        <v>8</v>
      </c>
      <c r="AL2" s="9" t="s">
        <v>6</v>
      </c>
      <c r="AM2" s="9" t="s">
        <v>7</v>
      </c>
      <c r="AN2" s="9" t="s">
        <v>8</v>
      </c>
      <c r="AO2" s="9" t="s">
        <v>6</v>
      </c>
    </row>
    <row r="3" spans="1:41" x14ac:dyDescent="0.2">
      <c r="B3" s="9" t="s">
        <v>1</v>
      </c>
      <c r="D3" s="9">
        <v>2</v>
      </c>
      <c r="Q3" s="9">
        <v>4</v>
      </c>
      <c r="AD3" s="9">
        <v>8</v>
      </c>
    </row>
    <row r="4" spans="1:41" x14ac:dyDescent="0.2">
      <c r="B4" s="9" t="s">
        <v>2</v>
      </c>
      <c r="D4" s="9">
        <v>2</v>
      </c>
      <c r="G4" s="9">
        <v>4</v>
      </c>
      <c r="J4" s="9">
        <v>8</v>
      </c>
      <c r="M4" s="9">
        <v>16</v>
      </c>
      <c r="Q4" s="9">
        <v>2</v>
      </c>
      <c r="T4" s="9">
        <v>4</v>
      </c>
      <c r="W4" s="9">
        <v>8</v>
      </c>
      <c r="Z4" s="9">
        <v>16</v>
      </c>
      <c r="AD4" s="9">
        <v>2</v>
      </c>
      <c r="AG4" s="9">
        <v>4</v>
      </c>
      <c r="AJ4" s="9">
        <v>8</v>
      </c>
      <c r="AM4" s="9">
        <v>16</v>
      </c>
    </row>
    <row r="5" spans="1:41" ht="17" thickBot="1" x14ac:dyDescent="0.25">
      <c r="A5" s="9">
        <v>16</v>
      </c>
      <c r="D5" s="9">
        <v>3.3239999999999998</v>
      </c>
      <c r="E5" s="9">
        <v>0</v>
      </c>
      <c r="F5" s="9">
        <f>$A5/(D5+$A$11*E5)</f>
        <v>4.8134777376654636</v>
      </c>
      <c r="G5" s="9">
        <v>2.9820000000000002</v>
      </c>
      <c r="H5" s="9">
        <v>0</v>
      </c>
      <c r="I5" s="9">
        <f>$A5/(G5+$A$11*H5)</f>
        <v>5.3655264922870556</v>
      </c>
      <c r="J5" s="9">
        <v>3.4220000000000002</v>
      </c>
      <c r="K5" s="9">
        <v>0</v>
      </c>
      <c r="L5" s="9">
        <f>$A5/(J5+$A$11*K5)</f>
        <v>4.6756282875511399</v>
      </c>
      <c r="M5" s="9">
        <v>4.92</v>
      </c>
      <c r="N5" s="9">
        <v>0</v>
      </c>
      <c r="O5" s="9">
        <f>$A5/(M5+$A$11*N5)</f>
        <v>3.2520325203252032</v>
      </c>
      <c r="Q5" s="9">
        <v>3.298</v>
      </c>
      <c r="R5" s="9">
        <v>0</v>
      </c>
      <c r="S5" s="9">
        <f>$A5/(Q5+$A$11*R5)</f>
        <v>4.8514251061249238</v>
      </c>
      <c r="T5" s="9">
        <v>2.5249999999999999</v>
      </c>
      <c r="U5" s="9">
        <v>0</v>
      </c>
      <c r="V5" s="9">
        <f>$A5/(T5+$A$11*U5)</f>
        <v>6.3366336633663369</v>
      </c>
      <c r="W5" s="9">
        <v>2.5579999999999998</v>
      </c>
      <c r="X5" s="9">
        <v>0</v>
      </c>
      <c r="Y5" s="9">
        <f>$A5/(W5+$A$11*X5)</f>
        <v>6.2548866301798283</v>
      </c>
      <c r="Z5" s="9">
        <v>2.9590000000000001</v>
      </c>
      <c r="AA5" s="9">
        <v>0</v>
      </c>
      <c r="AB5" s="9">
        <f>$A5/(Z5+$A$11*AA5)</f>
        <v>5.4072321730314297</v>
      </c>
      <c r="AD5" s="9">
        <v>3.395</v>
      </c>
      <c r="AE5" s="9">
        <v>0</v>
      </c>
      <c r="AF5" s="9">
        <f>$A5/(AD5+$A$11*AE5)</f>
        <v>4.7128129602356408</v>
      </c>
      <c r="AG5" s="9">
        <v>2.367</v>
      </c>
      <c r="AH5" s="9">
        <v>0</v>
      </c>
      <c r="AI5" s="9">
        <f>$A5/(AG5+$A$11*AH5)</f>
        <v>6.7596113223489649</v>
      </c>
      <c r="AJ5" s="9">
        <v>1.98</v>
      </c>
      <c r="AK5" s="9">
        <v>0</v>
      </c>
      <c r="AL5" s="9">
        <f>$A5/(AJ5+$A$11*AK5)</f>
        <v>8.0808080808080813</v>
      </c>
      <c r="AM5" s="9">
        <v>2.2120000000000002</v>
      </c>
      <c r="AN5" s="9">
        <v>0</v>
      </c>
      <c r="AO5" s="9">
        <f>$A5/(AM5+$A$11*AN5)</f>
        <v>7.2332730560578655</v>
      </c>
    </row>
    <row r="6" spans="1:41" ht="17" thickBot="1" x14ac:dyDescent="0.25">
      <c r="A6" s="9">
        <v>32</v>
      </c>
      <c r="D6" s="12">
        <v>5.68</v>
      </c>
      <c r="E6" s="13">
        <v>0</v>
      </c>
      <c r="F6" s="8">
        <f>$A6/(D6+$A$11*E6)</f>
        <v>5.6338028169014089</v>
      </c>
      <c r="G6" s="9">
        <v>5.12</v>
      </c>
      <c r="H6" s="9">
        <v>0</v>
      </c>
      <c r="I6" s="9">
        <f t="shared" ref="I6:I7" si="0">$A6/(G6+$A$11*H6)</f>
        <v>6.25</v>
      </c>
      <c r="J6" s="9">
        <v>5.0259999999999998</v>
      </c>
      <c r="K6" s="9">
        <v>0</v>
      </c>
      <c r="L6" s="9">
        <f t="shared" ref="L6:L8" si="1">$A6/(J6+$A$11*K6)</f>
        <v>6.366892160764027</v>
      </c>
      <c r="M6" s="9">
        <v>6.2439999999999998</v>
      </c>
      <c r="N6" s="9">
        <v>0</v>
      </c>
      <c r="O6" s="9">
        <f t="shared" ref="O6:O8" si="2">$A6/(M6+$A$11*N6)</f>
        <v>5.1249199231262015</v>
      </c>
      <c r="Q6" s="9">
        <v>5.62</v>
      </c>
      <c r="R6" s="9">
        <v>0</v>
      </c>
      <c r="S6" s="9">
        <f t="shared" ref="S6:S7" si="3">$A6/(Q6+$A$11*R6)</f>
        <v>5.6939501779359434</v>
      </c>
      <c r="T6" s="9">
        <v>4.2380000000000004</v>
      </c>
      <c r="U6" s="9">
        <v>0</v>
      </c>
      <c r="V6" s="9">
        <f t="shared" ref="V6:V8" si="4">$A6/(T6+$A$11*U6)</f>
        <v>7.5507314771118441</v>
      </c>
      <c r="W6" s="9">
        <v>3.6120000000000001</v>
      </c>
      <c r="X6" s="9">
        <v>0</v>
      </c>
      <c r="Y6" s="9">
        <f t="shared" ref="Y6:Y8" si="5">$A6/(W6+$A$11*X6)</f>
        <v>8.8593576965669989</v>
      </c>
      <c r="Z6" s="9">
        <v>4.048</v>
      </c>
      <c r="AA6" s="9">
        <v>0</v>
      </c>
      <c r="AB6" s="9">
        <f t="shared" ref="AB6:AB8" si="6">$A6/(Z6+$A$11*AA6)</f>
        <v>7.9051383399209483</v>
      </c>
      <c r="AD6" s="9">
        <v>5.58</v>
      </c>
      <c r="AE6" s="9">
        <v>0</v>
      </c>
      <c r="AF6" s="9">
        <f t="shared" ref="AF6:AF7" si="7">$A6/(AD6+$A$11*AE6)</f>
        <v>5.7347670250896057</v>
      </c>
      <c r="AG6" s="9">
        <v>4.0030000000000001</v>
      </c>
      <c r="AH6" s="9">
        <v>0</v>
      </c>
      <c r="AI6" s="9">
        <f t="shared" ref="AI6:AI8" si="8">$A6/(AG6+$A$11*AH6)</f>
        <v>7.9940044966275288</v>
      </c>
      <c r="AJ6" s="9">
        <v>3.05</v>
      </c>
      <c r="AK6" s="9">
        <v>0</v>
      </c>
      <c r="AL6" s="9">
        <f t="shared" ref="AL6:AL8" si="9">$A6/(AJ6+$A$11*AK6)</f>
        <v>10.491803278688526</v>
      </c>
      <c r="AM6" s="9">
        <v>2.8029999999999999</v>
      </c>
      <c r="AN6" s="9">
        <v>0</v>
      </c>
      <c r="AO6" s="9">
        <f t="shared" ref="AO6:AO8" si="10">$A6/(AM6+$A$11*AN6)</f>
        <v>11.416339636104174</v>
      </c>
    </row>
    <row r="7" spans="1:41" ht="17" thickBot="1" x14ac:dyDescent="0.25">
      <c r="A7" s="9">
        <v>64</v>
      </c>
      <c r="D7" s="9" t="s">
        <v>22</v>
      </c>
      <c r="E7" s="9" t="s">
        <v>11</v>
      </c>
      <c r="F7" s="9" t="s">
        <v>11</v>
      </c>
      <c r="G7" s="12">
        <v>8.6560000000000006</v>
      </c>
      <c r="H7" s="13">
        <v>0</v>
      </c>
      <c r="I7" s="8">
        <f t="shared" si="0"/>
        <v>7.393715341959334</v>
      </c>
      <c r="J7" s="9">
        <v>8.6649999999999991</v>
      </c>
      <c r="K7" s="9">
        <v>0</v>
      </c>
      <c r="L7" s="9">
        <f t="shared" si="1"/>
        <v>7.3860357761107913</v>
      </c>
      <c r="M7" s="9">
        <v>9.1620000000000008</v>
      </c>
      <c r="N7" s="9">
        <v>0</v>
      </c>
      <c r="O7" s="9">
        <f t="shared" si="2"/>
        <v>6.9853743724077706</v>
      </c>
      <c r="Q7" s="12">
        <v>10.62</v>
      </c>
      <c r="R7" s="13">
        <v>0</v>
      </c>
      <c r="S7" s="8">
        <f t="shared" si="3"/>
        <v>6.0263653483992474</v>
      </c>
      <c r="T7" s="9">
        <v>7.2850000000000001</v>
      </c>
      <c r="U7" s="9">
        <v>0</v>
      </c>
      <c r="V7" s="9">
        <f t="shared" si="4"/>
        <v>8.7851750171585454</v>
      </c>
      <c r="W7" s="9">
        <v>6.1740000000000004</v>
      </c>
      <c r="X7" s="9">
        <v>0</v>
      </c>
      <c r="Y7" s="9">
        <f t="shared" si="5"/>
        <v>10.366051182377712</v>
      </c>
      <c r="Z7" s="9">
        <v>5.7939999999999996</v>
      </c>
      <c r="AA7" s="9">
        <v>0</v>
      </c>
      <c r="AB7" s="9">
        <f t="shared" si="6"/>
        <v>11.045909561615465</v>
      </c>
      <c r="AD7" s="12">
        <v>10.837999999999999</v>
      </c>
      <c r="AE7" s="13">
        <v>0</v>
      </c>
      <c r="AF7" s="8">
        <f t="shared" si="7"/>
        <v>5.9051485513932462</v>
      </c>
      <c r="AG7" s="9">
        <v>6.7474999999999996</v>
      </c>
      <c r="AH7" s="9">
        <v>0</v>
      </c>
      <c r="AI7" s="9">
        <f t="shared" si="8"/>
        <v>9.4849944423860695</v>
      </c>
      <c r="AJ7" s="9">
        <v>5.2089999999999996</v>
      </c>
      <c r="AK7" s="9">
        <v>0</v>
      </c>
      <c r="AL7" s="9">
        <f t="shared" si="9"/>
        <v>12.286427337300827</v>
      </c>
      <c r="AM7" s="9">
        <v>4.4109999999999996</v>
      </c>
      <c r="AN7" s="9">
        <v>0</v>
      </c>
      <c r="AO7" s="9">
        <f t="shared" si="10"/>
        <v>14.509181591475857</v>
      </c>
    </row>
    <row r="8" spans="1:41" ht="17" thickBot="1" x14ac:dyDescent="0.25">
      <c r="A8" s="9">
        <v>128</v>
      </c>
      <c r="D8" s="9" t="s">
        <v>22</v>
      </c>
      <c r="E8" s="9" t="s">
        <v>11</v>
      </c>
      <c r="F8" s="9" t="s">
        <v>11</v>
      </c>
      <c r="G8" s="9" t="s">
        <v>22</v>
      </c>
      <c r="H8" s="9" t="s">
        <v>11</v>
      </c>
      <c r="I8" s="9" t="s">
        <v>11</v>
      </c>
      <c r="J8" s="12">
        <v>14.589</v>
      </c>
      <c r="K8" s="13">
        <v>0</v>
      </c>
      <c r="L8" s="10">
        <f t="shared" si="1"/>
        <v>8.7737336349304265</v>
      </c>
      <c r="M8" s="12">
        <v>15.744</v>
      </c>
      <c r="N8" s="13">
        <v>0</v>
      </c>
      <c r="O8" s="8">
        <f t="shared" si="2"/>
        <v>8.1300813008130088</v>
      </c>
      <c r="Q8" s="9" t="s">
        <v>11</v>
      </c>
      <c r="R8" s="9" t="s">
        <v>11</v>
      </c>
      <c r="S8" s="9" t="s">
        <v>11</v>
      </c>
      <c r="T8" s="12">
        <v>13.596</v>
      </c>
      <c r="U8" s="13">
        <v>0</v>
      </c>
      <c r="V8" s="8">
        <f t="shared" si="4"/>
        <v>9.4145336863783466</v>
      </c>
      <c r="W8" s="12">
        <v>10.388</v>
      </c>
      <c r="X8" s="13">
        <v>0</v>
      </c>
      <c r="Y8" s="14">
        <f t="shared" si="5"/>
        <v>12.321909896033885</v>
      </c>
      <c r="Z8" s="12">
        <v>10.1</v>
      </c>
      <c r="AA8" s="13">
        <v>0</v>
      </c>
      <c r="AB8" s="5">
        <f t="shared" si="6"/>
        <v>12.673267326732674</v>
      </c>
      <c r="AD8" s="9" t="s">
        <v>11</v>
      </c>
      <c r="AE8" s="9" t="s">
        <v>23</v>
      </c>
      <c r="AF8" s="9" t="s">
        <v>11</v>
      </c>
      <c r="AG8" s="12">
        <v>12.348000000000001</v>
      </c>
      <c r="AH8" s="13">
        <v>0</v>
      </c>
      <c r="AI8" s="8">
        <f t="shared" si="8"/>
        <v>10.366051182377712</v>
      </c>
      <c r="AJ8" s="12">
        <v>8.3780000000000001</v>
      </c>
      <c r="AK8" s="13">
        <v>0</v>
      </c>
      <c r="AL8" s="8">
        <f t="shared" si="9"/>
        <v>15.278109333969921</v>
      </c>
      <c r="AM8" s="12">
        <v>7.407</v>
      </c>
      <c r="AN8" s="13">
        <v>0</v>
      </c>
      <c r="AO8" s="5">
        <f t="shared" si="10"/>
        <v>17.280950452274876</v>
      </c>
    </row>
    <row r="10" spans="1:41" x14ac:dyDescent="0.2">
      <c r="A10" s="9" t="s">
        <v>12</v>
      </c>
    </row>
    <row r="11" spans="1:41" x14ac:dyDescent="0.2">
      <c r="A11" s="9">
        <v>1</v>
      </c>
    </row>
    <row r="13" spans="1:41" x14ac:dyDescent="0.2">
      <c r="C13" s="1"/>
      <c r="D13" s="1" t="s">
        <v>31</v>
      </c>
      <c r="E13" s="1" t="s">
        <v>32</v>
      </c>
      <c r="F13" s="1" t="s">
        <v>33</v>
      </c>
      <c r="G13" s="1" t="s">
        <v>34</v>
      </c>
      <c r="H13" s="1" t="s">
        <v>35</v>
      </c>
    </row>
    <row r="14" spans="1:41" x14ac:dyDescent="0.2">
      <c r="C14" s="1">
        <v>2</v>
      </c>
      <c r="D14" s="24">
        <f>(334271-330715)/1000000</f>
        <v>3.5560000000000001E-3</v>
      </c>
      <c r="E14" s="24">
        <f>(1148798-1031591)/1000000</f>
        <v>0.11720700000000001</v>
      </c>
      <c r="F14" s="24">
        <f>14.589</f>
        <v>14.589</v>
      </c>
      <c r="G14" s="1">
        <v>6</v>
      </c>
      <c r="H14" s="25">
        <f>F15/F14</f>
        <v>4.9666049763520466E-2</v>
      </c>
    </row>
    <row r="15" spans="1:41" x14ac:dyDescent="0.2">
      <c r="C15" s="1"/>
      <c r="D15" s="1"/>
      <c r="E15" s="1"/>
      <c r="F15" s="1">
        <f>G14*(D14+E14)</f>
        <v>0.72457800000000006</v>
      </c>
      <c r="G15" s="1"/>
      <c r="H15" s="1"/>
    </row>
    <row r="16" spans="1:41" x14ac:dyDescent="0.2">
      <c r="C16" s="1"/>
      <c r="D16" s="1"/>
      <c r="E16" s="1"/>
      <c r="F16" s="1"/>
      <c r="G16" s="1"/>
      <c r="H16" s="1"/>
    </row>
    <row r="17" spans="3:8" x14ac:dyDescent="0.2">
      <c r="C17" s="1"/>
      <c r="D17" s="1"/>
      <c r="E17" s="1"/>
      <c r="F17" s="1"/>
      <c r="G17" s="1"/>
      <c r="H17" s="1"/>
    </row>
    <row r="18" spans="3:8" x14ac:dyDescent="0.2">
      <c r="C18" s="1"/>
      <c r="D18" s="1"/>
      <c r="E18" s="1"/>
      <c r="F18" s="1"/>
      <c r="G18" s="1"/>
      <c r="H18" s="1"/>
    </row>
    <row r="19" spans="3:8" x14ac:dyDescent="0.2">
      <c r="C19" s="1"/>
      <c r="D19" s="1"/>
      <c r="E19" s="1"/>
      <c r="F19" s="1"/>
      <c r="G19" s="1"/>
      <c r="H19" s="1"/>
    </row>
    <row r="20" spans="3:8" x14ac:dyDescent="0.2">
      <c r="C20" s="1"/>
      <c r="D20" s="1"/>
      <c r="E20" s="1"/>
      <c r="F20" s="1"/>
      <c r="G20" s="1"/>
      <c r="H20" s="1"/>
    </row>
    <row r="21" spans="3:8" x14ac:dyDescent="0.2">
      <c r="C21" s="1"/>
      <c r="D21" s="1"/>
      <c r="E21" s="1"/>
      <c r="F21" s="1"/>
      <c r="G21" s="1"/>
      <c r="H21" s="1"/>
    </row>
    <row r="22" spans="3:8" x14ac:dyDescent="0.2">
      <c r="C22" s="1"/>
      <c r="D22" s="1"/>
      <c r="E22" s="1"/>
      <c r="F22" s="1"/>
      <c r="G22" s="1"/>
      <c r="H22" s="1"/>
    </row>
    <row r="23" spans="3:8" x14ac:dyDescent="0.2">
      <c r="C23" s="1">
        <v>4</v>
      </c>
      <c r="D23" s="24">
        <f>(178739-154507)/1000000</f>
        <v>2.4232E-2</v>
      </c>
      <c r="E23" s="24">
        <f>(589791-540726)/1000000</f>
        <v>4.9064999999999998E-2</v>
      </c>
      <c r="F23" s="24">
        <v>10.388</v>
      </c>
      <c r="G23" s="1">
        <v>6</v>
      </c>
      <c r="H23" s="25">
        <f>F24/F23</f>
        <v>0.10700288794763189</v>
      </c>
    </row>
    <row r="24" spans="3:8" x14ac:dyDescent="0.2">
      <c r="C24" s="1"/>
      <c r="D24" s="24">
        <f>(178739-154507)/1000000</f>
        <v>2.4232E-2</v>
      </c>
      <c r="E24" s="24">
        <f>(589791-540726)/1000000</f>
        <v>4.9064999999999998E-2</v>
      </c>
      <c r="F24" s="1">
        <f>(2*(D23+D24+D26+D27+E23+E24+E26+E27)+2*(D25+E25))</f>
        <v>1.1115460000000001</v>
      </c>
      <c r="G24" s="1"/>
      <c r="H24" s="1"/>
    </row>
    <row r="25" spans="3:8" x14ac:dyDescent="0.2">
      <c r="C25" s="1"/>
      <c r="D25" s="24">
        <f>(178739-154507)/1000000</f>
        <v>2.4232E-2</v>
      </c>
      <c r="E25" s="24">
        <f>(589791-462119)/1000000</f>
        <v>0.12767200000000001</v>
      </c>
      <c r="F25" s="1"/>
      <c r="G25" s="1"/>
      <c r="H25" s="1"/>
    </row>
    <row r="26" spans="3:8" x14ac:dyDescent="0.2">
      <c r="C26" s="1"/>
      <c r="D26" s="24">
        <f>(178739-164005)/1000000</f>
        <v>1.4734000000000001E-2</v>
      </c>
      <c r="E26" s="24">
        <f>(579137-462119)/1000000</f>
        <v>0.117018</v>
      </c>
      <c r="F26" s="1"/>
      <c r="G26" s="1"/>
      <c r="H26" s="1"/>
    </row>
    <row r="27" spans="3:8" x14ac:dyDescent="0.2">
      <c r="C27" s="1"/>
      <c r="D27" s="24">
        <f>(172510-164005)/1000000</f>
        <v>8.5050000000000004E-3</v>
      </c>
      <c r="E27" s="24">
        <f>(579137-462119)/1000000</f>
        <v>0.117018</v>
      </c>
      <c r="F27" s="1"/>
      <c r="G27" s="1"/>
      <c r="H27" s="1"/>
    </row>
    <row r="28" spans="3:8" x14ac:dyDescent="0.2">
      <c r="C28" s="1"/>
      <c r="D28" s="1"/>
      <c r="E28" s="1"/>
      <c r="F28" s="1"/>
      <c r="G28" s="1"/>
      <c r="H28" s="1"/>
    </row>
    <row r="29" spans="3:8" x14ac:dyDescent="0.2">
      <c r="C29" s="1">
        <v>8</v>
      </c>
      <c r="D29" s="24">
        <f>(78233-74322)/1000000</f>
        <v>3.9110000000000004E-3</v>
      </c>
      <c r="E29" s="24">
        <f>(327738-244021)/1000000</f>
        <v>8.3717E-2</v>
      </c>
      <c r="F29" s="24">
        <v>8.3780000000000001</v>
      </c>
      <c r="G29" s="1">
        <v>14</v>
      </c>
      <c r="H29" s="25">
        <f>F30/F29</f>
        <v>0.16066221055144422</v>
      </c>
    </row>
    <row r="30" spans="3:8" x14ac:dyDescent="0.2">
      <c r="C30" s="1"/>
      <c r="D30" s="24">
        <f>(88009-74322)/1000000</f>
        <v>1.3687E-2</v>
      </c>
      <c r="E30" s="24">
        <f>(327738-244021)/1000000</f>
        <v>8.3717E-2</v>
      </c>
      <c r="F30" s="1">
        <f>2*SUM(D29:E37)</f>
        <v>1.3460279999999998</v>
      </c>
      <c r="G30" s="1"/>
      <c r="H30" s="1"/>
    </row>
    <row r="31" spans="3:8" x14ac:dyDescent="0.2">
      <c r="C31" s="1"/>
      <c r="D31" s="24">
        <f>(88009-74322)/1000000</f>
        <v>1.3687E-2</v>
      </c>
      <c r="E31" s="24">
        <f>(327738-244021)/1000000</f>
        <v>8.3717E-2</v>
      </c>
      <c r="F31" s="1"/>
      <c r="G31" s="1"/>
      <c r="H31" s="1"/>
    </row>
    <row r="32" spans="3:8" x14ac:dyDescent="0.2">
      <c r="C32" s="1"/>
      <c r="D32" s="24">
        <f>(88009-74928)/1000000</f>
        <v>1.3081000000000001E-2</v>
      </c>
      <c r="E32" s="24">
        <f>(290004-244021)/1000000</f>
        <v>4.5983000000000003E-2</v>
      </c>
      <c r="F32" s="1"/>
      <c r="G32" s="1"/>
      <c r="H32" s="1"/>
    </row>
    <row r="33" spans="3:13" x14ac:dyDescent="0.2">
      <c r="C33" s="1"/>
      <c r="D33" s="24">
        <f>(88009-74928)/1000000</f>
        <v>1.3081000000000001E-2</v>
      </c>
      <c r="E33" s="24">
        <f>(293586-247334)/1000000</f>
        <v>4.6252000000000001E-2</v>
      </c>
      <c r="F33" s="1"/>
      <c r="G33" s="1"/>
      <c r="H33" s="1"/>
    </row>
    <row r="34" spans="3:13" x14ac:dyDescent="0.2">
      <c r="C34" s="1"/>
      <c r="D34" s="24">
        <f>(87016-74928)/1000000</f>
        <v>1.2088E-2</v>
      </c>
      <c r="E34" s="24">
        <f>(293586-244985)/1000000</f>
        <v>4.8600999999999998E-2</v>
      </c>
      <c r="F34" s="1"/>
      <c r="G34" s="1"/>
      <c r="H34" s="1"/>
    </row>
    <row r="35" spans="3:13" x14ac:dyDescent="0.2">
      <c r="C35" s="1"/>
      <c r="D35" s="24">
        <f>(89468-74928)/1000000</f>
        <v>1.4540000000000001E-2</v>
      </c>
      <c r="E35" s="24">
        <f>(293586-219227)/1000000</f>
        <v>7.4358999999999995E-2</v>
      </c>
      <c r="F35" s="1"/>
      <c r="G35" s="1"/>
      <c r="H35" s="1"/>
    </row>
    <row r="36" spans="3:13" x14ac:dyDescent="0.2">
      <c r="C36" s="1"/>
      <c r="D36" s="24">
        <f>(89468-78230)/1000000</f>
        <v>1.1238E-2</v>
      </c>
      <c r="E36" s="24">
        <f>(293586-219227)/1000000</f>
        <v>7.4358999999999995E-2</v>
      </c>
      <c r="F36" s="1"/>
      <c r="G36" s="1"/>
      <c r="H36" s="1"/>
    </row>
    <row r="37" spans="3:13" x14ac:dyDescent="0.2">
      <c r="C37" s="1"/>
      <c r="D37" s="24">
        <f>(89468-78230)/1000000</f>
        <v>1.1238E-2</v>
      </c>
      <c r="E37" s="24">
        <f>(244985-219227)/1000000</f>
        <v>2.5758E-2</v>
      </c>
      <c r="F37" s="1"/>
      <c r="G37" s="1"/>
      <c r="H37" s="1"/>
    </row>
    <row r="38" spans="3:13" x14ac:dyDescent="0.2">
      <c r="C38" s="1"/>
      <c r="D38" s="24"/>
      <c r="E38" s="24"/>
      <c r="F38" s="1"/>
      <c r="G38" s="1"/>
      <c r="H38" s="1"/>
      <c r="L38" s="24">
        <f>(46754-46671)/1000000</f>
        <v>8.2999999999999998E-5</v>
      </c>
      <c r="M38" s="1">
        <f>(225074-143498)/1000000</f>
        <v>8.1575999999999996E-2</v>
      </c>
    </row>
    <row r="39" spans="3:13" x14ac:dyDescent="0.2">
      <c r="C39" s="1"/>
      <c r="D39" s="24"/>
      <c r="E39" s="1"/>
      <c r="F39" s="1"/>
      <c r="G39" s="1"/>
      <c r="H39" s="1"/>
      <c r="L39" s="24">
        <f>(48346-46671)/1000000</f>
        <v>1.6750000000000001E-3</v>
      </c>
      <c r="M39" s="1">
        <f>(225074-143174)/1000000</f>
        <v>8.1900000000000001E-2</v>
      </c>
    </row>
    <row r="40" spans="3:13" x14ac:dyDescent="0.2">
      <c r="C40" s="1"/>
      <c r="D40" s="24"/>
      <c r="E40" s="1"/>
      <c r="F40" s="1"/>
      <c r="G40" s="1"/>
      <c r="H40" s="1"/>
      <c r="L40" s="24">
        <f>(48346-42616)/1000000</f>
        <v>5.7299999999999999E-3</v>
      </c>
      <c r="M40" s="1">
        <f>(225074-143174)/1000000</f>
        <v>8.1900000000000001E-2</v>
      </c>
    </row>
    <row r="41" spans="3:13" x14ac:dyDescent="0.2">
      <c r="C41" s="1"/>
      <c r="D41" s="24"/>
      <c r="E41" s="1"/>
      <c r="F41" s="1"/>
      <c r="G41" s="1"/>
      <c r="H41" s="1"/>
      <c r="L41" s="24">
        <f>(49911-42616)/1000000</f>
        <v>7.2950000000000003E-3</v>
      </c>
      <c r="M41" s="1">
        <f>(225074-143174)/1000000</f>
        <v>8.1900000000000001E-2</v>
      </c>
    </row>
    <row r="42" spans="3:13" x14ac:dyDescent="0.2">
      <c r="L42" s="24">
        <f>(52705-42216)/1000000</f>
        <v>1.0489E-2</v>
      </c>
      <c r="M42" s="1">
        <f>(225074-143174)/1000000</f>
        <v>8.1900000000000001E-2</v>
      </c>
    </row>
    <row r="43" spans="3:13" x14ac:dyDescent="0.2">
      <c r="L43" s="24">
        <f>(52705-42216)/1000000</f>
        <v>1.0489E-2</v>
      </c>
      <c r="M43" s="1">
        <f>(225074-137884)/1000000</f>
        <v>8.7190000000000004E-2</v>
      </c>
    </row>
    <row r="44" spans="3:13" x14ac:dyDescent="0.2">
      <c r="L44" s="24">
        <f>(55353-42216)/1000000</f>
        <v>1.3136999999999999E-2</v>
      </c>
      <c r="M44" s="1">
        <f>(225074-137545)/1000000</f>
        <v>8.7528999999999996E-2</v>
      </c>
    </row>
    <row r="45" spans="3:13" x14ac:dyDescent="0.2">
      <c r="L45" s="24">
        <f>(55353-42216)/1000000</f>
        <v>1.3136999999999999E-2</v>
      </c>
      <c r="M45" s="1">
        <f>(167824-137884)/1000000</f>
        <v>2.9940000000000001E-2</v>
      </c>
    </row>
    <row r="46" spans="3:13" x14ac:dyDescent="0.2">
      <c r="L46" s="24">
        <f>(55353-42216)/1000000</f>
        <v>1.3136999999999999E-2</v>
      </c>
      <c r="M46" s="1">
        <f>(167824-137884)/1000000</f>
        <v>2.9940000000000001E-2</v>
      </c>
    </row>
    <row r="47" spans="3:13" x14ac:dyDescent="0.2">
      <c r="L47" s="24">
        <f>(55353-42216)/1000000</f>
        <v>1.3136999999999999E-2</v>
      </c>
      <c r="M47" s="1">
        <f>(167824-137884)/1000000</f>
        <v>2.9940000000000001E-2</v>
      </c>
    </row>
    <row r="48" spans="3:13" x14ac:dyDescent="0.2">
      <c r="L48" s="24">
        <f>(55353-49911)/1000000</f>
        <v>5.4419999999999998E-3</v>
      </c>
      <c r="M48" s="1">
        <f>(167446-137884)/1000000</f>
        <v>2.9562000000000001E-2</v>
      </c>
    </row>
    <row r="49" spans="12:13" x14ac:dyDescent="0.2">
      <c r="L49" s="24">
        <f>(55353-52359)/1000000</f>
        <v>2.9940000000000001E-3</v>
      </c>
      <c r="M49" s="1">
        <f>(167446-137884)/1000000</f>
        <v>2.9562000000000001E-2</v>
      </c>
    </row>
    <row r="50" spans="12:13" x14ac:dyDescent="0.2">
      <c r="L50" s="24">
        <f>(55353-52359)/1000000</f>
        <v>2.9940000000000001E-3</v>
      </c>
      <c r="M50" s="1">
        <f>(137884-137545)/1000000</f>
        <v>3.39E-4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"/>
  <sheetViews>
    <sheetView topLeftCell="B1" workbookViewId="0">
      <selection activeCell="F15" sqref="F15"/>
    </sheetView>
  </sheetViews>
  <sheetFormatPr baseColWidth="10" defaultColWidth="8.6640625" defaultRowHeight="16" x14ac:dyDescent="0.2"/>
  <cols>
    <col min="1" max="2" width="15.83203125" style="1" customWidth="1"/>
    <col min="3" max="16384" width="8.6640625" style="1"/>
  </cols>
  <sheetData>
    <row r="1" spans="1:17" x14ac:dyDescent="0.2">
      <c r="A1" s="1" t="s">
        <v>5</v>
      </c>
      <c r="G1" s="1">
        <f>2*(G3-1)/G3</f>
        <v>1</v>
      </c>
      <c r="K1" s="1">
        <f>2*(K3-1)/K3</f>
        <v>1.5</v>
      </c>
      <c r="O1" s="1">
        <f>2*(O3-1)/O3</f>
        <v>1.75</v>
      </c>
    </row>
    <row r="2" spans="1:17" x14ac:dyDescent="0.2">
      <c r="C2" s="9" t="s">
        <v>7</v>
      </c>
      <c r="D2" s="9" t="s">
        <v>8</v>
      </c>
      <c r="E2" s="9" t="s">
        <v>6</v>
      </c>
      <c r="G2" s="9" t="s">
        <v>7</v>
      </c>
      <c r="H2" s="9" t="s">
        <v>8</v>
      </c>
      <c r="I2" s="9" t="s">
        <v>6</v>
      </c>
      <c r="J2" s="9"/>
      <c r="K2" s="9" t="s">
        <v>7</v>
      </c>
      <c r="L2" s="9" t="s">
        <v>8</v>
      </c>
      <c r="M2" s="9" t="s">
        <v>6</v>
      </c>
      <c r="N2" s="9"/>
      <c r="O2" s="9" t="s">
        <v>7</v>
      </c>
      <c r="P2" s="9" t="s">
        <v>8</v>
      </c>
      <c r="Q2" s="9" t="s">
        <v>6</v>
      </c>
    </row>
    <row r="3" spans="1:17" x14ac:dyDescent="0.2">
      <c r="A3" s="1" t="s">
        <v>3</v>
      </c>
      <c r="C3" s="1">
        <v>1</v>
      </c>
      <c r="G3" s="1">
        <v>2</v>
      </c>
      <c r="K3" s="1">
        <v>4</v>
      </c>
      <c r="O3" s="1">
        <v>8</v>
      </c>
    </row>
    <row r="4" spans="1:17" x14ac:dyDescent="0.2">
      <c r="A4" s="1" t="s">
        <v>4</v>
      </c>
      <c r="B4" s="1">
        <v>1</v>
      </c>
      <c r="C4" s="1" t="s">
        <v>20</v>
      </c>
      <c r="D4" s="1" t="s">
        <v>13</v>
      </c>
      <c r="E4" s="1" t="s">
        <v>21</v>
      </c>
      <c r="G4" s="1" t="s">
        <v>20</v>
      </c>
      <c r="H4" s="1" t="s">
        <v>13</v>
      </c>
      <c r="I4" s="1" t="s">
        <v>21</v>
      </c>
      <c r="K4" s="1" t="s">
        <v>20</v>
      </c>
      <c r="L4" s="1" t="s">
        <v>13</v>
      </c>
      <c r="M4" s="1" t="s">
        <v>21</v>
      </c>
      <c r="O4" s="1" t="s">
        <v>20</v>
      </c>
      <c r="P4" s="1" t="s">
        <v>13</v>
      </c>
      <c r="Q4" s="1" t="s">
        <v>21</v>
      </c>
    </row>
    <row r="5" spans="1:17" x14ac:dyDescent="0.2">
      <c r="B5" s="1">
        <v>2</v>
      </c>
      <c r="C5">
        <v>0.23899999999999999</v>
      </c>
      <c r="D5" s="1">
        <v>0</v>
      </c>
      <c r="E5" s="1">
        <f t="shared" ref="E5:E7" si="0">$B5/(C5+$A$11*D5)</f>
        <v>8.3682008368200833</v>
      </c>
      <c r="G5" s="1" t="s">
        <v>20</v>
      </c>
      <c r="H5" s="1" t="s">
        <v>13</v>
      </c>
      <c r="I5" s="1" t="s">
        <v>21</v>
      </c>
      <c r="K5" s="1" t="s">
        <v>20</v>
      </c>
      <c r="L5" s="1" t="s">
        <v>13</v>
      </c>
      <c r="M5" s="1" t="s">
        <v>21</v>
      </c>
      <c r="O5" s="1" t="s">
        <v>20</v>
      </c>
      <c r="P5" s="1" t="s">
        <v>13</v>
      </c>
      <c r="Q5" s="1" t="s">
        <v>21</v>
      </c>
    </row>
    <row r="6" spans="1:17" x14ac:dyDescent="0.2">
      <c r="B6" s="1">
        <v>4</v>
      </c>
      <c r="C6">
        <v>0.42599999999999999</v>
      </c>
      <c r="D6" s="1">
        <v>0</v>
      </c>
      <c r="E6" s="1">
        <f t="shared" si="0"/>
        <v>9.3896713615023479</v>
      </c>
      <c r="G6">
        <v>0.23899999999999999</v>
      </c>
      <c r="H6" s="1">
        <v>0.32500000000000001</v>
      </c>
      <c r="I6" s="1">
        <f>$B6/(G6+$G$1*H6)</f>
        <v>7.0921985815602833</v>
      </c>
      <c r="K6" s="1" t="s">
        <v>20</v>
      </c>
      <c r="L6" s="1" t="s">
        <v>13</v>
      </c>
      <c r="M6" s="1" t="s">
        <v>21</v>
      </c>
      <c r="O6" s="1" t="s">
        <v>20</v>
      </c>
      <c r="P6" s="1" t="s">
        <v>13</v>
      </c>
      <c r="Q6" s="1" t="s">
        <v>21</v>
      </c>
    </row>
    <row r="7" spans="1:17" x14ac:dyDescent="0.2">
      <c r="B7" s="1">
        <v>8</v>
      </c>
      <c r="C7">
        <f>0.74</f>
        <v>0.74</v>
      </c>
      <c r="D7" s="1">
        <v>0</v>
      </c>
      <c r="E7" s="2">
        <f t="shared" si="0"/>
        <v>10.810810810810811</v>
      </c>
      <c r="G7">
        <v>0.42599999999999999</v>
      </c>
      <c r="H7" s="1">
        <v>0.32500000000000001</v>
      </c>
      <c r="I7" s="1">
        <f>$B7/(G7+$G$1*H7)</f>
        <v>10.652463382157125</v>
      </c>
      <c r="K7">
        <v>0.23899999999999999</v>
      </c>
      <c r="L7" s="1">
        <v>0.32500000000000001</v>
      </c>
      <c r="M7" s="1">
        <f>$B7/(K7+$K$1*L7)</f>
        <v>11.011699931176874</v>
      </c>
      <c r="O7" s="1" t="s">
        <v>20</v>
      </c>
      <c r="P7" s="1" t="s">
        <v>13</v>
      </c>
      <c r="Q7" s="1" t="s">
        <v>21</v>
      </c>
    </row>
    <row r="8" spans="1:17" x14ac:dyDescent="0.2">
      <c r="B8" s="1">
        <v>16</v>
      </c>
      <c r="C8" s="1" t="s">
        <v>20</v>
      </c>
      <c r="D8" s="1" t="s">
        <v>13</v>
      </c>
      <c r="E8" s="1" t="s">
        <v>21</v>
      </c>
      <c r="G8">
        <f>0.74</f>
        <v>0.74</v>
      </c>
      <c r="H8" s="1">
        <v>0.32500000000000001</v>
      </c>
      <c r="I8" s="2">
        <f>$B8/(G8+$G$1*H8)</f>
        <v>15.023474178403756</v>
      </c>
      <c r="K8">
        <v>0.42599999999999999</v>
      </c>
      <c r="L8" s="1">
        <v>0.32500000000000001</v>
      </c>
      <c r="M8" s="2">
        <f t="shared" ref="M8" si="1">$B8/(K8+$K$1*L8)</f>
        <v>17.51505199781062</v>
      </c>
      <c r="O8" s="1">
        <v>0.52600000000000002</v>
      </c>
      <c r="P8" s="1">
        <v>0.32500000000000001</v>
      </c>
      <c r="Q8" s="2">
        <f>$B8/(O8+$O$1*P8)</f>
        <v>14.615208951815484</v>
      </c>
    </row>
    <row r="9" spans="1:17" x14ac:dyDescent="0.2">
      <c r="M9" s="23"/>
    </row>
    <row r="10" spans="1:17" x14ac:dyDescent="0.2">
      <c r="A10" s="1" t="s">
        <v>12</v>
      </c>
    </row>
    <row r="11" spans="1:17" x14ac:dyDescent="0.2">
      <c r="A1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1"/>
  <sheetViews>
    <sheetView topLeftCell="A2" zoomScale="75" workbookViewId="0">
      <pane xSplit="1" topLeftCell="J1" activePane="topRight" state="frozen"/>
      <selection pane="topRight" activeCell="X14" sqref="X14"/>
    </sheetView>
  </sheetViews>
  <sheetFormatPr baseColWidth="10" defaultColWidth="8.6640625" defaultRowHeight="16" x14ac:dyDescent="0.2"/>
  <cols>
    <col min="1" max="1" width="17.33203125" style="9" customWidth="1"/>
    <col min="2" max="2" width="16.33203125" style="9" customWidth="1"/>
    <col min="3" max="8" width="8.6640625" style="9"/>
    <col min="9" max="11" width="8.6640625" style="9" customWidth="1"/>
    <col min="12" max="12" width="17.6640625" style="9" customWidth="1"/>
    <col min="13" max="13" width="26" style="9" customWidth="1"/>
    <col min="14" max="16384" width="8.6640625" style="9"/>
  </cols>
  <sheetData>
    <row r="1" spans="1:41" x14ac:dyDescent="0.2">
      <c r="A1" s="9" t="s">
        <v>0</v>
      </c>
      <c r="D1" s="9" t="s">
        <v>9</v>
      </c>
    </row>
    <row r="2" spans="1:41" x14ac:dyDescent="0.2">
      <c r="D2" s="9" t="s">
        <v>7</v>
      </c>
      <c r="E2" s="9" t="s">
        <v>8</v>
      </c>
      <c r="F2" s="9" t="s">
        <v>6</v>
      </c>
      <c r="G2" s="9" t="s">
        <v>7</v>
      </c>
      <c r="H2" s="9" t="s">
        <v>8</v>
      </c>
      <c r="I2" s="9" t="s">
        <v>6</v>
      </c>
      <c r="J2" s="9" t="s">
        <v>7</v>
      </c>
      <c r="K2" s="9" t="s">
        <v>8</v>
      </c>
      <c r="L2" s="9" t="s">
        <v>6</v>
      </c>
      <c r="M2" s="9" t="s">
        <v>7</v>
      </c>
      <c r="N2" s="9" t="s">
        <v>8</v>
      </c>
      <c r="O2" s="9" t="s">
        <v>6</v>
      </c>
      <c r="Q2" s="9" t="s">
        <v>7</v>
      </c>
      <c r="R2" s="9" t="s">
        <v>8</v>
      </c>
      <c r="S2" s="9" t="s">
        <v>6</v>
      </c>
      <c r="T2" s="9" t="s">
        <v>7</v>
      </c>
      <c r="U2" s="9" t="s">
        <v>8</v>
      </c>
      <c r="V2" s="9" t="s">
        <v>6</v>
      </c>
      <c r="W2" s="9" t="s">
        <v>7</v>
      </c>
      <c r="X2" s="9" t="s">
        <v>8</v>
      </c>
      <c r="Y2" s="9" t="s">
        <v>6</v>
      </c>
      <c r="Z2" s="9" t="s">
        <v>7</v>
      </c>
      <c r="AA2" s="9" t="s">
        <v>8</v>
      </c>
      <c r="AB2" s="9" t="s">
        <v>6</v>
      </c>
      <c r="AD2" s="9" t="s">
        <v>7</v>
      </c>
      <c r="AE2" s="9" t="s">
        <v>8</v>
      </c>
      <c r="AF2" s="9" t="s">
        <v>6</v>
      </c>
      <c r="AG2" s="9" t="s">
        <v>7</v>
      </c>
      <c r="AH2" s="9" t="s">
        <v>8</v>
      </c>
      <c r="AI2" s="9" t="s">
        <v>6</v>
      </c>
      <c r="AJ2" s="9" t="s">
        <v>7</v>
      </c>
      <c r="AK2" s="9" t="s">
        <v>8</v>
      </c>
      <c r="AL2" s="9" t="s">
        <v>6</v>
      </c>
      <c r="AM2" s="9" t="s">
        <v>7</v>
      </c>
      <c r="AN2" s="9" t="s">
        <v>8</v>
      </c>
      <c r="AO2" s="9" t="s">
        <v>6</v>
      </c>
    </row>
    <row r="3" spans="1:41" x14ac:dyDescent="0.2">
      <c r="B3" s="9" t="s">
        <v>1</v>
      </c>
      <c r="D3" s="9">
        <v>2</v>
      </c>
      <c r="Q3" s="9">
        <v>4</v>
      </c>
      <c r="AD3" s="9">
        <v>8</v>
      </c>
    </row>
    <row r="4" spans="1:41" ht="17" thickBot="1" x14ac:dyDescent="0.25">
      <c r="B4" s="9" t="s">
        <v>2</v>
      </c>
      <c r="D4" s="9">
        <v>2</v>
      </c>
      <c r="G4" s="9">
        <v>4</v>
      </c>
      <c r="J4" s="9">
        <v>8</v>
      </c>
      <c r="M4" s="9">
        <v>16</v>
      </c>
      <c r="Q4" s="9">
        <v>2</v>
      </c>
      <c r="T4" s="9">
        <v>4</v>
      </c>
      <c r="W4" s="9">
        <v>8</v>
      </c>
      <c r="Z4" s="9">
        <v>16</v>
      </c>
      <c r="AD4" s="9">
        <v>2</v>
      </c>
      <c r="AG4" s="9">
        <v>4</v>
      </c>
      <c r="AJ4" s="9">
        <v>8</v>
      </c>
      <c r="AM4" s="9">
        <v>16</v>
      </c>
    </row>
    <row r="5" spans="1:41" ht="17" thickBot="1" x14ac:dyDescent="0.25">
      <c r="A5" s="9">
        <v>16</v>
      </c>
      <c r="D5" s="9">
        <v>2.0219999999999998</v>
      </c>
      <c r="E5" s="9">
        <v>0</v>
      </c>
      <c r="F5" s="9">
        <f>$A5/(D5+$A$11*E5)</f>
        <v>7.9129574678536114</v>
      </c>
      <c r="G5" s="9">
        <v>1.2130000000000001</v>
      </c>
      <c r="H5" s="9">
        <f>1.536-G5</f>
        <v>0.32299999999999995</v>
      </c>
      <c r="I5" s="9">
        <f>$A5/(G5+$A$11*H5)</f>
        <v>10.416666666666666</v>
      </c>
      <c r="J5" s="9">
        <v>1.385</v>
      </c>
      <c r="K5" s="9">
        <f>1.688-J5</f>
        <v>0.30299999999999994</v>
      </c>
      <c r="L5" s="9">
        <f>$A5/(J5+$A$11*K5)</f>
        <v>9.4786729857819907</v>
      </c>
      <c r="M5" s="9">
        <v>2.7789999999999999</v>
      </c>
      <c r="N5" s="9">
        <f>3.047-M5</f>
        <v>0.26800000000000024</v>
      </c>
      <c r="O5" s="9">
        <f>$A5/(M5+$A$11*N5)</f>
        <v>5.2510666229077776</v>
      </c>
      <c r="Q5" s="12">
        <v>0.91200000000000003</v>
      </c>
      <c r="R5" s="13">
        <f>0.927-Q5</f>
        <v>1.5000000000000013E-2</v>
      </c>
      <c r="S5" s="8">
        <f>$A5/(Q5+$A$11*R5)</f>
        <v>17.259978425026969</v>
      </c>
      <c r="T5" s="9">
        <v>0.69099999999999995</v>
      </c>
      <c r="U5" s="9">
        <f>1.014-T5</f>
        <v>0.32300000000000006</v>
      </c>
      <c r="V5" s="9">
        <f>$A5/(T5+1.5*U5)</f>
        <v>13.611229264142919</v>
      </c>
      <c r="W5" s="9">
        <v>1.383</v>
      </c>
      <c r="X5" s="9">
        <f>1.704-W5</f>
        <v>0.32099999999999995</v>
      </c>
      <c r="Y5" s="9">
        <f>$A5/(W5+1.5*X5)</f>
        <v>8.5813891123625634</v>
      </c>
      <c r="Z5" s="9">
        <v>2.7650000000000001</v>
      </c>
      <c r="AA5" s="9">
        <f>3.069-Z5</f>
        <v>0.30399999999999983</v>
      </c>
      <c r="AB5" s="9">
        <f>$A5/(Z5+1.5*AA5)</f>
        <v>4.9674014281279106</v>
      </c>
      <c r="AD5" s="12">
        <v>0.54700000000000004</v>
      </c>
      <c r="AE5" s="13">
        <f>0.867-AD5</f>
        <v>0.31999999999999995</v>
      </c>
      <c r="AF5" s="8">
        <f>$A5/(AD5+1.75*AE5)</f>
        <v>14.453477868112016</v>
      </c>
      <c r="AG5" s="9">
        <v>0.69099999999999995</v>
      </c>
      <c r="AH5" s="9">
        <f>1.017-AG5</f>
        <v>0.32599999999999996</v>
      </c>
      <c r="AI5" s="9">
        <f>$A5/(AG5+1.75*AH5)</f>
        <v>12.683313515655966</v>
      </c>
      <c r="AJ5" s="9">
        <v>1.3819999999999999</v>
      </c>
      <c r="AK5" s="9">
        <f>1.705-AJ5</f>
        <v>0.32300000000000018</v>
      </c>
      <c r="AL5" s="9">
        <f>$A5/(AJ5+1.75*AK5)</f>
        <v>8.2167158813711634</v>
      </c>
      <c r="AM5" s="9">
        <v>2.7639999999999998</v>
      </c>
      <c r="AN5" s="9">
        <f>3.032-AM5</f>
        <v>0.26800000000000024</v>
      </c>
      <c r="AO5" s="9">
        <f>$A5/(AM5+1.5*AN5)</f>
        <v>5.0536955148452298</v>
      </c>
    </row>
    <row r="6" spans="1:41" ht="17" thickBot="1" x14ac:dyDescent="0.25">
      <c r="A6" s="9">
        <v>32</v>
      </c>
      <c r="D6" s="15">
        <v>3.117</v>
      </c>
      <c r="E6" s="16">
        <v>0</v>
      </c>
      <c r="F6" s="14">
        <f t="shared" ref="F6" si="0">$A6/(D6+$A$11*E6)</f>
        <v>10.266281681103626</v>
      </c>
      <c r="G6" s="9">
        <v>3.1190000000000002</v>
      </c>
      <c r="H6" s="9">
        <v>0</v>
      </c>
      <c r="I6" s="9">
        <f t="shared" ref="I6:I7" si="1">$A6/(G6+$A$11*H6)</f>
        <v>10.259698621352998</v>
      </c>
      <c r="J6" s="9">
        <v>2.4329999999999998</v>
      </c>
      <c r="K6" s="9">
        <f>2.754-J6</f>
        <v>0.32100000000000017</v>
      </c>
      <c r="L6" s="9">
        <f t="shared" ref="L6:L8" si="2">$A6/(J6+$A$11*K6)</f>
        <v>11.619462599854756</v>
      </c>
      <c r="M6" s="9">
        <v>2.7709999999999999</v>
      </c>
      <c r="N6" s="9">
        <f>3.078-M6</f>
        <v>0.30699999999999994</v>
      </c>
      <c r="O6" s="9">
        <f t="shared" ref="O6:O8" si="3">$A6/(M6+$A$11*N6)</f>
        <v>10.396361273554257</v>
      </c>
      <c r="Q6" s="9">
        <v>3.0529999999999999</v>
      </c>
      <c r="R6" s="9">
        <v>0</v>
      </c>
      <c r="S6" s="9">
        <f t="shared" ref="S6" si="4">$A6/(Q6+$A$11*R6)</f>
        <v>10.481493612839829</v>
      </c>
      <c r="T6" s="12">
        <v>1.4390000000000001</v>
      </c>
      <c r="U6" s="13">
        <f>1.454-T6</f>
        <v>1.4999999999999902E-2</v>
      </c>
      <c r="V6" s="8">
        <f t="shared" ref="V6:V7" si="5">$A6/(T6+U6)</f>
        <v>22.008253094910593</v>
      </c>
      <c r="W6" s="9">
        <v>1.3819999999999999</v>
      </c>
      <c r="X6" s="9">
        <f>1.704-W6</f>
        <v>0.32200000000000006</v>
      </c>
      <c r="Y6" s="9">
        <f>$A6/(W6+1.5*X6)</f>
        <v>17.158176943699733</v>
      </c>
      <c r="Z6" s="9">
        <v>2.7719999999999998</v>
      </c>
      <c r="AA6" s="9">
        <f>3.095-Z6</f>
        <v>0.3230000000000004</v>
      </c>
      <c r="AB6" s="9">
        <f t="shared" ref="AB6:AB7" si="6">$A6/(Z6+1.5*AA6)</f>
        <v>9.8265008444649151</v>
      </c>
      <c r="AD6" s="9">
        <v>2.476</v>
      </c>
      <c r="AE6" s="9">
        <v>0</v>
      </c>
      <c r="AF6" s="9">
        <f t="shared" ref="AF6" si="7">$A6/(AD6+$A$11*AE6)</f>
        <v>12.924071082390954</v>
      </c>
      <c r="AG6" s="12">
        <v>0.89700000000000002</v>
      </c>
      <c r="AH6" s="13">
        <f>1.1625-AG6</f>
        <v>0.26550000000000007</v>
      </c>
      <c r="AI6" s="8">
        <f>$A6/(AG6+1.5*AH6)</f>
        <v>24.705655278903681</v>
      </c>
      <c r="AJ6" s="9">
        <v>1.383</v>
      </c>
      <c r="AK6" s="9">
        <f>1.658-AJ6</f>
        <v>0.27499999999999991</v>
      </c>
      <c r="AL6" s="9">
        <f>$A6/(AJ6+1.5*AK6)</f>
        <v>17.822333611807299</v>
      </c>
      <c r="AM6" s="9">
        <v>2.7730000000000001</v>
      </c>
      <c r="AN6" s="9">
        <f>3.1-AM6</f>
        <v>0.32699999999999996</v>
      </c>
      <c r="AO6" s="9">
        <f>$A6/(AM6+1.75*AN6)</f>
        <v>9.5658022569314696</v>
      </c>
    </row>
    <row r="7" spans="1:41" ht="17" thickBot="1" x14ac:dyDescent="0.25">
      <c r="A7" s="9">
        <v>64</v>
      </c>
      <c r="D7" s="9" t="s">
        <v>18</v>
      </c>
      <c r="E7" s="9" t="s">
        <v>17</v>
      </c>
      <c r="F7" s="9" t="s">
        <v>11</v>
      </c>
      <c r="G7" s="15">
        <v>4.7359999999999998</v>
      </c>
      <c r="H7" s="16">
        <v>0</v>
      </c>
      <c r="I7" s="14">
        <f t="shared" si="1"/>
        <v>13.513513513513514</v>
      </c>
      <c r="J7" s="9">
        <v>5.3079999999999998</v>
      </c>
      <c r="K7" s="9">
        <v>0</v>
      </c>
      <c r="L7" s="9">
        <f t="shared" si="2"/>
        <v>12.057272042200452</v>
      </c>
      <c r="M7" s="9">
        <v>4.8609999999999998</v>
      </c>
      <c r="N7" s="9">
        <f>5.186-M7</f>
        <v>0.32500000000000018</v>
      </c>
      <c r="O7" s="9">
        <f t="shared" si="3"/>
        <v>12.340917855765523</v>
      </c>
      <c r="Q7" s="9" t="s">
        <v>11</v>
      </c>
      <c r="R7" s="9" t="s">
        <v>19</v>
      </c>
      <c r="S7" s="9" t="s">
        <v>20</v>
      </c>
      <c r="T7" s="9">
        <v>4.194</v>
      </c>
      <c r="U7" s="9">
        <v>0</v>
      </c>
      <c r="V7" s="9">
        <f t="shared" si="5"/>
        <v>15.259895088221269</v>
      </c>
      <c r="W7" s="12">
        <v>2.4830000000000001</v>
      </c>
      <c r="X7" s="13">
        <f>2.497-W7</f>
        <v>1.399999999999979E-2</v>
      </c>
      <c r="Y7" s="8">
        <f t="shared" ref="Y7:Y8" si="8">$A7/(W7+$A$11*X7)</f>
        <v>25.63075690828995</v>
      </c>
      <c r="Z7" s="9">
        <v>2.77</v>
      </c>
      <c r="AA7" s="9">
        <f>3.072-Z7</f>
        <v>0.30200000000000005</v>
      </c>
      <c r="AB7" s="9">
        <f t="shared" si="6"/>
        <v>19.857275829972078</v>
      </c>
      <c r="AD7" s="9" t="s">
        <v>11</v>
      </c>
      <c r="AE7" s="9" t="s">
        <v>21</v>
      </c>
      <c r="AF7" s="9" t="s">
        <v>11</v>
      </c>
      <c r="AG7" s="9">
        <v>3.367</v>
      </c>
      <c r="AH7" s="9">
        <v>0</v>
      </c>
      <c r="AI7" s="9">
        <f t="shared" ref="AI7" si="9">$A7/(AG7+$A$11*AH7)</f>
        <v>19.008019008019009</v>
      </c>
      <c r="AJ7" s="12">
        <v>1.589</v>
      </c>
      <c r="AK7" s="13">
        <f>1.853-AJ7</f>
        <v>0.26400000000000001</v>
      </c>
      <c r="AL7" s="8">
        <f>$A7/(AJ7+1.5*AK7)</f>
        <v>32.241813602015114</v>
      </c>
      <c r="AM7" s="9">
        <v>2.7679999999999998</v>
      </c>
      <c r="AN7" s="9">
        <f>3.087-AM7</f>
        <v>0.31900000000000039</v>
      </c>
      <c r="AO7" s="9">
        <f>$A7/(AM7+1.75*AN7)</f>
        <v>19.240886884629838</v>
      </c>
    </row>
    <row r="8" spans="1:41" ht="17" thickBot="1" x14ac:dyDescent="0.25">
      <c r="A8" s="9">
        <v>128</v>
      </c>
      <c r="D8" s="9" t="s">
        <v>18</v>
      </c>
      <c r="E8" s="9" t="s">
        <v>17</v>
      </c>
      <c r="F8" s="9" t="s">
        <v>11</v>
      </c>
      <c r="G8" s="9" t="s">
        <v>17</v>
      </c>
      <c r="H8" s="9" t="s">
        <v>10</v>
      </c>
      <c r="I8" s="9" t="s">
        <v>11</v>
      </c>
      <c r="J8" s="15">
        <v>7.93</v>
      </c>
      <c r="K8" s="16">
        <v>0</v>
      </c>
      <c r="L8" s="10">
        <f t="shared" si="2"/>
        <v>16.141235813366961</v>
      </c>
      <c r="M8" s="12">
        <v>9.7089999999999996</v>
      </c>
      <c r="N8" s="13">
        <v>0</v>
      </c>
      <c r="O8" s="8">
        <f t="shared" si="3"/>
        <v>13.183644041610878</v>
      </c>
      <c r="Q8" s="9" t="s">
        <v>11</v>
      </c>
      <c r="R8" s="9" t="s">
        <v>19</v>
      </c>
      <c r="S8" s="9" t="s">
        <v>20</v>
      </c>
      <c r="T8" s="9" t="s">
        <v>11</v>
      </c>
      <c r="U8" s="9" t="s">
        <v>19</v>
      </c>
      <c r="V8" s="9" t="s">
        <v>20</v>
      </c>
      <c r="W8" s="9">
        <v>6.0149999999999997</v>
      </c>
      <c r="X8" s="9">
        <v>0</v>
      </c>
      <c r="Y8" s="9">
        <f t="shared" si="8"/>
        <v>21.280133000831256</v>
      </c>
      <c r="Z8" s="12">
        <v>4.5679999999999996</v>
      </c>
      <c r="AA8" s="13">
        <f>4.583-Z8</f>
        <v>1.5000000000000568E-2</v>
      </c>
      <c r="AB8" s="5">
        <f t="shared" ref="AB8" si="10">$A8/(Z8+$A$11*AA8)</f>
        <v>27.929303949378134</v>
      </c>
      <c r="AD8" s="9" t="s">
        <v>11</v>
      </c>
      <c r="AE8" s="9" t="s">
        <v>21</v>
      </c>
      <c r="AF8" s="9" t="s">
        <v>11</v>
      </c>
      <c r="AG8" s="9" t="s">
        <v>11</v>
      </c>
      <c r="AH8" s="9" t="s">
        <v>17</v>
      </c>
      <c r="AI8" s="9" t="s">
        <v>11</v>
      </c>
      <c r="AJ8" s="9">
        <v>5.1870000000000003</v>
      </c>
      <c r="AK8" s="9">
        <v>0</v>
      </c>
      <c r="AL8" s="9">
        <f t="shared" ref="AL8" si="11">$A8/(AJ8+$A$11*AK8)</f>
        <v>24.677077308656255</v>
      </c>
      <c r="AM8" s="12">
        <v>2.9649999999999999</v>
      </c>
      <c r="AN8" s="13">
        <f>3.231-AM8</f>
        <v>0.26600000000000001</v>
      </c>
      <c r="AO8" s="5">
        <f>$A8/(AM8+1.5*AN8)</f>
        <v>38.049940546967896</v>
      </c>
    </row>
    <row r="10" spans="1:41" x14ac:dyDescent="0.2">
      <c r="A10" s="9" t="s">
        <v>12</v>
      </c>
    </row>
    <row r="11" spans="1:41" x14ac:dyDescent="0.2">
      <c r="A11" s="9">
        <v>1</v>
      </c>
    </row>
    <row r="13" spans="1:41" ht="17" thickBot="1" x14ac:dyDescent="0.25">
      <c r="I13" s="1"/>
      <c r="J13" s="1" t="s">
        <v>31</v>
      </c>
      <c r="K13" s="1" t="s">
        <v>32</v>
      </c>
      <c r="L13" s="1" t="s">
        <v>33</v>
      </c>
      <c r="M13" s="1" t="s">
        <v>34</v>
      </c>
      <c r="N13" s="1" t="s">
        <v>36</v>
      </c>
      <c r="P13" s="9" t="s">
        <v>37</v>
      </c>
      <c r="Q13" s="9" t="s">
        <v>38</v>
      </c>
    </row>
    <row r="14" spans="1:41" ht="17" thickBot="1" x14ac:dyDescent="0.25">
      <c r="I14" s="1">
        <v>2</v>
      </c>
      <c r="J14" s="24">
        <f>(194688-167384)/1000000</f>
        <v>2.7303999999999998E-2</v>
      </c>
      <c r="K14" s="24">
        <f>(606534-596055)/1000000</f>
        <v>1.0479E-2</v>
      </c>
      <c r="L14" s="15">
        <v>7.93</v>
      </c>
      <c r="M14" s="1">
        <v>6</v>
      </c>
      <c r="N14" s="25">
        <f>L15/L14</f>
        <v>2.8587389659520807E-2</v>
      </c>
      <c r="O14" s="1" t="s">
        <v>39</v>
      </c>
      <c r="P14" s="25">
        <v>2.8587389659520807E-2</v>
      </c>
      <c r="Q14" s="25">
        <v>2.8562177145017006E-2</v>
      </c>
    </row>
    <row r="15" spans="1:41" x14ac:dyDescent="0.2">
      <c r="I15" s="1"/>
      <c r="J15" s="1"/>
      <c r="K15" s="1"/>
      <c r="L15" s="27">
        <f>(J14+K14)*M14</f>
        <v>0.22669799999999998</v>
      </c>
      <c r="M15" s="1"/>
      <c r="N15" s="1"/>
      <c r="O15" s="1" t="s">
        <v>40</v>
      </c>
      <c r="P15" s="25">
        <v>0.19760645724258291</v>
      </c>
      <c r="Q15" s="25">
        <v>0.12603806734992679</v>
      </c>
    </row>
    <row r="16" spans="1:41" x14ac:dyDescent="0.2">
      <c r="I16" s="1"/>
      <c r="J16" s="1"/>
      <c r="K16" s="1"/>
      <c r="L16" s="1"/>
      <c r="M16" s="1"/>
      <c r="N16" s="1"/>
      <c r="O16" s="1" t="s">
        <v>41</v>
      </c>
      <c r="P16" s="25">
        <v>0.31203837821108016</v>
      </c>
      <c r="Q16" s="25">
        <v>0.27116582207207213</v>
      </c>
    </row>
    <row r="17" spans="9:14" x14ac:dyDescent="0.2">
      <c r="I17" s="1">
        <v>4</v>
      </c>
      <c r="J17" s="24">
        <f>(69092-51161)/1000000</f>
        <v>1.7930999999999999E-2</v>
      </c>
      <c r="K17" s="1">
        <f>(191912-145141)/1000000</f>
        <v>4.6771E-2</v>
      </c>
      <c r="L17" s="24">
        <f>4.584</f>
        <v>4.5839999999999996</v>
      </c>
      <c r="M17" s="1">
        <v>14</v>
      </c>
      <c r="N17" s="25">
        <f>L18/L17</f>
        <v>0.19760645724258291</v>
      </c>
    </row>
    <row r="18" spans="9:14" x14ac:dyDescent="0.2">
      <c r="I18" s="1"/>
      <c r="J18" s="1"/>
      <c r="K18" s="1"/>
      <c r="L18" s="27">
        <f>(J17+K17)*M17</f>
        <v>0.90582799999999997</v>
      </c>
      <c r="M18" s="1"/>
      <c r="N18" s="1"/>
    </row>
    <row r="19" spans="9:14" x14ac:dyDescent="0.2">
      <c r="I19" s="1"/>
      <c r="J19" s="1"/>
      <c r="K19" s="1"/>
      <c r="L19" s="1"/>
      <c r="M19" s="1"/>
      <c r="N19" s="1"/>
    </row>
    <row r="20" spans="9:14" x14ac:dyDescent="0.2">
      <c r="I20" s="1">
        <v>8</v>
      </c>
      <c r="J20" s="24">
        <f>(43570-25705)/1000000</f>
        <v>1.7864999999999999E-2</v>
      </c>
      <c r="K20" s="1">
        <f>(129180-75031)/1000000</f>
        <v>5.4149000000000003E-2</v>
      </c>
      <c r="L20" s="24">
        <v>3.2309999999999999</v>
      </c>
      <c r="M20" s="1">
        <v>14</v>
      </c>
      <c r="N20" s="25">
        <f>L21/L20</f>
        <v>0.31203837821108016</v>
      </c>
    </row>
    <row r="21" spans="9:14" x14ac:dyDescent="0.2">
      <c r="I21" s="1"/>
      <c r="J21" s="1"/>
      <c r="K21" s="1"/>
      <c r="L21" s="27">
        <f>(J20+K20)*M20</f>
        <v>1.0081959999999999</v>
      </c>
      <c r="M21" s="1"/>
      <c r="N2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41"/>
  <sheetViews>
    <sheetView topLeftCell="B9" workbookViewId="0">
      <selection activeCell="H29" activeCellId="2" sqref="H14 H23 H29"/>
    </sheetView>
  </sheetViews>
  <sheetFormatPr baseColWidth="10" defaultColWidth="8.6640625" defaultRowHeight="16" x14ac:dyDescent="0.2"/>
  <cols>
    <col min="1" max="1" width="17.33203125" style="11" customWidth="1"/>
    <col min="2" max="2" width="16.33203125" style="11" customWidth="1"/>
    <col min="3" max="3" width="8.6640625" style="11"/>
    <col min="4" max="4" width="32" style="11" customWidth="1"/>
    <col min="5" max="5" width="28.33203125" style="11" customWidth="1"/>
    <col min="6" max="7" width="17.5" style="11" customWidth="1"/>
    <col min="8" max="8" width="15.1640625" style="11" customWidth="1"/>
    <col min="9" max="16384" width="8.6640625" style="11"/>
  </cols>
  <sheetData>
    <row r="1" spans="1:41" x14ac:dyDescent="0.2">
      <c r="A1" s="11" t="s">
        <v>0</v>
      </c>
      <c r="D1" s="11" t="s">
        <v>9</v>
      </c>
    </row>
    <row r="2" spans="1:41" x14ac:dyDescent="0.2">
      <c r="D2" s="11" t="s">
        <v>7</v>
      </c>
      <c r="E2" s="11" t="s">
        <v>8</v>
      </c>
      <c r="F2" s="11" t="s">
        <v>6</v>
      </c>
      <c r="G2" s="11" t="s">
        <v>7</v>
      </c>
      <c r="H2" s="11" t="s">
        <v>8</v>
      </c>
      <c r="I2" s="11" t="s">
        <v>6</v>
      </c>
      <c r="J2" s="11" t="s">
        <v>7</v>
      </c>
      <c r="K2" s="11" t="s">
        <v>8</v>
      </c>
      <c r="L2" s="11" t="s">
        <v>6</v>
      </c>
      <c r="M2" s="11" t="s">
        <v>7</v>
      </c>
      <c r="N2" s="11" t="s">
        <v>8</v>
      </c>
      <c r="O2" s="11" t="s">
        <v>6</v>
      </c>
      <c r="Q2" s="11" t="s">
        <v>7</v>
      </c>
      <c r="R2" s="11" t="s">
        <v>8</v>
      </c>
      <c r="S2" s="11" t="s">
        <v>6</v>
      </c>
      <c r="T2" s="11" t="s">
        <v>7</v>
      </c>
      <c r="U2" s="11" t="s">
        <v>8</v>
      </c>
      <c r="V2" s="11" t="s">
        <v>6</v>
      </c>
      <c r="W2" s="11" t="s">
        <v>7</v>
      </c>
      <c r="X2" s="11" t="s">
        <v>8</v>
      </c>
      <c r="Y2" s="11" t="s">
        <v>6</v>
      </c>
      <c r="Z2" s="11" t="s">
        <v>7</v>
      </c>
      <c r="AA2" s="11" t="s">
        <v>8</v>
      </c>
      <c r="AB2" s="11" t="s">
        <v>6</v>
      </c>
      <c r="AD2" s="11" t="s">
        <v>7</v>
      </c>
      <c r="AE2" s="11" t="s">
        <v>8</v>
      </c>
      <c r="AF2" s="11" t="s">
        <v>6</v>
      </c>
      <c r="AG2" s="11" t="s">
        <v>7</v>
      </c>
      <c r="AH2" s="11" t="s">
        <v>8</v>
      </c>
      <c r="AI2" s="11" t="s">
        <v>6</v>
      </c>
      <c r="AJ2" s="11" t="s">
        <v>7</v>
      </c>
      <c r="AK2" s="11" t="s">
        <v>8</v>
      </c>
      <c r="AL2" s="11" t="s">
        <v>6</v>
      </c>
      <c r="AM2" s="11" t="s">
        <v>7</v>
      </c>
      <c r="AN2" s="11" t="s">
        <v>8</v>
      </c>
      <c r="AO2" s="11" t="s">
        <v>6</v>
      </c>
    </row>
    <row r="3" spans="1:41" x14ac:dyDescent="0.2">
      <c r="B3" s="11" t="s">
        <v>1</v>
      </c>
      <c r="D3" s="11">
        <v>2</v>
      </c>
      <c r="Q3" s="11">
        <v>4</v>
      </c>
      <c r="AD3" s="11">
        <v>8</v>
      </c>
    </row>
    <row r="4" spans="1:41" x14ac:dyDescent="0.2">
      <c r="B4" s="11" t="s">
        <v>2</v>
      </c>
      <c r="D4" s="11">
        <v>2</v>
      </c>
      <c r="G4" s="11">
        <v>4</v>
      </c>
      <c r="J4" s="11">
        <v>8</v>
      </c>
      <c r="M4" s="11">
        <v>16</v>
      </c>
      <c r="Q4" s="11">
        <v>2</v>
      </c>
      <c r="T4" s="11">
        <v>4</v>
      </c>
      <c r="W4" s="11">
        <v>8</v>
      </c>
      <c r="Z4" s="11">
        <v>16</v>
      </c>
      <c r="AD4" s="11">
        <v>2</v>
      </c>
      <c r="AG4" s="11">
        <v>4</v>
      </c>
      <c r="AJ4" s="11">
        <v>8</v>
      </c>
      <c r="AM4" s="11">
        <v>16</v>
      </c>
    </row>
    <row r="5" spans="1:41" ht="17" thickBot="1" x14ac:dyDescent="0.25">
      <c r="A5" s="11">
        <v>16</v>
      </c>
      <c r="D5" s="11">
        <v>2.0840000000000001</v>
      </c>
      <c r="E5" s="11">
        <v>0</v>
      </c>
      <c r="F5" s="11">
        <f>$A5/(D5+$A$11*E5)</f>
        <v>7.6775431861804222</v>
      </c>
      <c r="G5" s="11">
        <v>1.742</v>
      </c>
      <c r="H5" s="11">
        <v>0</v>
      </c>
      <c r="I5" s="11">
        <f>$A5/(G5+$A$11*H5)</f>
        <v>9.1848450057405273</v>
      </c>
      <c r="J5" s="11">
        <v>1.605</v>
      </c>
      <c r="K5" s="11">
        <v>0</v>
      </c>
      <c r="L5" s="11">
        <f>$A5/(J5+$A$11*K5)</f>
        <v>9.9688473520249214</v>
      </c>
      <c r="M5" s="11">
        <v>1.819</v>
      </c>
      <c r="N5" s="11">
        <v>0</v>
      </c>
      <c r="O5" s="11">
        <f>$A5/(M5+$A$11*N5)</f>
        <v>8.7960417811984613</v>
      </c>
      <c r="Q5" s="11">
        <v>2.097</v>
      </c>
      <c r="R5" s="11">
        <v>0</v>
      </c>
      <c r="S5" s="11">
        <f>$A5/(Q5+$A$11*R5)</f>
        <v>7.6299475441106344</v>
      </c>
      <c r="T5" s="11">
        <v>1.6319999999999999</v>
      </c>
      <c r="U5" s="11">
        <v>0</v>
      </c>
      <c r="V5" s="11">
        <f>$A5/(T5+$A$11*U5)</f>
        <v>9.8039215686274517</v>
      </c>
      <c r="W5" s="11">
        <v>1.1539999999999999</v>
      </c>
      <c r="X5" s="11">
        <v>0</v>
      </c>
      <c r="Y5" s="11">
        <f>$A5/(W5+$A$11*X5)</f>
        <v>13.864818024263432</v>
      </c>
      <c r="Z5" s="11">
        <v>1.1719999999999999</v>
      </c>
      <c r="AA5" s="11">
        <v>0</v>
      </c>
      <c r="AB5" s="11">
        <f>$A5/(Z5+$A$11*AA5)</f>
        <v>13.651877133105803</v>
      </c>
      <c r="AD5" s="11">
        <v>2.5859999999999999</v>
      </c>
      <c r="AE5" s="11">
        <v>0</v>
      </c>
      <c r="AF5" s="11">
        <f>$A5/(AD5+$A$11*AE5)</f>
        <v>6.1871616395978348</v>
      </c>
      <c r="AG5" s="11">
        <v>1.8169999999999999</v>
      </c>
      <c r="AH5" s="11">
        <v>0</v>
      </c>
      <c r="AI5" s="11">
        <f>$A5/(AG5+$A$11*AH5)</f>
        <v>8.805723720418273</v>
      </c>
      <c r="AJ5" s="11">
        <v>1.23</v>
      </c>
      <c r="AK5" s="11">
        <v>0</v>
      </c>
      <c r="AL5" s="11">
        <f>$A5/(AJ5+$A$11*AK5)</f>
        <v>13.008130081300813</v>
      </c>
      <c r="AM5" s="11">
        <v>1.125</v>
      </c>
      <c r="AN5" s="11">
        <v>0</v>
      </c>
      <c r="AO5" s="11">
        <f>$A5/(AM5+$A$11*AN5)</f>
        <v>14.222222222222221</v>
      </c>
    </row>
    <row r="6" spans="1:41" ht="17" thickBot="1" x14ac:dyDescent="0.25">
      <c r="A6" s="11">
        <v>32</v>
      </c>
      <c r="D6" s="15">
        <v>3.1190000000000002</v>
      </c>
      <c r="E6" s="16">
        <v>0</v>
      </c>
      <c r="F6" s="14">
        <f t="shared" ref="F6" si="0">$A6/(D6+$A$11*E6)</f>
        <v>10.259698621352998</v>
      </c>
      <c r="G6" s="11">
        <v>3.1579999999999999</v>
      </c>
      <c r="H6" s="11">
        <v>0</v>
      </c>
      <c r="I6" s="11">
        <f t="shared" ref="I6:I7" si="1">$A6/(G6+$A$11*H6)</f>
        <v>10.13299556681444</v>
      </c>
      <c r="J6" s="11">
        <v>2.95</v>
      </c>
      <c r="K6" s="11">
        <v>0</v>
      </c>
      <c r="L6" s="11">
        <f t="shared" ref="L6:L8" si="2">$A6/(J6+$A$11*K6)</f>
        <v>10.847457627118644</v>
      </c>
      <c r="M6" s="11">
        <v>2.952</v>
      </c>
      <c r="N6" s="11">
        <v>0</v>
      </c>
      <c r="O6" s="11">
        <f t="shared" ref="O6:O8" si="3">$A6/(M6+$A$11*N6)</f>
        <v>10.840108401084011</v>
      </c>
      <c r="Q6" s="15">
        <v>3.4729999999999999</v>
      </c>
      <c r="R6" s="16">
        <v>0</v>
      </c>
      <c r="S6" s="14">
        <f t="shared" ref="S6" si="4">$A6/(Q6+$A$11*R6)</f>
        <v>9.2139360783184578</v>
      </c>
      <c r="T6" s="11">
        <v>2.6760000000000002</v>
      </c>
      <c r="U6" s="11">
        <v>0</v>
      </c>
      <c r="V6" s="11">
        <f t="shared" ref="V6:V7" si="5">$A6/(T6+U6)</f>
        <v>11.958146487294469</v>
      </c>
      <c r="W6" s="11">
        <v>2.371</v>
      </c>
      <c r="X6" s="11">
        <v>0</v>
      </c>
      <c r="Y6" s="11">
        <f t="shared" ref="Y6:Y8" si="6">$A6/(W6+$A$11*X6)</f>
        <v>13.496415014761704</v>
      </c>
      <c r="Z6" s="11">
        <v>1.8520000000000001</v>
      </c>
      <c r="AA6" s="11">
        <v>0</v>
      </c>
      <c r="AB6" s="11">
        <f t="shared" ref="AB6:AB8" si="7">$A6/(Z6+$A$11*AA6)</f>
        <v>17.278617710583152</v>
      </c>
      <c r="AD6" s="15">
        <v>4.5149999999999997</v>
      </c>
      <c r="AE6" s="16">
        <v>0</v>
      </c>
      <c r="AF6" s="14">
        <f t="shared" ref="AF6" si="8">$A6/(AD6+$A$11*AE6)</f>
        <v>7.0874861572535997</v>
      </c>
      <c r="AG6" s="11">
        <v>3.431</v>
      </c>
      <c r="AH6" s="11">
        <v>0</v>
      </c>
      <c r="AI6" s="11">
        <f t="shared" ref="AI6:AI7" si="9">$A6/(AG6+$A$11*AH6)</f>
        <v>9.3267269017779064</v>
      </c>
      <c r="AJ6" s="11">
        <v>2.4209999999999998</v>
      </c>
      <c r="AK6" s="11">
        <v>0</v>
      </c>
      <c r="AL6" s="11">
        <f t="shared" ref="AL6:AL8" si="10">$A6/(AJ6+$A$11*AK6)</f>
        <v>13.21767864518794</v>
      </c>
      <c r="AM6" s="11">
        <v>1.8959999999999999</v>
      </c>
      <c r="AN6" s="11">
        <v>0</v>
      </c>
      <c r="AO6" s="11">
        <f t="shared" ref="AO6:AO8" si="11">$A6/(AM6+$A$11*AN6)</f>
        <v>16.877637130801688</v>
      </c>
    </row>
    <row r="7" spans="1:41" ht="17" thickBot="1" x14ac:dyDescent="0.25">
      <c r="A7" s="11">
        <v>64</v>
      </c>
      <c r="D7" s="11" t="s">
        <v>11</v>
      </c>
      <c r="E7" s="11" t="s">
        <v>24</v>
      </c>
      <c r="F7" s="11" t="s">
        <v>25</v>
      </c>
      <c r="G7" s="15">
        <v>4.7350000000000003</v>
      </c>
      <c r="H7" s="16">
        <v>0</v>
      </c>
      <c r="I7" s="14">
        <f t="shared" si="1"/>
        <v>13.51636747624076</v>
      </c>
      <c r="J7" s="11">
        <v>5.4020000000000001</v>
      </c>
      <c r="K7" s="11">
        <v>0</v>
      </c>
      <c r="L7" s="11">
        <f t="shared" si="2"/>
        <v>11.847463902258422</v>
      </c>
      <c r="M7" s="11">
        <v>5.3360000000000003</v>
      </c>
      <c r="N7" s="11">
        <v>0</v>
      </c>
      <c r="O7" s="11">
        <f t="shared" si="3"/>
        <v>11.994002998500749</v>
      </c>
      <c r="Q7" s="11" t="s">
        <v>11</v>
      </c>
      <c r="R7" s="11" t="s">
        <v>11</v>
      </c>
      <c r="S7" s="11" t="s">
        <v>26</v>
      </c>
      <c r="T7" s="15">
        <v>4.9409999999999998</v>
      </c>
      <c r="U7" s="16">
        <v>0</v>
      </c>
      <c r="V7" s="14">
        <f t="shared" si="5"/>
        <v>12.95284355393645</v>
      </c>
      <c r="W7" s="11">
        <v>3.8839999999999999</v>
      </c>
      <c r="X7" s="11">
        <v>0</v>
      </c>
      <c r="Y7" s="11">
        <f t="shared" si="6"/>
        <v>16.477857878475799</v>
      </c>
      <c r="Z7" s="11">
        <v>3.7850000000000001</v>
      </c>
      <c r="AA7" s="11">
        <v>0</v>
      </c>
      <c r="AB7" s="11">
        <f t="shared" si="7"/>
        <v>16.908850726552178</v>
      </c>
      <c r="AD7" s="11" t="s">
        <v>11</v>
      </c>
      <c r="AE7" s="11" t="s">
        <v>28</v>
      </c>
      <c r="AF7" s="11" t="s">
        <v>11</v>
      </c>
      <c r="AG7" s="15">
        <v>6.702</v>
      </c>
      <c r="AH7" s="16">
        <v>0</v>
      </c>
      <c r="AI7" s="14">
        <f t="shared" si="9"/>
        <v>9.549388242315727</v>
      </c>
      <c r="AJ7" s="15">
        <v>4.6790000000000003</v>
      </c>
      <c r="AK7" s="16">
        <v>0</v>
      </c>
      <c r="AL7" s="14">
        <f t="shared" si="10"/>
        <v>13.678136353921778</v>
      </c>
      <c r="AM7" s="11">
        <v>3.633</v>
      </c>
      <c r="AN7" s="11">
        <v>0</v>
      </c>
      <c r="AO7" s="11">
        <f t="shared" si="11"/>
        <v>17.616295072942471</v>
      </c>
    </row>
    <row r="8" spans="1:41" ht="17" thickBot="1" x14ac:dyDescent="0.25">
      <c r="A8" s="11">
        <v>128</v>
      </c>
      <c r="D8" s="11" t="s">
        <v>11</v>
      </c>
      <c r="E8" s="11" t="s">
        <v>24</v>
      </c>
      <c r="F8" s="11" t="s">
        <v>25</v>
      </c>
      <c r="G8" s="11" t="s">
        <v>11</v>
      </c>
      <c r="H8" s="11" t="s">
        <v>11</v>
      </c>
      <c r="I8" s="11" t="s">
        <v>24</v>
      </c>
      <c r="J8" s="15">
        <v>7.9370000000000003</v>
      </c>
      <c r="K8" s="16">
        <v>0</v>
      </c>
      <c r="L8" s="10">
        <f t="shared" si="2"/>
        <v>16.127000125992186</v>
      </c>
      <c r="M8" s="15">
        <v>9.8339999999999996</v>
      </c>
      <c r="N8" s="16">
        <v>0</v>
      </c>
      <c r="O8" s="17">
        <f t="shared" si="3"/>
        <v>13.016066707341876</v>
      </c>
      <c r="Q8" s="11" t="s">
        <v>11</v>
      </c>
      <c r="R8" s="11" t="s">
        <v>11</v>
      </c>
      <c r="S8" s="11" t="s">
        <v>11</v>
      </c>
      <c r="T8" s="11" t="s">
        <v>11</v>
      </c>
      <c r="U8" s="11" t="s">
        <v>27</v>
      </c>
      <c r="V8" s="11" t="s">
        <v>20</v>
      </c>
      <c r="W8" s="15">
        <v>7.5090000000000003</v>
      </c>
      <c r="X8" s="16">
        <v>0</v>
      </c>
      <c r="Y8" s="14">
        <f t="shared" si="6"/>
        <v>17.046211213210814</v>
      </c>
      <c r="Z8" s="15">
        <v>6.1470000000000002</v>
      </c>
      <c r="AA8" s="16">
        <v>0</v>
      </c>
      <c r="AB8" s="18">
        <f t="shared" si="7"/>
        <v>20.823165771921261</v>
      </c>
      <c r="AD8" s="11" t="s">
        <v>11</v>
      </c>
      <c r="AE8" s="11" t="s">
        <v>28</v>
      </c>
      <c r="AF8" s="11" t="s">
        <v>11</v>
      </c>
      <c r="AG8" s="11" t="s">
        <v>11</v>
      </c>
      <c r="AH8" s="11" t="s">
        <v>28</v>
      </c>
      <c r="AI8" s="11" t="s">
        <v>11</v>
      </c>
      <c r="AJ8" s="11">
        <v>9.81</v>
      </c>
      <c r="AK8" s="11">
        <v>0</v>
      </c>
      <c r="AL8" s="11">
        <f t="shared" si="10"/>
        <v>13.047910295616717</v>
      </c>
      <c r="AM8" s="15">
        <v>7.1040000000000001</v>
      </c>
      <c r="AN8" s="16">
        <v>0</v>
      </c>
      <c r="AO8" s="18">
        <f t="shared" si="11"/>
        <v>18.018018018018019</v>
      </c>
    </row>
    <row r="10" spans="1:41" x14ac:dyDescent="0.2">
      <c r="A10" s="11" t="s">
        <v>12</v>
      </c>
    </row>
    <row r="11" spans="1:41" x14ac:dyDescent="0.2">
      <c r="A11" s="11">
        <v>1</v>
      </c>
    </row>
    <row r="13" spans="1:41" x14ac:dyDescent="0.2">
      <c r="C13" s="1"/>
      <c r="D13" s="1" t="s">
        <v>31</v>
      </c>
      <c r="E13" s="1" t="s">
        <v>32</v>
      </c>
      <c r="F13" s="1" t="s">
        <v>33</v>
      </c>
      <c r="G13" s="1" t="s">
        <v>34</v>
      </c>
      <c r="H13" s="1" t="s">
        <v>35</v>
      </c>
    </row>
    <row r="14" spans="1:41" x14ac:dyDescent="0.2">
      <c r="C14" s="1">
        <v>2</v>
      </c>
      <c r="D14" s="24">
        <f>(194688-167384)/1000000</f>
        <v>2.7303999999999998E-2</v>
      </c>
      <c r="E14" s="24">
        <f>(606534-596055)/1000000</f>
        <v>1.0479E-2</v>
      </c>
      <c r="F14" s="24">
        <v>7.9370000000000003</v>
      </c>
      <c r="G14" s="1">
        <v>6</v>
      </c>
      <c r="H14" s="25">
        <f>F15/F14</f>
        <v>2.8562177145017006E-2</v>
      </c>
    </row>
    <row r="15" spans="1:41" x14ac:dyDescent="0.2">
      <c r="C15" s="1"/>
      <c r="D15" s="1"/>
      <c r="E15" s="1"/>
      <c r="F15" s="1">
        <f>G14*(D14+E14)</f>
        <v>0.22669799999999998</v>
      </c>
      <c r="G15" s="1"/>
      <c r="H15" s="1"/>
    </row>
    <row r="16" spans="1:41" x14ac:dyDescent="0.2">
      <c r="C16" s="1"/>
      <c r="D16" s="1"/>
      <c r="E16" s="1"/>
      <c r="F16" s="1"/>
      <c r="G16" s="1"/>
      <c r="H16" s="1"/>
    </row>
    <row r="17" spans="3:8" x14ac:dyDescent="0.2">
      <c r="C17" s="1"/>
      <c r="D17" s="1"/>
      <c r="E17" s="1"/>
      <c r="F17" s="1"/>
      <c r="G17" s="1"/>
      <c r="H17" s="1"/>
    </row>
    <row r="18" spans="3:8" x14ac:dyDescent="0.2">
      <c r="C18" s="1"/>
      <c r="D18" s="1"/>
      <c r="E18" s="1"/>
      <c r="F18" s="1"/>
      <c r="G18" s="1"/>
      <c r="H18" s="1"/>
    </row>
    <row r="19" spans="3:8" x14ac:dyDescent="0.2">
      <c r="C19" s="1"/>
      <c r="D19" s="1"/>
      <c r="E19" s="1"/>
      <c r="F19" s="1"/>
      <c r="G19" s="1"/>
      <c r="H19" s="1"/>
    </row>
    <row r="20" spans="3:8" x14ac:dyDescent="0.2">
      <c r="C20" s="1"/>
      <c r="D20" s="1"/>
      <c r="E20" s="1"/>
      <c r="F20" s="1"/>
      <c r="G20" s="1"/>
      <c r="H20" s="1"/>
    </row>
    <row r="21" spans="3:8" x14ac:dyDescent="0.2">
      <c r="C21" s="1"/>
      <c r="D21" s="1"/>
      <c r="E21" s="1"/>
      <c r="F21" s="1"/>
      <c r="G21" s="1"/>
      <c r="H21" s="1"/>
    </row>
    <row r="22" spans="3:8" x14ac:dyDescent="0.2">
      <c r="C22" s="1"/>
      <c r="D22" s="1"/>
      <c r="E22" s="1"/>
      <c r="F22" s="1"/>
      <c r="G22" s="1"/>
      <c r="H22" s="1"/>
    </row>
    <row r="23" spans="3:8" x14ac:dyDescent="0.2">
      <c r="C23" s="1">
        <v>4</v>
      </c>
      <c r="D23" s="24">
        <f>(68233-58225)/1000000</f>
        <v>1.0008E-2</v>
      </c>
      <c r="E23" s="1">
        <f>(209237-193345)/1000000</f>
        <v>1.5892E-2</v>
      </c>
      <c r="F23" s="24">
        <v>6.1470000000000002</v>
      </c>
      <c r="G23" s="1">
        <v>14</v>
      </c>
      <c r="H23" s="25">
        <f>F24/F23</f>
        <v>0.12603806734992679</v>
      </c>
    </row>
    <row r="24" spans="3:8" x14ac:dyDescent="0.2">
      <c r="C24" s="1"/>
      <c r="D24" s="24">
        <f>(79501-58225)/1000000</f>
        <v>2.1276E-2</v>
      </c>
      <c r="E24" s="1">
        <f>(209237-178632)/1000000</f>
        <v>3.0605E-2</v>
      </c>
      <c r="F24" s="1">
        <f>(2*(D23+D24+D26+D27+E23+E24+E26+E27)+10*(D25+E25))</f>
        <v>0.774756</v>
      </c>
      <c r="G24" s="1"/>
      <c r="H24" s="1"/>
    </row>
    <row r="25" spans="3:8" x14ac:dyDescent="0.2">
      <c r="C25" s="1"/>
      <c r="D25" s="24">
        <f>(79501-58225)/1000000</f>
        <v>2.1276E-2</v>
      </c>
      <c r="E25" s="1">
        <f>(209237-178632)/1000000</f>
        <v>3.0605E-2</v>
      </c>
      <c r="F25" s="1"/>
      <c r="G25" s="1"/>
      <c r="H25" s="1"/>
    </row>
    <row r="26" spans="3:8" x14ac:dyDescent="0.2">
      <c r="C26" s="1"/>
      <c r="D26" s="24">
        <f>(79501-68233)/1000000</f>
        <v>1.1268E-2</v>
      </c>
      <c r="E26" s="1">
        <f>(209237-178632)/1000000</f>
        <v>3.0605E-2</v>
      </c>
      <c r="F26" s="1"/>
      <c r="G26" s="1"/>
      <c r="H26" s="1"/>
    </row>
    <row r="27" spans="3:8" x14ac:dyDescent="0.2">
      <c r="C27" s="1"/>
      <c r="D27" s="24">
        <f>(79501-71875)/1000000</f>
        <v>7.626E-3</v>
      </c>
      <c r="E27" s="1">
        <f>(179325-178632)/1000000</f>
        <v>6.9300000000000004E-4</v>
      </c>
      <c r="F27" s="1"/>
      <c r="G27" s="1"/>
      <c r="H27" s="1"/>
    </row>
    <row r="28" spans="3:8" x14ac:dyDescent="0.2">
      <c r="C28" s="1"/>
      <c r="D28" s="1"/>
      <c r="E28" s="1"/>
      <c r="F28" s="1"/>
      <c r="G28" s="1"/>
      <c r="H28" s="1"/>
    </row>
    <row r="29" spans="3:8" x14ac:dyDescent="0.2">
      <c r="C29" s="1">
        <v>8</v>
      </c>
      <c r="D29" s="24">
        <f>(44638-25946)/1000000</f>
        <v>1.8692E-2</v>
      </c>
      <c r="E29" s="1">
        <f>(109748-82274)/1000000</f>
        <v>2.7473999999999998E-2</v>
      </c>
      <c r="F29" s="24">
        <v>7.1040000000000001</v>
      </c>
      <c r="G29" s="1">
        <v>14</v>
      </c>
      <c r="H29" s="25">
        <f>F30/F29</f>
        <v>0.27116582207207213</v>
      </c>
    </row>
    <row r="30" spans="3:8" x14ac:dyDescent="0.2">
      <c r="C30" s="1"/>
      <c r="D30" s="24">
        <f>(44638-25946)/1000000</f>
        <v>1.8692E-2</v>
      </c>
      <c r="E30" s="1">
        <f>(109748-82274)/1000000</f>
        <v>2.7473999999999998E-2</v>
      </c>
      <c r="F30" s="1">
        <f>2*SUM(D30:E41)</f>
        <v>1.9263620000000004</v>
      </c>
      <c r="G30" s="1"/>
      <c r="H30" s="1"/>
    </row>
    <row r="31" spans="3:8" x14ac:dyDescent="0.2">
      <c r="C31" s="1"/>
      <c r="D31" s="24">
        <f>(44638-25946)/1000000</f>
        <v>1.8692E-2</v>
      </c>
      <c r="E31" s="1">
        <f>(124290-82274)/1000000</f>
        <v>4.2015999999999998E-2</v>
      </c>
      <c r="F31" s="1"/>
      <c r="G31" s="1"/>
      <c r="H31" s="1"/>
    </row>
    <row r="32" spans="3:8" x14ac:dyDescent="0.2">
      <c r="C32" s="1"/>
      <c r="D32" s="24">
        <f>(46952-25946)/1000000</f>
        <v>2.1006E-2</v>
      </c>
      <c r="E32" s="1">
        <f>(124290-81913)/1000000</f>
        <v>4.2376999999999998E-2</v>
      </c>
      <c r="F32" s="1"/>
      <c r="G32" s="1"/>
      <c r="H32" s="1"/>
    </row>
    <row r="33" spans="3:8" x14ac:dyDescent="0.2">
      <c r="C33" s="1"/>
      <c r="D33" s="24">
        <f>(46952-25946)/1000000</f>
        <v>2.1006E-2</v>
      </c>
      <c r="E33" s="1">
        <f>(148626-81913)/1000000</f>
        <v>6.6712999999999995E-2</v>
      </c>
      <c r="F33" s="1"/>
      <c r="G33" s="1"/>
      <c r="H33" s="1"/>
    </row>
    <row r="34" spans="3:8" x14ac:dyDescent="0.2">
      <c r="C34" s="1"/>
      <c r="D34" s="24">
        <f>(48397-25946)/1000000</f>
        <v>2.2450999999999999E-2</v>
      </c>
      <c r="E34" s="1">
        <f>(148626-81913)/1000000</f>
        <v>6.6712999999999995E-2</v>
      </c>
      <c r="F34" s="1"/>
      <c r="G34" s="1"/>
      <c r="H34" s="1"/>
    </row>
    <row r="35" spans="3:8" x14ac:dyDescent="0.2">
      <c r="C35" s="1"/>
      <c r="D35" s="24">
        <f>(48397-25946)/1000000</f>
        <v>2.2450999999999999E-2</v>
      </c>
      <c r="E35" s="1">
        <f t="shared" ref="E35:E40" si="12">(149708-81913)/1000000</f>
        <v>6.7794999999999994E-2</v>
      </c>
      <c r="F35" s="1"/>
      <c r="G35" s="1"/>
      <c r="H35" s="1"/>
    </row>
    <row r="36" spans="3:8" x14ac:dyDescent="0.2">
      <c r="C36" s="1"/>
      <c r="D36" s="24">
        <f>(48397-25946)/1000000</f>
        <v>2.2450999999999999E-2</v>
      </c>
      <c r="E36" s="1">
        <f t="shared" si="12"/>
        <v>6.7794999999999994E-2</v>
      </c>
      <c r="F36" s="1"/>
      <c r="G36" s="1"/>
      <c r="H36" s="1"/>
    </row>
    <row r="37" spans="3:8" x14ac:dyDescent="0.2">
      <c r="C37" s="1"/>
      <c r="D37" s="24">
        <f>(48397-28810)/1000000</f>
        <v>1.9587E-2</v>
      </c>
      <c r="E37" s="1">
        <f t="shared" si="12"/>
        <v>6.7794999999999994E-2</v>
      </c>
      <c r="F37" s="1"/>
      <c r="G37" s="1"/>
      <c r="H37" s="1"/>
    </row>
    <row r="38" spans="3:8" x14ac:dyDescent="0.2">
      <c r="C38" s="1"/>
      <c r="D38" s="24">
        <f>(48397-28810)/1000000</f>
        <v>1.9587E-2</v>
      </c>
      <c r="E38" s="1">
        <f t="shared" si="12"/>
        <v>6.7794999999999994E-2</v>
      </c>
      <c r="F38" s="1"/>
      <c r="G38" s="1"/>
      <c r="H38" s="1"/>
    </row>
    <row r="39" spans="3:8" x14ac:dyDescent="0.2">
      <c r="C39" s="1"/>
      <c r="D39" s="24">
        <f>(48397-28810)/1000000</f>
        <v>1.9587E-2</v>
      </c>
      <c r="E39" s="1">
        <f t="shared" si="12"/>
        <v>6.7794999999999994E-2</v>
      </c>
      <c r="F39" s="1"/>
      <c r="G39" s="1"/>
      <c r="H39" s="1"/>
    </row>
    <row r="40" spans="3:8" x14ac:dyDescent="0.2">
      <c r="C40" s="1"/>
      <c r="D40" s="24">
        <f>(48397-28810)/1000000</f>
        <v>1.9587E-2</v>
      </c>
      <c r="E40" s="1">
        <f t="shared" si="12"/>
        <v>6.7794999999999994E-2</v>
      </c>
      <c r="F40" s="1"/>
      <c r="G40" s="1"/>
      <c r="H40" s="1"/>
    </row>
    <row r="41" spans="3:8" x14ac:dyDescent="0.2">
      <c r="C41" s="1"/>
      <c r="D41" s="24">
        <f>(48397-28810)/1000000</f>
        <v>1.9587E-2</v>
      </c>
      <c r="E41" s="1">
        <f>(149708-83274)/1000000</f>
        <v>6.6433999999999993E-2</v>
      </c>
      <c r="F41" s="1"/>
      <c r="G41" s="1"/>
      <c r="H4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</vt:lpstr>
      <vt:lpstr>RES</vt:lpstr>
      <vt:lpstr>RES_H</vt:lpstr>
      <vt:lpstr>VG</vt:lpstr>
      <vt:lpstr>VGG</vt:lpstr>
      <vt:lpstr>VGG_H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歐恩恩</dc:creator>
  <cp:lastModifiedBy>Microsoft Office User</cp:lastModifiedBy>
  <dcterms:created xsi:type="dcterms:W3CDTF">2019-06-09T08:05:12Z</dcterms:created>
  <dcterms:modified xsi:type="dcterms:W3CDTF">2019-06-11T08:23:11Z</dcterms:modified>
</cp:coreProperties>
</file>