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maeconomics.sharepoint.com/sites/projects2/Shared Documents/Resource London - Recycling tool/6. CBA tool - working draft/"/>
    </mc:Choice>
  </mc:AlternateContent>
  <xr:revisionPtr revIDLastSave="0" documentId="8_{BB6920B7-16F4-4598-8A29-249A01C3AE32}" xr6:coauthVersionLast="45" xr6:coauthVersionMax="45" xr10:uidLastSave="{00000000-0000-0000-0000-000000000000}"/>
  <bookViews>
    <workbookView xWindow="-120" yWindow="-120" windowWidth="29040" windowHeight="15840" firstSheet="5" activeTab="11" xr2:uid="{79B52FB3-6689-45DE-80BD-1F209AC53F5F}"/>
  </bookViews>
  <sheets>
    <sheet name="Condensed model--&gt;" sheetId="18" r:id="rId1"/>
    <sheet name="Simplified" sheetId="15" r:id="rId2"/>
    <sheet name="Variable list" sheetId="16" r:id="rId3"/>
    <sheet name="Detailed model outputs --&gt;" sheetId="7" r:id="rId4"/>
    <sheet name="Benefits" sheetId="3" r:id="rId5"/>
    <sheet name="Costs" sheetId="6" r:id="rId6"/>
    <sheet name="KPIs" sheetId="14" r:id="rId7"/>
    <sheet name="NPV" sheetId="12" r:id="rId8"/>
    <sheet name="Model assumptions--&gt;" sheetId="8" r:id="rId9"/>
    <sheet name="General assumptions" sheetId="4" r:id="rId10"/>
    <sheet name="Cost assumptions" sheetId="2" r:id="rId11"/>
    <sheet name="CPI inflation index" sheetId="13" r:id="rId12"/>
    <sheet name="London Boroughs specific" sheetId="17" r:id="rId13"/>
    <sheet name="Reference &amp; workings" sheetId="11" r:id="rId14"/>
  </sheets>
  <externalReferences>
    <externalReference r:id="rId15"/>
  </externalReferenc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6" l="1"/>
  <c r="B135" i="6"/>
  <c r="B134" i="6"/>
  <c r="B61" i="15"/>
  <c r="B80" i="15" a="1"/>
  <c r="B80" i="15" s="1"/>
  <c r="B79" i="15"/>
  <c r="B78" i="15"/>
  <c r="B77" i="15" a="1"/>
  <c r="B77" i="15" s="1"/>
  <c r="B70" i="15"/>
  <c r="D47" i="15"/>
  <c r="C47" i="15"/>
  <c r="B47" i="15"/>
  <c r="B68" i="15" s="1" a="1"/>
  <c r="B68" i="15" s="1"/>
  <c r="B46" i="15"/>
  <c r="C33" i="2"/>
  <c r="C46" i="15"/>
  <c r="X2" i="17"/>
  <c r="C45" i="15"/>
  <c r="P2" i="17"/>
  <c r="X3" i="17"/>
  <c r="X4" i="17"/>
  <c r="X5" i="17"/>
  <c r="X6" i="17"/>
  <c r="X7" i="17"/>
  <c r="X8" i="17"/>
  <c r="X9" i="17"/>
  <c r="X10" i="17"/>
  <c r="X11" i="17"/>
  <c r="X12" i="17"/>
  <c r="X13" i="17"/>
  <c r="X14" i="17"/>
  <c r="X15" i="17"/>
  <c r="X16" i="17"/>
  <c r="X17" i="17"/>
  <c r="X18" i="17"/>
  <c r="X19" i="17"/>
  <c r="X20" i="17"/>
  <c r="X21" i="17"/>
  <c r="X22" i="17"/>
  <c r="X23" i="17"/>
  <c r="X24" i="17"/>
  <c r="X25" i="17"/>
  <c r="X26" i="17"/>
  <c r="X27" i="17"/>
  <c r="X28" i="17"/>
  <c r="X29" i="17"/>
  <c r="X30" i="17"/>
  <c r="X31" i="17"/>
  <c r="X32" i="17"/>
  <c r="X33" i="17"/>
  <c r="X34" i="17"/>
  <c r="G27" i="2" l="1"/>
  <c r="G26" i="2"/>
  <c r="G25" i="2"/>
  <c r="G24" i="2"/>
  <c r="G23" i="2"/>
  <c r="E26" i="2"/>
  <c r="E27" i="2"/>
  <c r="E25" i="2"/>
  <c r="E24" i="2"/>
  <c r="E23" i="2"/>
  <c r="B35" i="6"/>
  <c r="B45" i="15"/>
  <c r="B60" i="15" l="1"/>
  <c r="B51" i="15"/>
  <c r="C50" i="15"/>
  <c r="B50" i="15" s="1"/>
  <c r="C49" i="15"/>
  <c r="B49" i="15" s="1"/>
  <c r="D59" i="4"/>
  <c r="B36" i="6" l="1"/>
  <c r="E88" i="6" s="1"/>
  <c r="B37" i="6"/>
  <c r="E93" i="6" s="1"/>
  <c r="B38" i="6"/>
  <c r="E160" i="6" s="1"/>
  <c r="B39" i="6"/>
  <c r="E110" i="6" s="1"/>
  <c r="B40" i="6"/>
  <c r="E147" i="6" s="1"/>
  <c r="B41" i="6"/>
  <c r="E150" i="6" s="1"/>
  <c r="B33" i="6"/>
  <c r="E111" i="6"/>
  <c r="E152" i="6" l="1"/>
  <c r="E153" i="6"/>
  <c r="E154" i="6"/>
  <c r="E96" i="6"/>
  <c r="E87" i="6"/>
  <c r="E86" i="6"/>
  <c r="E146" i="6"/>
  <c r="E90" i="6"/>
  <c r="E112" i="6"/>
  <c r="E113" i="6"/>
  <c r="E108" i="6"/>
  <c r="E109" i="6"/>
  <c r="E84" i="6"/>
  <c r="E91" i="6"/>
  <c r="E155" i="6"/>
  <c r="E101" i="6"/>
  <c r="E95" i="6"/>
  <c r="E156" i="6"/>
  <c r="E105" i="6"/>
  <c r="E82" i="6"/>
  <c r="E102" i="6"/>
  <c r="E92" i="6"/>
  <c r="E97" i="6"/>
  <c r="E103" i="6"/>
  <c r="E149" i="6"/>
  <c r="E158" i="6"/>
  <c r="E106" i="6"/>
  <c r="E89" i="6"/>
  <c r="E100" i="6"/>
  <c r="E104" i="6"/>
  <c r="E83" i="6"/>
  <c r="B36" i="3"/>
  <c r="B33" i="3"/>
  <c r="B31" i="3"/>
  <c r="B32" i="3" s="1"/>
  <c r="D53" i="4"/>
  <c r="C93" i="15" l="1"/>
  <c r="D93" i="15"/>
  <c r="E93" i="15"/>
  <c r="F93" i="15"/>
  <c r="G93" i="15"/>
  <c r="H93" i="15"/>
  <c r="I93" i="15"/>
  <c r="J93" i="15"/>
  <c r="K93" i="15"/>
  <c r="L93" i="15"/>
  <c r="M93" i="15"/>
  <c r="N93" i="15"/>
  <c r="O93" i="15"/>
  <c r="P93" i="15"/>
  <c r="Q93" i="15"/>
  <c r="B93" i="15"/>
  <c r="C92" i="15"/>
  <c r="C100" i="15" s="1"/>
  <c r="D92" i="15"/>
  <c r="E92" i="15"/>
  <c r="F92" i="15"/>
  <c r="G92" i="15"/>
  <c r="H92" i="15"/>
  <c r="I92" i="15"/>
  <c r="J92" i="15"/>
  <c r="K92" i="15"/>
  <c r="L92" i="15"/>
  <c r="M92" i="15"/>
  <c r="N92" i="15"/>
  <c r="O92" i="15"/>
  <c r="P92" i="15"/>
  <c r="Q92" i="15"/>
  <c r="B92" i="15"/>
  <c r="G29" i="2"/>
  <c r="C29" i="2"/>
  <c r="E34" i="2"/>
  <c r="C34" i="2"/>
  <c r="E33" i="2"/>
  <c r="C116" i="16" l="1"/>
  <c r="C117" i="16"/>
  <c r="C118" i="16"/>
  <c r="C120" i="16"/>
  <c r="C115" i="16"/>
  <c r="D44" i="3" l="1"/>
  <c r="D45" i="3"/>
  <c r="D46" i="3"/>
  <c r="D48" i="3"/>
  <c r="D43" i="3"/>
  <c r="D83" i="4"/>
  <c r="C119" i="16" s="1"/>
  <c r="D47" i="3" l="1"/>
  <c r="S2" i="17"/>
  <c r="D93" i="16"/>
  <c r="C94" i="16"/>
  <c r="D94" i="16"/>
  <c r="C95" i="16"/>
  <c r="D95" i="16"/>
  <c r="B94" i="16"/>
  <c r="B95" i="16"/>
  <c r="C76" i="16"/>
  <c r="C79" i="16"/>
  <c r="C75" i="16"/>
  <c r="C15" i="16"/>
  <c r="D15" i="16"/>
  <c r="B15" i="16"/>
  <c r="C40" i="16"/>
  <c r="C41" i="16"/>
  <c r="C42" i="16"/>
  <c r="C43" i="16"/>
  <c r="C44" i="16"/>
  <c r="C45" i="16"/>
  <c r="C33" i="14"/>
  <c r="C32" i="14"/>
  <c r="C31" i="14"/>
  <c r="B11" i="14"/>
  <c r="B20" i="14"/>
  <c r="B66" i="15"/>
  <c r="B61" i="12"/>
  <c r="B13" i="14"/>
  <c r="B8" i="14"/>
  <c r="B9" i="14"/>
  <c r="B14" i="14" l="1"/>
  <c r="B10" i="14"/>
  <c r="C87" i="16"/>
  <c r="C88" i="16"/>
  <c r="C89" i="16"/>
  <c r="C90" i="16"/>
  <c r="C86" i="16"/>
  <c r="C122" i="16"/>
  <c r="C123" i="16"/>
  <c r="C126" i="16"/>
  <c r="C121" i="16"/>
  <c r="C111" i="16"/>
  <c r="C112" i="16"/>
  <c r="C113" i="16"/>
  <c r="C109" i="16"/>
  <c r="C105" i="16"/>
  <c r="C101" i="16"/>
  <c r="C102" i="16"/>
  <c r="C100" i="16"/>
  <c r="C98" i="16"/>
  <c r="C99" i="16"/>
  <c r="C96" i="16"/>
  <c r="C92" i="16"/>
  <c r="C91" i="16"/>
  <c r="C81" i="16"/>
  <c r="C82" i="16"/>
  <c r="C83" i="16"/>
  <c r="C84" i="16"/>
  <c r="C85" i="16"/>
  <c r="C80" i="16"/>
  <c r="C69" i="16"/>
  <c r="C70" i="16"/>
  <c r="C71" i="16"/>
  <c r="C72" i="16"/>
  <c r="C73" i="16"/>
  <c r="C74" i="16"/>
  <c r="C68" i="16"/>
  <c r="C47" i="16"/>
  <c r="D47" i="16"/>
  <c r="B47" i="16"/>
  <c r="C39" i="16"/>
  <c r="D39" i="16"/>
  <c r="B39" i="16"/>
  <c r="C36" i="16"/>
  <c r="D36" i="16"/>
  <c r="C37" i="16"/>
  <c r="D37" i="16"/>
  <c r="C38" i="16"/>
  <c r="D38" i="16"/>
  <c r="B36" i="16"/>
  <c r="B37" i="16"/>
  <c r="B38" i="16"/>
  <c r="C28" i="16"/>
  <c r="D28" i="16"/>
  <c r="C29" i="16"/>
  <c r="D29" i="16"/>
  <c r="C30" i="16"/>
  <c r="D30" i="16"/>
  <c r="C31" i="16"/>
  <c r="D31" i="16"/>
  <c r="C32" i="16"/>
  <c r="D32" i="16"/>
  <c r="C33" i="16"/>
  <c r="D33" i="16"/>
  <c r="C34" i="16"/>
  <c r="D34" i="16"/>
  <c r="B29" i="16"/>
  <c r="B30" i="16"/>
  <c r="B31" i="16"/>
  <c r="B32" i="16"/>
  <c r="B33" i="16"/>
  <c r="B34" i="16"/>
  <c r="B28" i="16"/>
  <c r="C21" i="16"/>
  <c r="D21" i="16"/>
  <c r="C22" i="16"/>
  <c r="D22" i="16"/>
  <c r="C24" i="16"/>
  <c r="D24" i="16"/>
  <c r="C25" i="16"/>
  <c r="D25" i="16"/>
  <c r="C26" i="16"/>
  <c r="D26" i="16"/>
  <c r="C27" i="16"/>
  <c r="D27" i="16"/>
  <c r="B22" i="16"/>
  <c r="B24" i="16"/>
  <c r="B25" i="16"/>
  <c r="B26" i="16"/>
  <c r="B27" i="16"/>
  <c r="B21" i="16"/>
  <c r="C14" i="16"/>
  <c r="D14" i="16"/>
  <c r="B14" i="16"/>
  <c r="B19" i="16"/>
  <c r="C19" i="16"/>
  <c r="D19" i="16"/>
  <c r="B20" i="16"/>
  <c r="C20" i="16"/>
  <c r="D20" i="16"/>
  <c r="C16" i="16"/>
  <c r="D16" i="16"/>
  <c r="C17" i="16"/>
  <c r="D17" i="16"/>
  <c r="C18" i="16"/>
  <c r="D18" i="16"/>
  <c r="B17" i="16"/>
  <c r="B18" i="16"/>
  <c r="B16" i="16"/>
  <c r="C12" i="16"/>
  <c r="D12" i="16"/>
  <c r="C13" i="16"/>
  <c r="D13" i="16"/>
  <c r="B13" i="16"/>
  <c r="B12" i="16"/>
  <c r="C7" i="16"/>
  <c r="D7" i="16"/>
  <c r="C8" i="16"/>
  <c r="D8" i="16"/>
  <c r="C9" i="16"/>
  <c r="D9" i="16"/>
  <c r="C10" i="16"/>
  <c r="D10" i="16"/>
  <c r="C11" i="16"/>
  <c r="D11" i="16"/>
  <c r="B8" i="16"/>
  <c r="B9" i="16"/>
  <c r="B10" i="16"/>
  <c r="B11" i="16"/>
  <c r="B7" i="16"/>
  <c r="B3" i="16"/>
  <c r="C3" i="16"/>
  <c r="D3" i="16"/>
  <c r="B4" i="16"/>
  <c r="C4" i="16"/>
  <c r="D4" i="16"/>
  <c r="B5" i="16"/>
  <c r="C5" i="16"/>
  <c r="D5" i="16"/>
  <c r="B6" i="16"/>
  <c r="C6" i="16"/>
  <c r="D6" i="16"/>
  <c r="C2" i="16"/>
  <c r="D2" i="16"/>
  <c r="B2" i="16"/>
  <c r="G68" i="2" l="1"/>
  <c r="C68" i="2"/>
  <c r="E68" i="2"/>
  <c r="C63" i="2"/>
  <c r="B41" i="16" s="1"/>
  <c r="C64" i="2"/>
  <c r="B42" i="16" s="1"/>
  <c r="C65" i="2"/>
  <c r="B43" i="16" s="1"/>
  <c r="C66" i="2"/>
  <c r="B44" i="16" s="1"/>
  <c r="C67" i="2"/>
  <c r="B45" i="16" s="1"/>
  <c r="C62" i="2"/>
  <c r="B40" i="16" s="1"/>
  <c r="G63" i="2"/>
  <c r="D41" i="16" s="1"/>
  <c r="G64" i="2"/>
  <c r="D42" i="16" s="1"/>
  <c r="G65" i="2"/>
  <c r="D43" i="16" s="1"/>
  <c r="G66" i="2"/>
  <c r="D44" i="16" s="1"/>
  <c r="G67" i="2"/>
  <c r="D45" i="16" s="1"/>
  <c r="G62" i="2"/>
  <c r="D40" i="16" s="1"/>
  <c r="B64" i="15" l="1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B97" i="15"/>
  <c r="B93" i="3"/>
  <c r="B86" i="3"/>
  <c r="B95" i="3"/>
  <c r="B96" i="15" l="1"/>
  <c r="C85" i="15"/>
  <c r="D85" i="15" s="1"/>
  <c r="E85" i="15" s="1"/>
  <c r="F85" i="15" s="1"/>
  <c r="G85" i="15" s="1"/>
  <c r="H85" i="15" s="1"/>
  <c r="I85" i="15" s="1"/>
  <c r="J85" i="15" s="1"/>
  <c r="K85" i="15" s="1"/>
  <c r="L85" i="15" s="1"/>
  <c r="M85" i="15" s="1"/>
  <c r="N85" i="15" s="1"/>
  <c r="O85" i="15" s="1"/>
  <c r="P85" i="15" s="1"/>
  <c r="Q85" i="15" s="1"/>
  <c r="Q96" i="15" s="1"/>
  <c r="B8" i="12"/>
  <c r="B7" i="12"/>
  <c r="B13" i="12" s="1"/>
  <c r="B28" i="6"/>
  <c r="B27" i="6"/>
  <c r="B26" i="6"/>
  <c r="B23" i="6"/>
  <c r="B130" i="6" s="1" a="1"/>
  <c r="B130" i="6" s="1"/>
  <c r="B22" i="6"/>
  <c r="B136" i="6" s="1" a="1"/>
  <c r="B136" i="6" s="1"/>
  <c r="B19" i="6"/>
  <c r="B7" i="6"/>
  <c r="B10" i="3"/>
  <c r="B14" i="3" s="1"/>
  <c r="B19" i="3"/>
  <c r="B8" i="3"/>
  <c r="B13" i="3" s="1"/>
  <c r="C22" i="15"/>
  <c r="B22" i="15" s="1"/>
  <c r="B16" i="6" s="1"/>
  <c r="B94" i="3" l="1"/>
  <c r="B15" i="3"/>
  <c r="B49" i="6" a="1"/>
  <c r="B49" i="6" s="1"/>
  <c r="B48" i="6" a="1"/>
  <c r="B48" i="6" s="1"/>
  <c r="B47" i="6"/>
  <c r="B50" i="14"/>
  <c r="B45" i="14"/>
  <c r="B22" i="3"/>
  <c r="B133" i="6"/>
  <c r="B62" i="6" a="1"/>
  <c r="B62" i="6" s="1"/>
  <c r="B75" i="6" a="1"/>
  <c r="B75" i="6" s="1"/>
  <c r="B74" i="6" a="1"/>
  <c r="B74" i="6" s="1"/>
  <c r="B73" i="6" a="1"/>
  <c r="B73" i="6" s="1"/>
  <c r="B108" i="6" s="1"/>
  <c r="B78" i="6" a="1"/>
  <c r="B78" i="6" s="1"/>
  <c r="B77" i="6" a="1"/>
  <c r="B77" i="6" s="1"/>
  <c r="B76" i="6" a="1"/>
  <c r="B76" i="6" s="1"/>
  <c r="B129" i="6"/>
  <c r="B131" i="6" s="1"/>
  <c r="N96" i="15"/>
  <c r="J96" i="15"/>
  <c r="F96" i="15"/>
  <c r="M96" i="15"/>
  <c r="I96" i="15"/>
  <c r="E96" i="15"/>
  <c r="P96" i="15"/>
  <c r="L96" i="15"/>
  <c r="H96" i="15"/>
  <c r="D96" i="15"/>
  <c r="O96" i="15"/>
  <c r="K96" i="15"/>
  <c r="G96" i="15"/>
  <c r="C96" i="15"/>
  <c r="B64" i="11"/>
  <c r="V3" i="17"/>
  <c r="V4" i="17"/>
  <c r="V5" i="17"/>
  <c r="V6" i="17"/>
  <c r="V7" i="17"/>
  <c r="V8" i="17"/>
  <c r="V9" i="17"/>
  <c r="V10" i="17"/>
  <c r="V11" i="17"/>
  <c r="V12" i="17"/>
  <c r="V13" i="17"/>
  <c r="V14" i="17"/>
  <c r="V15" i="17"/>
  <c r="V16" i="17"/>
  <c r="V17" i="17"/>
  <c r="V18" i="17"/>
  <c r="V19" i="17"/>
  <c r="V20" i="17"/>
  <c r="V21" i="17"/>
  <c r="V22" i="17"/>
  <c r="V23" i="17"/>
  <c r="V24" i="17"/>
  <c r="V25" i="17"/>
  <c r="V26" i="17"/>
  <c r="V27" i="17"/>
  <c r="V28" i="17"/>
  <c r="V29" i="17"/>
  <c r="V30" i="17"/>
  <c r="V31" i="17"/>
  <c r="V32" i="17"/>
  <c r="V33" i="17"/>
  <c r="V34" i="17"/>
  <c r="S3" i="17"/>
  <c r="T3" i="17" s="1"/>
  <c r="S4" i="17"/>
  <c r="U4" i="17" s="1"/>
  <c r="T4" i="17"/>
  <c r="S5" i="17"/>
  <c r="T5" i="17"/>
  <c r="U5" i="17"/>
  <c r="S6" i="17"/>
  <c r="T6" i="17"/>
  <c r="U6" i="17"/>
  <c r="S7" i="17"/>
  <c r="T7" i="17" s="1"/>
  <c r="S8" i="17"/>
  <c r="U8" i="17" s="1"/>
  <c r="T8" i="17"/>
  <c r="S9" i="17"/>
  <c r="T9" i="17"/>
  <c r="U9" i="17"/>
  <c r="S10" i="17"/>
  <c r="T10" i="17"/>
  <c r="U10" i="17"/>
  <c r="S11" i="17"/>
  <c r="T11" i="17" s="1"/>
  <c r="S12" i="17"/>
  <c r="U12" i="17" s="1"/>
  <c r="T12" i="17"/>
  <c r="S13" i="17"/>
  <c r="T13" i="17"/>
  <c r="U13" i="17"/>
  <c r="S14" i="17"/>
  <c r="T14" i="17"/>
  <c r="U14" i="17"/>
  <c r="S15" i="17"/>
  <c r="T15" i="17" s="1"/>
  <c r="S16" i="17"/>
  <c r="U16" i="17" s="1"/>
  <c r="T16" i="17"/>
  <c r="S17" i="17"/>
  <c r="T17" i="17"/>
  <c r="U17" i="17"/>
  <c r="S18" i="17"/>
  <c r="T18" i="17" s="1"/>
  <c r="U18" i="17"/>
  <c r="S19" i="17"/>
  <c r="T19" i="17" s="1"/>
  <c r="S20" i="17"/>
  <c r="U20" i="17" s="1"/>
  <c r="T20" i="17"/>
  <c r="S21" i="17"/>
  <c r="T21" i="17"/>
  <c r="U21" i="17"/>
  <c r="S22" i="17"/>
  <c r="T22" i="17" s="1"/>
  <c r="U22" i="17"/>
  <c r="S23" i="17"/>
  <c r="T23" i="17" s="1"/>
  <c r="S24" i="17"/>
  <c r="U24" i="17" s="1"/>
  <c r="T24" i="17"/>
  <c r="S25" i="17"/>
  <c r="T25" i="17"/>
  <c r="U25" i="17"/>
  <c r="S26" i="17"/>
  <c r="T26" i="17" s="1"/>
  <c r="U26" i="17"/>
  <c r="S27" i="17"/>
  <c r="T27" i="17" s="1"/>
  <c r="S28" i="17"/>
  <c r="U28" i="17" s="1"/>
  <c r="T28" i="17"/>
  <c r="S29" i="17"/>
  <c r="T29" i="17"/>
  <c r="U29" i="17"/>
  <c r="S30" i="17"/>
  <c r="T30" i="17" s="1"/>
  <c r="U30" i="17"/>
  <c r="S31" i="17"/>
  <c r="T31" i="17" s="1"/>
  <c r="S32" i="17"/>
  <c r="U32" i="17" s="1"/>
  <c r="T32" i="17"/>
  <c r="S33" i="17"/>
  <c r="T33" i="17"/>
  <c r="U33" i="17"/>
  <c r="S34" i="17"/>
  <c r="T34" i="17"/>
  <c r="U34" i="17"/>
  <c r="T2" i="17"/>
  <c r="V2" i="17" s="1"/>
  <c r="U2" i="17"/>
  <c r="Q3" i="17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2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U31" i="17" l="1"/>
  <c r="U27" i="17"/>
  <c r="U23" i="17"/>
  <c r="U19" i="17"/>
  <c r="U15" i="17"/>
  <c r="U11" i="17"/>
  <c r="U7" i="17"/>
  <c r="U3" i="17"/>
  <c r="C21" i="15" l="1"/>
  <c r="C20" i="15"/>
  <c r="B20" i="15" s="1"/>
  <c r="C19" i="15"/>
  <c r="B19" i="15" s="1"/>
  <c r="C18" i="15"/>
  <c r="B18" i="15" l="1"/>
  <c r="B12" i="6"/>
  <c r="C35" i="14"/>
  <c r="C34" i="14"/>
  <c r="B21" i="15"/>
  <c r="B10" i="6"/>
  <c r="B12" i="12"/>
  <c r="B21" i="3" a="1"/>
  <c r="B21" i="3" s="1"/>
  <c r="B23" i="3" s="1"/>
  <c r="C103" i="15" l="1"/>
  <c r="B62" i="15"/>
  <c r="G103" i="15"/>
  <c r="K103" i="15"/>
  <c r="O103" i="15"/>
  <c r="D103" i="15"/>
  <c r="H103" i="15"/>
  <c r="L103" i="15"/>
  <c r="P103" i="15"/>
  <c r="J103" i="15"/>
  <c r="E103" i="15"/>
  <c r="I103" i="15"/>
  <c r="M103" i="15"/>
  <c r="Q103" i="15"/>
  <c r="F103" i="15"/>
  <c r="B103" i="15"/>
  <c r="B102" i="15"/>
  <c r="C37" i="14"/>
  <c r="B8" i="6"/>
  <c r="B14" i="6"/>
  <c r="C36" i="14"/>
  <c r="H13" i="12"/>
  <c r="I13" i="12"/>
  <c r="J13" i="12"/>
  <c r="K13" i="12"/>
  <c r="L13" i="12"/>
  <c r="M13" i="12"/>
  <c r="N13" i="12"/>
  <c r="O13" i="12"/>
  <c r="P13" i="12"/>
  <c r="Q13" i="12"/>
  <c r="N103" i="15" l="1"/>
  <c r="C39" i="14"/>
  <c r="B51" i="3"/>
  <c r="C45" i="3"/>
  <c r="C46" i="3"/>
  <c r="C47" i="3"/>
  <c r="C43" i="3"/>
  <c r="D70" i="3"/>
  <c r="D64" i="4"/>
  <c r="C104" i="16" s="1"/>
  <c r="D63" i="4"/>
  <c r="C103" i="16" s="1"/>
  <c r="D68" i="4"/>
  <c r="C108" i="16" s="1"/>
  <c r="D67" i="4"/>
  <c r="C107" i="16" s="1"/>
  <c r="D66" i="4"/>
  <c r="C106" i="16" s="1"/>
  <c r="D90" i="4"/>
  <c r="D91" i="4"/>
  <c r="C124" i="16" l="1"/>
  <c r="B81" i="15"/>
  <c r="B84" i="3"/>
  <c r="C125" i="16"/>
  <c r="B125" i="6" a="1"/>
  <c r="B125" i="6" s="1"/>
  <c r="B124" i="6" a="1"/>
  <c r="B124" i="6" s="1"/>
  <c r="B141" i="6" a="1"/>
  <c r="B141" i="6" s="1"/>
  <c r="B160" i="6" s="1"/>
  <c r="B127" i="6" a="1"/>
  <c r="B127" i="6" s="1"/>
  <c r="B106" i="15" l="1"/>
  <c r="G106" i="15"/>
  <c r="E106" i="15"/>
  <c r="D106" i="15"/>
  <c r="C106" i="15"/>
  <c r="J106" i="15"/>
  <c r="Q106" i="15"/>
  <c r="P106" i="15"/>
  <c r="K106" i="15"/>
  <c r="H106" i="15"/>
  <c r="O106" i="15"/>
  <c r="M106" i="15"/>
  <c r="L106" i="15"/>
  <c r="N106" i="15"/>
  <c r="F106" i="15"/>
  <c r="I106" i="15"/>
  <c r="B67" i="12"/>
  <c r="B139" i="6" a="1"/>
  <c r="B139" i="6" s="1"/>
  <c r="B71" i="6" a="1"/>
  <c r="B71" i="6" s="1"/>
  <c r="B106" i="6" s="1"/>
  <c r="B43" i="12" s="1"/>
  <c r="B70" i="6" a="1"/>
  <c r="B70" i="6" s="1"/>
  <c r="B105" i="6" s="1"/>
  <c r="B42" i="12" s="1"/>
  <c r="B69" i="6" a="1"/>
  <c r="B69" i="6" s="1"/>
  <c r="B104" i="6" s="1"/>
  <c r="B41" i="12" s="1"/>
  <c r="B65" i="6" a="1"/>
  <c r="B65" i="6" s="1"/>
  <c r="B100" i="6" s="1"/>
  <c r="B37" i="12" s="1"/>
  <c r="B68" i="6" a="1"/>
  <c r="B68" i="6" s="1"/>
  <c r="B103" i="6" s="1"/>
  <c r="B40" i="12" s="1"/>
  <c r="B67" i="6" a="1"/>
  <c r="B67" i="6" s="1"/>
  <c r="B102" i="6" s="1"/>
  <c r="B39" i="12" s="1"/>
  <c r="B66" i="6" a="1"/>
  <c r="B66" i="6" s="1"/>
  <c r="B101" i="6" s="1"/>
  <c r="B38" i="12" s="1"/>
  <c r="E40" i="2"/>
  <c r="C23" i="16" s="1"/>
  <c r="G40" i="2"/>
  <c r="D23" i="16" s="1"/>
  <c r="C40" i="2"/>
  <c r="B23" i="16" s="1"/>
  <c r="B137" i="6" l="1" a="1"/>
  <c r="B137" i="6" s="1"/>
  <c r="B83" i="3" l="1"/>
  <c r="B93" i="16" l="1"/>
  <c r="C93" i="16"/>
  <c r="G54" i="2" l="1"/>
  <c r="D35" i="16" s="1"/>
  <c r="C54" i="2"/>
  <c r="B35" i="16" s="1"/>
  <c r="C13" i="12" l="1"/>
  <c r="D13" i="12"/>
  <c r="E13" i="12"/>
  <c r="F13" i="12"/>
  <c r="G13" i="12"/>
  <c r="B58" i="6" a="1"/>
  <c r="B58" i="6" s="1"/>
  <c r="B57" i="6" a="1"/>
  <c r="B57" i="6" s="1"/>
  <c r="B56" i="6" a="1"/>
  <c r="B56" i="6" s="1"/>
  <c r="B55" i="6" a="1"/>
  <c r="B55" i="6" s="1"/>
  <c r="B54" i="6" a="1"/>
  <c r="B54" i="6" s="1"/>
  <c r="B53" i="6" a="1"/>
  <c r="B53" i="6" s="1"/>
  <c r="B52" i="6" a="1"/>
  <c r="B52" i="6" s="1"/>
  <c r="B51" i="6" a="1"/>
  <c r="B51" i="6" s="1"/>
  <c r="B9" i="12" l="1"/>
  <c r="C11" i="12"/>
  <c r="C10" i="12"/>
  <c r="D10" i="12" s="1"/>
  <c r="E10" i="12" s="1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P10" i="12" s="1"/>
  <c r="Q10" i="12" s="1"/>
  <c r="D11" i="12" l="1"/>
  <c r="D12" i="12" s="1"/>
  <c r="C12" i="12"/>
  <c r="D61" i="12" l="1"/>
  <c r="C61" i="12"/>
  <c r="C67" i="12"/>
  <c r="E11" i="12"/>
  <c r="E12" i="12" s="1"/>
  <c r="D67" i="12"/>
  <c r="F11" i="12" l="1"/>
  <c r="F12" i="12" s="1"/>
  <c r="F67" i="12" s="1"/>
  <c r="E67" i="12"/>
  <c r="G11" i="12"/>
  <c r="F61" i="12" l="1"/>
  <c r="H11" i="12"/>
  <c r="G12" i="12"/>
  <c r="D72" i="3"/>
  <c r="D73" i="3"/>
  <c r="D74" i="3"/>
  <c r="C71" i="3"/>
  <c r="C72" i="3"/>
  <c r="C73" i="3"/>
  <c r="C74" i="3"/>
  <c r="C75" i="3"/>
  <c r="C70" i="3"/>
  <c r="C114" i="16"/>
  <c r="D51" i="4"/>
  <c r="C97" i="16" s="1"/>
  <c r="C110" i="16" l="1"/>
  <c r="G67" i="12"/>
  <c r="I11" i="12"/>
  <c r="H12" i="12"/>
  <c r="D71" i="3"/>
  <c r="C44" i="3"/>
  <c r="D75" i="3"/>
  <c r="C48" i="3"/>
  <c r="C43" i="11"/>
  <c r="D43" i="11" s="1"/>
  <c r="C42" i="11"/>
  <c r="D42" i="11" s="1"/>
  <c r="B48" i="11" s="1"/>
  <c r="C41" i="11"/>
  <c r="D41" i="11" s="1"/>
  <c r="C40" i="11"/>
  <c r="D40" i="11" s="1"/>
  <c r="C39" i="11"/>
  <c r="D39" i="11" s="1"/>
  <c r="C38" i="11"/>
  <c r="D38" i="11" s="1"/>
  <c r="C37" i="11"/>
  <c r="D37" i="11" s="1"/>
  <c r="C36" i="11"/>
  <c r="D36" i="11" s="1"/>
  <c r="C35" i="11"/>
  <c r="D35" i="11" s="1"/>
  <c r="C34" i="11"/>
  <c r="D34" i="11" s="1"/>
  <c r="C33" i="11"/>
  <c r="D33" i="11" s="1"/>
  <c r="B46" i="11" s="1"/>
  <c r="C32" i="11"/>
  <c r="D32" i="11" s="1"/>
  <c r="C29" i="11"/>
  <c r="D29" i="11" s="1"/>
  <c r="C28" i="11"/>
  <c r="D28" i="11" s="1"/>
  <c r="C27" i="11"/>
  <c r="D27" i="11" s="1"/>
  <c r="C26" i="11"/>
  <c r="D26" i="11" s="1"/>
  <c r="C25" i="11"/>
  <c r="D25" i="11" s="1"/>
  <c r="C24" i="11"/>
  <c r="D24" i="11" s="1"/>
  <c r="C23" i="11"/>
  <c r="D23" i="11" s="1"/>
  <c r="C22" i="11"/>
  <c r="D22" i="11" s="1"/>
  <c r="C21" i="11"/>
  <c r="D21" i="11" s="1"/>
  <c r="C20" i="11"/>
  <c r="D20" i="11" s="1"/>
  <c r="C19" i="11"/>
  <c r="D19" i="11" s="1"/>
  <c r="B57" i="11" s="1"/>
  <c r="C18" i="11"/>
  <c r="D18" i="11" s="1"/>
  <c r="C15" i="11"/>
  <c r="D15" i="11" s="1"/>
  <c r="C14" i="11"/>
  <c r="D14" i="11" s="1"/>
  <c r="C13" i="11"/>
  <c r="D13" i="11" s="1"/>
  <c r="M104" i="15" l="1"/>
  <c r="B82" i="15"/>
  <c r="O104" i="15"/>
  <c r="C104" i="15"/>
  <c r="B104" i="15"/>
  <c r="F104" i="15"/>
  <c r="D104" i="15"/>
  <c r="J104" i="15"/>
  <c r="P104" i="15"/>
  <c r="G104" i="15"/>
  <c r="E104" i="15"/>
  <c r="H104" i="15"/>
  <c r="L104" i="15"/>
  <c r="K104" i="15"/>
  <c r="Q104" i="15"/>
  <c r="N104" i="15"/>
  <c r="I104" i="15"/>
  <c r="J11" i="12"/>
  <c r="I12" i="12"/>
  <c r="H67" i="12"/>
  <c r="B50" i="11"/>
  <c r="B60" i="11"/>
  <c r="B49" i="11"/>
  <c r="D76" i="3"/>
  <c r="B58" i="11"/>
  <c r="B61" i="11"/>
  <c r="B59" i="11"/>
  <c r="B47" i="11"/>
  <c r="B53" i="11" s="1"/>
  <c r="B62" i="11"/>
  <c r="B51" i="11"/>
  <c r="I61" i="12" l="1"/>
  <c r="I67" i="12"/>
  <c r="K11" i="12"/>
  <c r="J12" i="12"/>
  <c r="B185" i="6"/>
  <c r="B191" i="6" s="1"/>
  <c r="B61" i="6" a="1"/>
  <c r="B61" i="6" s="1"/>
  <c r="E54" i="2"/>
  <c r="B11" i="6"/>
  <c r="B97" i="6" s="1"/>
  <c r="B34" i="12" s="1"/>
  <c r="B109" i="6"/>
  <c r="B46" i="12" s="1"/>
  <c r="B110" i="6"/>
  <c r="B47" i="12" s="1"/>
  <c r="B111" i="6"/>
  <c r="B48" i="12" s="1"/>
  <c r="B112" i="6"/>
  <c r="B49" i="12" s="1"/>
  <c r="B113" i="6"/>
  <c r="B50" i="12" s="1"/>
  <c r="B45" i="12"/>
  <c r="B60" i="6" l="1" a="1"/>
  <c r="B60" i="6" s="1"/>
  <c r="B95" i="6" s="1"/>
  <c r="B32" i="12" s="1"/>
  <c r="C35" i="16"/>
  <c r="L11" i="12"/>
  <c r="K12" i="12"/>
  <c r="J67" i="12"/>
  <c r="B96" i="6"/>
  <c r="B33" i="12" s="1"/>
  <c r="K67" i="12" l="1"/>
  <c r="M11" i="12"/>
  <c r="L12" i="12"/>
  <c r="B13" i="6"/>
  <c r="B146" i="6" s="1"/>
  <c r="B9" i="6"/>
  <c r="B150" i="6" s="1"/>
  <c r="B96" i="3" l="1"/>
  <c r="B98" i="3" s="1"/>
  <c r="B49" i="14"/>
  <c r="B12" i="14"/>
  <c r="B15" i="14" s="1"/>
  <c r="B16" i="14" s="1"/>
  <c r="B44" i="14"/>
  <c r="B147" i="6"/>
  <c r="J56" i="12" s="1"/>
  <c r="B91" i="6"/>
  <c r="B28" i="12" s="1"/>
  <c r="B86" i="6"/>
  <c r="L67" i="12"/>
  <c r="N11" i="12"/>
  <c r="M12" i="12"/>
  <c r="B149" i="6"/>
  <c r="B58" i="12" s="1"/>
  <c r="B88" i="6"/>
  <c r="B25" i="12" s="1"/>
  <c r="B17" i="6"/>
  <c r="B158" i="6" s="1"/>
  <c r="B12" i="3"/>
  <c r="B16" i="3" s="1"/>
  <c r="B29" i="3" s="1"/>
  <c r="B87" i="6"/>
  <c r="B24" i="12" s="1"/>
  <c r="B93" i="6"/>
  <c r="B30" i="12" s="1"/>
  <c r="B89" i="6"/>
  <c r="B26" i="12" s="1"/>
  <c r="B92" i="6"/>
  <c r="B29" i="12" s="1"/>
  <c r="B90" i="6"/>
  <c r="B27" i="12" s="1"/>
  <c r="B15" i="6"/>
  <c r="B154" i="6" l="1"/>
  <c r="B153" i="6"/>
  <c r="B162" i="6" s="1"/>
  <c r="D90" i="15"/>
  <c r="O100" i="15"/>
  <c r="O101" i="15"/>
  <c r="O109" i="15" s="1"/>
  <c r="H90" i="15"/>
  <c r="M90" i="15"/>
  <c r="I101" i="15"/>
  <c r="I109" i="15" s="1"/>
  <c r="H100" i="15"/>
  <c r="N100" i="15"/>
  <c r="F101" i="15"/>
  <c r="F109" i="15" s="1"/>
  <c r="K100" i="15"/>
  <c r="K90" i="15"/>
  <c r="N101" i="15"/>
  <c r="N109" i="15" s="1"/>
  <c r="O90" i="15"/>
  <c r="K101" i="15"/>
  <c r="K109" i="15" s="1"/>
  <c r="N90" i="15"/>
  <c r="I90" i="15"/>
  <c r="E101" i="15"/>
  <c r="E109" i="15" s="1"/>
  <c r="D100" i="15"/>
  <c r="C90" i="15"/>
  <c r="F100" i="15"/>
  <c r="M100" i="15"/>
  <c r="H101" i="15"/>
  <c r="H109" i="15" s="1"/>
  <c r="F90" i="15"/>
  <c r="M101" i="15"/>
  <c r="M109" i="15" s="1"/>
  <c r="P101" i="15"/>
  <c r="P109" i="15" s="1"/>
  <c r="C101" i="15"/>
  <c r="C109" i="15" s="1"/>
  <c r="E90" i="15"/>
  <c r="I100" i="15"/>
  <c r="P100" i="15"/>
  <c r="P90" i="15"/>
  <c r="E100" i="15"/>
  <c r="D101" i="15"/>
  <c r="D109" i="15" s="1"/>
  <c r="B59" i="12"/>
  <c r="B118" i="6"/>
  <c r="B89" i="15" s="1"/>
  <c r="B99" i="15" s="1"/>
  <c r="B23" i="12"/>
  <c r="B152" i="6"/>
  <c r="B165" i="6" s="1"/>
  <c r="B83" i="6"/>
  <c r="B20" i="12" s="1"/>
  <c r="B82" i="6"/>
  <c r="B84" i="6"/>
  <c r="M61" i="12"/>
  <c r="G61" i="12"/>
  <c r="L61" i="12"/>
  <c r="M56" i="12"/>
  <c r="C56" i="12"/>
  <c r="D56" i="12"/>
  <c r="L56" i="12"/>
  <c r="F56" i="12"/>
  <c r="K56" i="12"/>
  <c r="E56" i="12"/>
  <c r="H56" i="12"/>
  <c r="G56" i="12"/>
  <c r="B56" i="12"/>
  <c r="I56" i="12"/>
  <c r="B55" i="12"/>
  <c r="B24" i="3"/>
  <c r="B85" i="3"/>
  <c r="O11" i="12"/>
  <c r="N12" i="12"/>
  <c r="M67" i="12"/>
  <c r="J55" i="12"/>
  <c r="I55" i="12"/>
  <c r="L55" i="12"/>
  <c r="C55" i="12"/>
  <c r="E55" i="12"/>
  <c r="H55" i="12"/>
  <c r="K55" i="12"/>
  <c r="M55" i="12"/>
  <c r="F55" i="12"/>
  <c r="D55" i="12"/>
  <c r="G55" i="12"/>
  <c r="K58" i="12"/>
  <c r="H58" i="12"/>
  <c r="E58" i="12"/>
  <c r="G58" i="12"/>
  <c r="J58" i="12"/>
  <c r="D58" i="12"/>
  <c r="L58" i="12"/>
  <c r="I58" i="12"/>
  <c r="C58" i="12"/>
  <c r="M58" i="12"/>
  <c r="F58" i="12"/>
  <c r="M65" i="12"/>
  <c r="D65" i="12"/>
  <c r="G65" i="12"/>
  <c r="H65" i="12"/>
  <c r="E65" i="12"/>
  <c r="L65" i="12"/>
  <c r="F65" i="12"/>
  <c r="C65" i="12"/>
  <c r="B65" i="12"/>
  <c r="J65" i="12"/>
  <c r="K65" i="12"/>
  <c r="I65" i="12"/>
  <c r="C59" i="12"/>
  <c r="E59" i="12"/>
  <c r="L59" i="12"/>
  <c r="G59" i="12"/>
  <c r="D59" i="12"/>
  <c r="I59" i="12"/>
  <c r="K59" i="12"/>
  <c r="H59" i="12"/>
  <c r="M59" i="12"/>
  <c r="J59" i="12"/>
  <c r="F59" i="12"/>
  <c r="B29" i="6"/>
  <c r="B30" i="6" s="1"/>
  <c r="B156" i="6"/>
  <c r="B155" i="6"/>
  <c r="J100" i="15" l="1"/>
  <c r="L90" i="15"/>
  <c r="Q90" i="15"/>
  <c r="B90" i="15"/>
  <c r="J90" i="15"/>
  <c r="Q101" i="15"/>
  <c r="Q109" i="15" s="1"/>
  <c r="B100" i="15"/>
  <c r="G101" i="15"/>
  <c r="G109" i="15" s="1"/>
  <c r="G100" i="15"/>
  <c r="Q100" i="15"/>
  <c r="B101" i="15"/>
  <c r="B109" i="15" s="1"/>
  <c r="G90" i="15"/>
  <c r="J101" i="15"/>
  <c r="J109" i="15" s="1"/>
  <c r="L100" i="15"/>
  <c r="L101" i="15"/>
  <c r="L109" i="15" s="1"/>
  <c r="B166" i="6"/>
  <c r="B117" i="6"/>
  <c r="B163" i="6"/>
  <c r="E61" i="12"/>
  <c r="J61" i="12"/>
  <c r="B115" i="6"/>
  <c r="B86" i="15" s="1"/>
  <c r="B21" i="12"/>
  <c r="K61" i="12"/>
  <c r="H61" i="12"/>
  <c r="B19" i="12"/>
  <c r="N59" i="12"/>
  <c r="N58" i="12"/>
  <c r="N61" i="12"/>
  <c r="B41" i="3"/>
  <c r="B68" i="3"/>
  <c r="B56" i="3"/>
  <c r="B30" i="3"/>
  <c r="B35" i="3" s="1"/>
  <c r="C25" i="14" s="1"/>
  <c r="B88" i="3"/>
  <c r="B87" i="3"/>
  <c r="N55" i="12"/>
  <c r="N65" i="12"/>
  <c r="N67" i="12"/>
  <c r="N56" i="12"/>
  <c r="P11" i="12"/>
  <c r="O12" i="12"/>
  <c r="B62" i="12"/>
  <c r="J62" i="12"/>
  <c r="M62" i="12"/>
  <c r="G62" i="12"/>
  <c r="H62" i="12"/>
  <c r="E62" i="12"/>
  <c r="K62" i="12"/>
  <c r="N62" i="12"/>
  <c r="L62" i="12"/>
  <c r="I62" i="12"/>
  <c r="C62" i="12"/>
  <c r="D62" i="12"/>
  <c r="F62" i="12"/>
  <c r="B63" i="12"/>
  <c r="K63" i="12"/>
  <c r="L63" i="12"/>
  <c r="I63" i="12"/>
  <c r="J63" i="12"/>
  <c r="F63" i="12"/>
  <c r="M63" i="12"/>
  <c r="D63" i="12"/>
  <c r="C63" i="12"/>
  <c r="N63" i="12"/>
  <c r="G63" i="12"/>
  <c r="H63" i="12"/>
  <c r="E63" i="12"/>
  <c r="B190" i="6"/>
  <c r="B55" i="3"/>
  <c r="B40" i="3"/>
  <c r="B43" i="3" s="1"/>
  <c r="B67" i="3"/>
  <c r="D21" i="4"/>
  <c r="C78" i="16" s="1"/>
  <c r="D20" i="4"/>
  <c r="B113" i="15" l="1"/>
  <c r="B117" i="15"/>
  <c r="F117" i="15"/>
  <c r="J117" i="15"/>
  <c r="N117" i="15"/>
  <c r="D117" i="15"/>
  <c r="H117" i="15"/>
  <c r="L117" i="15"/>
  <c r="P117" i="15"/>
  <c r="E117" i="15"/>
  <c r="I117" i="15"/>
  <c r="M117" i="15"/>
  <c r="Q117" i="15"/>
  <c r="C117" i="15"/>
  <c r="G117" i="15"/>
  <c r="K117" i="15"/>
  <c r="O117" i="15"/>
  <c r="B88" i="15"/>
  <c r="B77" i="12"/>
  <c r="B34" i="3"/>
  <c r="B189" i="6"/>
  <c r="C77" i="16"/>
  <c r="D78" i="12"/>
  <c r="D90" i="12" s="1"/>
  <c r="I78" i="12"/>
  <c r="I90" i="12" s="1"/>
  <c r="G78" i="12"/>
  <c r="G90" i="12" s="1"/>
  <c r="C78" i="12"/>
  <c r="C90" i="12" s="1"/>
  <c r="K78" i="12"/>
  <c r="K90" i="12" s="1"/>
  <c r="M78" i="12"/>
  <c r="M90" i="12" s="1"/>
  <c r="E78" i="12"/>
  <c r="E90" i="12" s="1"/>
  <c r="F78" i="12"/>
  <c r="F90" i="12" s="1"/>
  <c r="L78" i="12"/>
  <c r="L90" i="12" s="1"/>
  <c r="H78" i="12"/>
  <c r="H90" i="12" s="1"/>
  <c r="B78" i="12"/>
  <c r="J78" i="12"/>
  <c r="J90" i="12" s="1"/>
  <c r="N78" i="12"/>
  <c r="N90" i="12" s="1"/>
  <c r="O62" i="12"/>
  <c r="O61" i="12"/>
  <c r="B90" i="3"/>
  <c r="B70" i="3"/>
  <c r="O63" i="12"/>
  <c r="O67" i="12"/>
  <c r="O56" i="12"/>
  <c r="O55" i="12"/>
  <c r="O58" i="12"/>
  <c r="O65" i="12"/>
  <c r="O59" i="12"/>
  <c r="Q11" i="12"/>
  <c r="Q12" i="12" s="1"/>
  <c r="P12" i="12"/>
  <c r="B63" i="3"/>
  <c r="B46" i="3"/>
  <c r="B45" i="3"/>
  <c r="B48" i="3"/>
  <c r="B44" i="3"/>
  <c r="B47" i="3"/>
  <c r="B59" i="3"/>
  <c r="B61" i="3" s="1"/>
  <c r="B73" i="3"/>
  <c r="B74" i="3"/>
  <c r="B71" i="3"/>
  <c r="B75" i="3"/>
  <c r="B72" i="3"/>
  <c r="B58" i="3"/>
  <c r="B60" i="3" s="1"/>
  <c r="B98" i="15" l="1"/>
  <c r="B108" i="15" s="1"/>
  <c r="B37" i="3"/>
  <c r="Q70" i="12" s="1"/>
  <c r="C24" i="14"/>
  <c r="C27" i="14" s="1"/>
  <c r="B50" i="3"/>
  <c r="B52" i="3" s="1"/>
  <c r="E73" i="12"/>
  <c r="F73" i="12"/>
  <c r="C73" i="12"/>
  <c r="H73" i="12"/>
  <c r="I73" i="12"/>
  <c r="J73" i="12"/>
  <c r="G73" i="12"/>
  <c r="L73" i="12"/>
  <c r="M73" i="12"/>
  <c r="N73" i="12"/>
  <c r="K73" i="12"/>
  <c r="P73" i="12"/>
  <c r="P85" i="12" s="1"/>
  <c r="D73" i="12"/>
  <c r="Q73" i="12"/>
  <c r="Q85" i="12" s="1"/>
  <c r="B73" i="12"/>
  <c r="O73" i="12"/>
  <c r="B90" i="12"/>
  <c r="B76" i="3"/>
  <c r="B72" i="12" s="1"/>
  <c r="O78" i="12"/>
  <c r="O90" i="12" s="1"/>
  <c r="Q61" i="12"/>
  <c r="P61" i="12"/>
  <c r="J102" i="15"/>
  <c r="J108" i="15" s="1"/>
  <c r="N102" i="15"/>
  <c r="N108" i="15" s="1"/>
  <c r="E102" i="15"/>
  <c r="E108" i="15" s="1"/>
  <c r="L102" i="15"/>
  <c r="L108" i="15" s="1"/>
  <c r="K102" i="15"/>
  <c r="K108" i="15" s="1"/>
  <c r="F102" i="15"/>
  <c r="F108" i="15" s="1"/>
  <c r="Q102" i="15"/>
  <c r="Q108" i="15" s="1"/>
  <c r="H102" i="15"/>
  <c r="H108" i="15" s="1"/>
  <c r="G102" i="15"/>
  <c r="G108" i="15" s="1"/>
  <c r="M102" i="15"/>
  <c r="M108" i="15" s="1"/>
  <c r="D102" i="15"/>
  <c r="D108" i="15" s="1"/>
  <c r="C102" i="15"/>
  <c r="C108" i="15" s="1"/>
  <c r="I102" i="15"/>
  <c r="I108" i="15" s="1"/>
  <c r="P102" i="15"/>
  <c r="P108" i="15" s="1"/>
  <c r="O102" i="15"/>
  <c r="O108" i="15" s="1"/>
  <c r="Q105" i="15"/>
  <c r="B105" i="15"/>
  <c r="M105" i="15"/>
  <c r="E105" i="15"/>
  <c r="D105" i="15"/>
  <c r="C105" i="15"/>
  <c r="N105" i="15"/>
  <c r="P105" i="15"/>
  <c r="O105" i="15"/>
  <c r="H105" i="15"/>
  <c r="J105" i="15"/>
  <c r="I105" i="15"/>
  <c r="L105" i="15"/>
  <c r="K105" i="15"/>
  <c r="F105" i="15"/>
  <c r="G105" i="15"/>
  <c r="Q67" i="12"/>
  <c r="Q56" i="12"/>
  <c r="Q59" i="12"/>
  <c r="Q55" i="12"/>
  <c r="Q58" i="12"/>
  <c r="Q65" i="12"/>
  <c r="Q62" i="12"/>
  <c r="Q63" i="12"/>
  <c r="P67" i="12"/>
  <c r="P56" i="12"/>
  <c r="P55" i="12"/>
  <c r="P65" i="12"/>
  <c r="P59" i="12"/>
  <c r="P58" i="12"/>
  <c r="P62" i="12"/>
  <c r="P63" i="12"/>
  <c r="B64" i="3"/>
  <c r="B112" i="15" l="1"/>
  <c r="B116" i="15"/>
  <c r="B110" i="15"/>
  <c r="B72" i="15"/>
  <c r="L70" i="12"/>
  <c r="L83" i="12" s="1"/>
  <c r="D70" i="12"/>
  <c r="D83" i="12" s="1"/>
  <c r="N70" i="12"/>
  <c r="N83" i="12" s="1"/>
  <c r="B100" i="3"/>
  <c r="K70" i="12"/>
  <c r="K83" i="12" s="1"/>
  <c r="M70" i="12"/>
  <c r="M83" i="12" s="1"/>
  <c r="F70" i="12"/>
  <c r="F83" i="12" s="1"/>
  <c r="C70" i="12"/>
  <c r="C83" i="12" s="1"/>
  <c r="E70" i="12"/>
  <c r="H70" i="12"/>
  <c r="H83" i="12" s="1"/>
  <c r="G70" i="12"/>
  <c r="G83" i="12" s="1"/>
  <c r="J70" i="12"/>
  <c r="J83" i="12" s="1"/>
  <c r="I70" i="12"/>
  <c r="I83" i="12" s="1"/>
  <c r="P70" i="12"/>
  <c r="P83" i="12" s="1"/>
  <c r="O70" i="12"/>
  <c r="O83" i="12" s="1"/>
  <c r="B70" i="12"/>
  <c r="B83" i="12" s="1"/>
  <c r="P84" i="12"/>
  <c r="Q84" i="12"/>
  <c r="B85" i="12"/>
  <c r="B84" i="12"/>
  <c r="K85" i="12"/>
  <c r="K84" i="12"/>
  <c r="G85" i="12"/>
  <c r="G84" i="12"/>
  <c r="C85" i="12"/>
  <c r="C84" i="12"/>
  <c r="O85" i="12"/>
  <c r="O84" i="12"/>
  <c r="L85" i="12"/>
  <c r="L84" i="12"/>
  <c r="N85" i="12"/>
  <c r="N84" i="12"/>
  <c r="J85" i="12"/>
  <c r="J84" i="12"/>
  <c r="F85" i="12"/>
  <c r="F84" i="12"/>
  <c r="H85" i="12"/>
  <c r="H84" i="12"/>
  <c r="D85" i="12"/>
  <c r="D84" i="12"/>
  <c r="M85" i="12"/>
  <c r="M84" i="12"/>
  <c r="I85" i="12"/>
  <c r="I84" i="12"/>
  <c r="E85" i="12"/>
  <c r="E84" i="12"/>
  <c r="Q78" i="12"/>
  <c r="Q90" i="12" s="1"/>
  <c r="P78" i="12"/>
  <c r="I110" i="15"/>
  <c r="H110" i="15"/>
  <c r="L110" i="15"/>
  <c r="P110" i="15"/>
  <c r="C110" i="15"/>
  <c r="M110" i="15"/>
  <c r="Q110" i="15"/>
  <c r="F110" i="15"/>
  <c r="J110" i="15"/>
  <c r="N110" i="15"/>
  <c r="E110" i="15"/>
  <c r="G110" i="15"/>
  <c r="K110" i="15"/>
  <c r="O110" i="15"/>
  <c r="D110" i="15"/>
  <c r="Q83" i="12"/>
  <c r="E83" i="12"/>
  <c r="H72" i="12"/>
  <c r="H80" i="12" s="1"/>
  <c r="B80" i="12"/>
  <c r="E72" i="12"/>
  <c r="E80" i="12" s="1"/>
  <c r="P72" i="12"/>
  <c r="P80" i="12" s="1"/>
  <c r="J72" i="12"/>
  <c r="J80" i="12" s="1"/>
  <c r="G72" i="12"/>
  <c r="G80" i="12" s="1"/>
  <c r="C72" i="12"/>
  <c r="C80" i="12" s="1"/>
  <c r="D72" i="12"/>
  <c r="D80" i="12" s="1"/>
  <c r="K72" i="12"/>
  <c r="K80" i="12" s="1"/>
  <c r="N72" i="12"/>
  <c r="N80" i="12" s="1"/>
  <c r="O72" i="12"/>
  <c r="O80" i="12" s="1"/>
  <c r="Q72" i="12"/>
  <c r="Q80" i="12" s="1"/>
  <c r="M72" i="12"/>
  <c r="M80" i="12" s="1"/>
  <c r="L72" i="12"/>
  <c r="L80" i="12" s="1"/>
  <c r="F72" i="12"/>
  <c r="F80" i="12" s="1"/>
  <c r="I72" i="12"/>
  <c r="I80" i="12" s="1"/>
  <c r="O71" i="12"/>
  <c r="O79" i="12" s="1"/>
  <c r="B71" i="12"/>
  <c r="B79" i="12" s="1"/>
  <c r="B89" i="12" s="1"/>
  <c r="Q71" i="12"/>
  <c r="Q79" i="12" s="1"/>
  <c r="J71" i="12"/>
  <c r="J79" i="12" s="1"/>
  <c r="D71" i="12"/>
  <c r="D79" i="12" s="1"/>
  <c r="K71" i="12"/>
  <c r="K79" i="12" s="1"/>
  <c r="M71" i="12"/>
  <c r="M79" i="12" s="1"/>
  <c r="P71" i="12"/>
  <c r="P79" i="12" s="1"/>
  <c r="G71" i="12"/>
  <c r="G79" i="12" s="1"/>
  <c r="N71" i="12"/>
  <c r="N79" i="12" s="1"/>
  <c r="I71" i="12"/>
  <c r="I79" i="12" s="1"/>
  <c r="L71" i="12"/>
  <c r="L79" i="12" s="1"/>
  <c r="C71" i="12"/>
  <c r="C79" i="12" s="1"/>
  <c r="F71" i="12"/>
  <c r="F79" i="12" s="1"/>
  <c r="E71" i="12"/>
  <c r="E79" i="12" s="1"/>
  <c r="H71" i="12"/>
  <c r="H79" i="12" s="1"/>
  <c r="B114" i="15" l="1"/>
  <c r="B118" i="15"/>
  <c r="C116" i="15"/>
  <c r="G116" i="15"/>
  <c r="K116" i="15"/>
  <c r="O116" i="15"/>
  <c r="F116" i="15"/>
  <c r="J116" i="15"/>
  <c r="N116" i="15"/>
  <c r="D116" i="15"/>
  <c r="H116" i="15"/>
  <c r="L116" i="15"/>
  <c r="P116" i="15"/>
  <c r="E116" i="15"/>
  <c r="I116" i="15"/>
  <c r="M116" i="15"/>
  <c r="Q116" i="15"/>
  <c r="B92" i="12"/>
  <c r="B74" i="15"/>
  <c r="I92" i="12"/>
  <c r="P92" i="12"/>
  <c r="H92" i="12"/>
  <c r="Q92" i="12"/>
  <c r="D92" i="12"/>
  <c r="F92" i="12"/>
  <c r="O92" i="12"/>
  <c r="G92" i="12"/>
  <c r="N92" i="12"/>
  <c r="K92" i="12"/>
  <c r="J92" i="12"/>
  <c r="E92" i="12"/>
  <c r="M92" i="12"/>
  <c r="L92" i="12"/>
  <c r="C92" i="12"/>
  <c r="C118" i="15"/>
  <c r="B43" i="14"/>
  <c r="B46" i="14" s="1"/>
  <c r="P90" i="12"/>
  <c r="B96" i="12" s="1"/>
  <c r="B109" i="12" s="1"/>
  <c r="G118" i="15"/>
  <c r="K118" i="15"/>
  <c r="O118" i="15"/>
  <c r="D118" i="15"/>
  <c r="H118" i="15"/>
  <c r="L118" i="15"/>
  <c r="P118" i="15"/>
  <c r="E118" i="15"/>
  <c r="I118" i="15"/>
  <c r="M118" i="15"/>
  <c r="Q118" i="15"/>
  <c r="F118" i="15"/>
  <c r="J118" i="15"/>
  <c r="N118" i="15"/>
  <c r="O81" i="12"/>
  <c r="O86" i="12" s="1"/>
  <c r="K81" i="12"/>
  <c r="K86" i="12" s="1"/>
  <c r="H89" i="12"/>
  <c r="H91" i="12" s="1"/>
  <c r="H81" i="12"/>
  <c r="H86" i="12" s="1"/>
  <c r="P89" i="12"/>
  <c r="P81" i="12"/>
  <c r="P86" i="12" s="1"/>
  <c r="I89" i="12"/>
  <c r="I91" i="12" s="1"/>
  <c r="I81" i="12"/>
  <c r="I86" i="12" s="1"/>
  <c r="M89" i="12"/>
  <c r="M91" i="12" s="1"/>
  <c r="M81" i="12"/>
  <c r="M86" i="12" s="1"/>
  <c r="Q89" i="12"/>
  <c r="Q91" i="12" s="1"/>
  <c r="Q81" i="12"/>
  <c r="Q86" i="12" s="1"/>
  <c r="O89" i="12"/>
  <c r="O91" i="12" s="1"/>
  <c r="L89" i="12"/>
  <c r="L91" i="12" s="1"/>
  <c r="L81" i="12"/>
  <c r="L86" i="12" s="1"/>
  <c r="J89" i="12"/>
  <c r="J91" i="12" s="1"/>
  <c r="J81" i="12"/>
  <c r="J86" i="12" s="1"/>
  <c r="N89" i="12"/>
  <c r="N91" i="12" s="1"/>
  <c r="N81" i="12"/>
  <c r="N86" i="12" s="1"/>
  <c r="K89" i="12"/>
  <c r="K91" i="12" s="1"/>
  <c r="D89" i="12"/>
  <c r="D91" i="12" s="1"/>
  <c r="F89" i="12"/>
  <c r="F91" i="12" s="1"/>
  <c r="G89" i="12"/>
  <c r="G91" i="12" s="1"/>
  <c r="E89" i="12"/>
  <c r="E91" i="12" s="1"/>
  <c r="C89" i="12"/>
  <c r="C91" i="12" s="1"/>
  <c r="D81" i="12"/>
  <c r="F81" i="12"/>
  <c r="F86" i="12" s="1"/>
  <c r="C81" i="12"/>
  <c r="E81" i="12"/>
  <c r="E86" i="12" s="1"/>
  <c r="G81" i="12"/>
  <c r="G86" i="12" s="1"/>
  <c r="B81" i="12"/>
  <c r="B86" i="12" s="1"/>
  <c r="J93" i="12" l="1"/>
  <c r="N93" i="12"/>
  <c r="H93" i="12"/>
  <c r="D93" i="12"/>
  <c r="G93" i="12"/>
  <c r="I93" i="12"/>
  <c r="Q93" i="12"/>
  <c r="F93" i="12"/>
  <c r="O93" i="12"/>
  <c r="C93" i="12"/>
  <c r="L93" i="12"/>
  <c r="K93" i="12"/>
  <c r="E93" i="12"/>
  <c r="M93" i="12"/>
  <c r="P91" i="12"/>
  <c r="P93" i="12" s="1"/>
  <c r="B97" i="12"/>
  <c r="B91" i="12"/>
  <c r="B102" i="12" s="1"/>
  <c r="B95" i="12"/>
  <c r="B98" i="12" s="1"/>
  <c r="D86" i="12"/>
  <c r="C86" i="12"/>
  <c r="B106" i="12" l="1"/>
  <c r="B103" i="12"/>
  <c r="Q103" i="12"/>
  <c r="P103" i="12"/>
  <c r="O103" i="12"/>
  <c r="N103" i="12"/>
  <c r="M103" i="12"/>
  <c r="L103" i="12"/>
  <c r="K103" i="12"/>
  <c r="J103" i="12"/>
  <c r="I103" i="12"/>
  <c r="H103" i="12"/>
  <c r="G103" i="12"/>
  <c r="F103" i="12"/>
  <c r="E103" i="12"/>
  <c r="D103" i="12"/>
  <c r="C103" i="12"/>
  <c r="Q102" i="12"/>
  <c r="N102" i="12"/>
  <c r="O102" i="12"/>
  <c r="D102" i="12"/>
  <c r="M102" i="12"/>
  <c r="B93" i="12"/>
  <c r="B48" i="14" s="1"/>
  <c r="B51" i="14" s="1"/>
  <c r="K102" i="12"/>
  <c r="F102" i="12"/>
  <c r="G102" i="12"/>
  <c r="B99" i="12"/>
  <c r="B108" i="12" s="1"/>
  <c r="I102" i="12"/>
  <c r="E102" i="12"/>
  <c r="H102" i="12"/>
  <c r="C102" i="12"/>
  <c r="L102" i="12"/>
  <c r="P102" i="12"/>
  <c r="J102" i="12"/>
  <c r="B107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SCOTTG</author>
  </authors>
  <commentList>
    <comment ref="A21" authorId="0" shapeId="0" xr:uid="{04845B1E-27F3-4B21-AC29-3FF18CF4D78F}">
      <text>
        <r>
          <rPr>
            <b/>
            <sz val="9"/>
            <color indexed="81"/>
            <rFont val="Tahoma"/>
            <family val="2"/>
          </rPr>
          <t>SCOTTG:</t>
        </r>
        <r>
          <rPr>
            <sz val="9"/>
            <color indexed="81"/>
            <rFont val="Tahoma"/>
            <family val="2"/>
          </rPr>
          <t xml:space="preserve">
what about if a bins is good quality but without reverse lids etc?</t>
        </r>
      </text>
    </comment>
    <comment ref="A61" authorId="0" shapeId="0" xr:uid="{2CE4E857-BEFE-4606-BE84-59902CB0E04D}">
      <text>
        <r>
          <rPr>
            <b/>
            <sz val="9"/>
            <color indexed="81"/>
            <rFont val="Tahoma"/>
            <family val="2"/>
          </rPr>
          <t>SCOTTG:</t>
        </r>
        <r>
          <rPr>
            <sz val="9"/>
            <color indexed="81"/>
            <rFont val="Tahoma"/>
            <family val="2"/>
          </rPr>
          <t xml:space="preserve">
time taken depends on the size and complexity of the block and what improvments are needed.  I've estimated based on an average block.  Assume recycling officer time.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<sst xmlns="http://schemas.openxmlformats.org/spreadsheetml/2006/main" count="2143" uniqueCount="1351">
  <si>
    <t>Inputs</t>
  </si>
  <si>
    <t>Notes for Eric</t>
  </si>
  <si>
    <t>Administration</t>
  </si>
  <si>
    <t>London borough</t>
  </si>
  <si>
    <t>Hackney</t>
  </si>
  <si>
    <t>User type</t>
  </si>
  <si>
    <t>Housing provider</t>
  </si>
  <si>
    <t>Used to drive split of costs/benefits between boroughs/housing providers</t>
  </si>
  <si>
    <t>Cost scenarios</t>
  </si>
  <si>
    <t>High - assumes new bins required, bin areas need painting and flooring…</t>
  </si>
  <si>
    <t>Setup cost scenario</t>
  </si>
  <si>
    <t>Average</t>
  </si>
  <si>
    <t>Expanded to 5 options</t>
  </si>
  <si>
    <t>Medium - new bins required, new signage, bin stickers…</t>
  </si>
  <si>
    <t>We'll need to add a key to explain this scenario</t>
  </si>
  <si>
    <t>Ongoing cost scenario</t>
  </si>
  <si>
    <t>Low</t>
  </si>
  <si>
    <t>Low - assumes no new bins required, no significant bin area clean required…</t>
  </si>
  <si>
    <t>Benefit scenarios</t>
  </si>
  <si>
    <t>Waste volume diverted from residual to recycling through FRP</t>
  </si>
  <si>
    <t>High</t>
  </si>
  <si>
    <t>High - assumes maximum uplift in recyling waste volumes/contamination rates achieved through FRP…</t>
  </si>
  <si>
    <t>Reduction in contamination rate through FRP</t>
  </si>
  <si>
    <t>Medium - assumes average uplift in recyling waste volumes/contamination rates achieved through FRP…</t>
  </si>
  <si>
    <t>Low - assumes lower-end uplift in recyling waste volumes/contamination rates achieved through FRP…</t>
  </si>
  <si>
    <t>Estate characteristics</t>
  </si>
  <si>
    <t>Number of estates</t>
  </si>
  <si>
    <t>Default / user input on estate characteristics</t>
  </si>
  <si>
    <t>Default</t>
  </si>
  <si>
    <t>User input</t>
  </si>
  <si>
    <t>Households per estate</t>
  </si>
  <si>
    <t>Either user input or default assumption</t>
  </si>
  <si>
    <t>Blocks per estate</t>
  </si>
  <si>
    <t>Bin stores per block</t>
  </si>
  <si>
    <t>Recycling bins per bin store</t>
  </si>
  <si>
    <t>Rubbish bins per bin store</t>
  </si>
  <si>
    <t>Collection assumptions</t>
  </si>
  <si>
    <t>Recycling capacity per bin (litres)</t>
  </si>
  <si>
    <t>Pre-FRP frequency of recycling collections per week</t>
  </si>
  <si>
    <t>FRP frequency of recycling collections per week</t>
  </si>
  <si>
    <t>Number of material collections (&gt;1 if multisource)</t>
  </si>
  <si>
    <t>Residual waste disposal method</t>
  </si>
  <si>
    <t>Mix (London average)</t>
  </si>
  <si>
    <t>Drives CO2e emissions abatement and social cost of carbon diverted</t>
  </si>
  <si>
    <t>Drives potential benefit from reduced residual waste collections</t>
  </si>
  <si>
    <t>Cost allocation</t>
  </si>
  <si>
    <t>Bin purchase and maintenance costs</t>
  </si>
  <si>
    <t>London Borough</t>
  </si>
  <si>
    <t>Bin rental to housing provider?</t>
  </si>
  <si>
    <t>Yes</t>
  </si>
  <si>
    <t>Bin rental cost</t>
  </si>
  <si>
    <t>Bin store refurbishment</t>
  </si>
  <si>
    <t>Stickers, posters, signage - product costs</t>
  </si>
  <si>
    <t>Stickers, posters, signage - design costs</t>
  </si>
  <si>
    <t>Project management costs</t>
  </si>
  <si>
    <t>Regular cleansing and monthly inspections</t>
  </si>
  <si>
    <t>Additional recycling waste collections</t>
  </si>
  <si>
    <t>Optional: Borough/estate specific assumptions</t>
  </si>
  <si>
    <t>Default / user input on dry recycling rate</t>
  </si>
  <si>
    <t>Pre-FRP dry recycling volume (tonnes)</t>
  </si>
  <si>
    <t>Pre-FRP total waste volume (tonnes)</t>
  </si>
  <si>
    <t>Dry recycling per household (tonnes/hh)</t>
  </si>
  <si>
    <t>Default / user input on waste disposal costs</t>
  </si>
  <si>
    <t>Borough residual waste disposal costs (gate fee + landfill tax) (£/tonne)</t>
  </si>
  <si>
    <t>Borough recycling waste disposal costs (gate fee) (£/tonne)</t>
  </si>
  <si>
    <t>Borough contamination waste disposal cost (gate fee + landfill tax) (£/tonne)</t>
  </si>
  <si>
    <t>Cost/benefit analysis options</t>
  </si>
  <si>
    <t>Discount factor applied?</t>
  </si>
  <si>
    <t>No</t>
  </si>
  <si>
    <t>Years to consider (up to 15)</t>
  </si>
  <si>
    <t>Outputs</t>
  </si>
  <si>
    <t>Key Performance Indicators</t>
  </si>
  <si>
    <t>Pre-intervention household dry recycling rate (%)</t>
  </si>
  <si>
    <t>User input or baseline data extracted from wastedataflow (2018-19)</t>
  </si>
  <si>
    <t>Post-intervention household dry recycling rate (%)</t>
  </si>
  <si>
    <t>Dry recycling rate uplift (percentage points)</t>
  </si>
  <si>
    <t>Uplift in dry recycled waste volumes in treated flats from FRP  (%)</t>
  </si>
  <si>
    <t>Reduction in contamination rate of dry recycling in treated flats (%pts)</t>
  </si>
  <si>
    <t>CO2e abated (t/year)</t>
  </si>
  <si>
    <t>Varies based on efw vs landfill vs mix</t>
  </si>
  <si>
    <t>Dry recycling bin capacity per household in treated flats (litres/hh/pw)</t>
  </si>
  <si>
    <t>Target: 60 litres/hh/wk</t>
  </si>
  <si>
    <t>Could flash green / red depending on if above/ below the minimum standard of 60l/hh/wk</t>
  </si>
  <si>
    <t>Additional borough/ housing provider net cost per household of FRP (£average/year)</t>
  </si>
  <si>
    <t>Cost to be offset by any benefits to housing providers or boroughs</t>
  </si>
  <si>
    <t>Net benefit to society per household from FRP (£/year)</t>
  </si>
  <si>
    <t>Benefits</t>
  </si>
  <si>
    <t>Social cost of carbon diverted (£)</t>
  </si>
  <si>
    <t>Updated for option to select between efw and landfill as alternative waste disposal method</t>
  </si>
  <si>
    <t>Cost reduction of waste disposal (reduced gate fees and landfill tax) (£)</t>
  </si>
  <si>
    <t>Option added for user input in terms of gate fees / contamination cost</t>
  </si>
  <si>
    <t>Reduced residual waste collection costs (£)</t>
  </si>
  <si>
    <t>Driven by user input if residual waste collections can be foregone</t>
  </si>
  <si>
    <t>Value of material diverted from landfill/efw/contamination (£)</t>
  </si>
  <si>
    <t>Estimated value of additional materials collected</t>
  </si>
  <si>
    <t>Value of improved resident experience (£)</t>
  </si>
  <si>
    <t>Estimated monetary value to residents of improved recycling service and estate cleanliness (improved visual and reduced odours)</t>
  </si>
  <si>
    <t>Total social benefit of FRP (£)</t>
  </si>
  <si>
    <t>Cost profile (annual basis)</t>
  </si>
  <si>
    <t>Year</t>
  </si>
  <si>
    <t>Total setup costs</t>
  </si>
  <si>
    <t>Of which:</t>
  </si>
  <si>
    <t>Housing Provider</t>
  </si>
  <si>
    <t>Total ongoing costs</t>
  </si>
  <si>
    <t>Net cost/benefit calculation</t>
  </si>
  <si>
    <t xml:space="preserve">Discount factor </t>
  </si>
  <si>
    <t>Setup costs - london borough</t>
  </si>
  <si>
    <t>Setup costs - housing provider</t>
  </si>
  <si>
    <t>Ongoing costs - london borough</t>
  </si>
  <si>
    <t>Ongoing costs - housing provider</t>
  </si>
  <si>
    <t>Cost reduction of waste disposal (reduced gate fees and landfill tax)</t>
  </si>
  <si>
    <t>Reduced residual waste collection costs</t>
  </si>
  <si>
    <t>Value of material diverted from landfill/efw/contamination</t>
  </si>
  <si>
    <t>Social cost of carbon diverted</t>
  </si>
  <si>
    <t>Value of improved resident experience</t>
  </si>
  <si>
    <t>London Borough benefit/(cost)</t>
  </si>
  <si>
    <t>Housing provider benefit/(cost)</t>
  </si>
  <si>
    <t>Social benefit/(cost)</t>
  </si>
  <si>
    <t>London Borough net benefit (£)</t>
  </si>
  <si>
    <t>Housing provider net benefit (£)</t>
  </si>
  <si>
    <t>Society net benefit (£)</t>
  </si>
  <si>
    <t>London Borough net benefit (cumulative)</t>
  </si>
  <si>
    <t>Housing provider net benefit (cumulative)</t>
  </si>
  <si>
    <t>Society net benefit (cumulative)</t>
  </si>
  <si>
    <t>Cost scenario</t>
  </si>
  <si>
    <t>Assumption category</t>
  </si>
  <si>
    <t>New bins, litre capacity: 240</t>
  </si>
  <si>
    <t>Cost related</t>
  </si>
  <si>
    <t>New bins, litre capacity: 360</t>
  </si>
  <si>
    <t>New bins, litre capacity: 660</t>
  </si>
  <si>
    <t>New bins, litre capacity:1100</t>
  </si>
  <si>
    <t>New bins, litre capacity: 1280</t>
  </si>
  <si>
    <t>Bin refurb, litre capacity: 240</t>
  </si>
  <si>
    <t>Bin refurb, litre capacity: 360</t>
  </si>
  <si>
    <t>Bin refurb, litre capacity: 660</t>
  </si>
  <si>
    <t>Bin refurb, litre capacity: 1100</t>
  </si>
  <si>
    <t>Bin refurb, litre capacity: 1280</t>
  </si>
  <si>
    <t>Bins ok/reverse lid</t>
  </si>
  <si>
    <t>Bins ok/aperture</t>
  </si>
  <si>
    <t>Bin, bin rooms and signage (1hr)</t>
  </si>
  <si>
    <t>Weeks per clean</t>
  </si>
  <si>
    <t>Painting</t>
  </si>
  <si>
    <t>Lighting</t>
  </si>
  <si>
    <t>Initial deep clean</t>
  </si>
  <si>
    <t>Bin store signage - manufacture</t>
  </si>
  <si>
    <t>Bin store signage - design (one-off)</t>
  </si>
  <si>
    <t>Recycling bin sticker - manufacture cost</t>
  </si>
  <si>
    <t>Recycling bin sticker - design cost (one-off)</t>
  </si>
  <si>
    <t>Recycling bin aperture sticker - manufacture cost</t>
  </si>
  <si>
    <t>Recycling bin aperture sticker - design cost (one-off)</t>
  </si>
  <si>
    <t>Bin store sign on post - manufacture cost</t>
  </si>
  <si>
    <t>Bin store sign on wall - manufacture cost</t>
  </si>
  <si>
    <t>Bin store sign - design cost (one off)</t>
  </si>
  <si>
    <t>Rubbish bin stickers - manufacture cost</t>
  </si>
  <si>
    <t>Rubbish bin sticker - design cost (one-off)</t>
  </si>
  <si>
    <t>Bin store signage on posts - manufacture cost</t>
  </si>
  <si>
    <t>Bin store signage on walls - manufacture cost</t>
  </si>
  <si>
    <t>Chute signage - manufacture cost</t>
  </si>
  <si>
    <t>Chute sign - design cost (one off)</t>
  </si>
  <si>
    <t>Noticeboard A3</t>
  </si>
  <si>
    <t>Recycling / bulky items poster (both A4)</t>
  </si>
  <si>
    <t>Yearly leaflet - manufacture cost</t>
  </si>
  <si>
    <t>Yearly leaflet - design cost (yearly)</t>
  </si>
  <si>
    <t>Recycling collections</t>
  </si>
  <si>
    <t xml:space="preserve">Conduct site assessment </t>
  </si>
  <si>
    <t>Stakeholder engagement</t>
  </si>
  <si>
    <t>Produce improvement plan</t>
  </si>
  <si>
    <t>Produce implementation plan</t>
  </si>
  <si>
    <t>Preparing for delivery (procurement etc.)</t>
  </si>
  <si>
    <t>Roll out of FRP</t>
  </si>
  <si>
    <t>Recycling officer daily salary</t>
  </si>
  <si>
    <t>Monthly officer visit</t>
  </si>
  <si>
    <t>Replacement of items when damaged/broken</t>
  </si>
  <si>
    <t>Permanent staff (FTE)</t>
  </si>
  <si>
    <t>IT equipment</t>
  </si>
  <si>
    <t>Telecommunications</t>
  </si>
  <si>
    <t>Uniforms</t>
  </si>
  <si>
    <t>Workspaces</t>
  </si>
  <si>
    <t>Vehicles</t>
  </si>
  <si>
    <t>FRP reduction in residual waste volume</t>
  </si>
  <si>
    <t>FRP reduction in contamination rate</t>
  </si>
  <si>
    <t>Capacity per bin (l/pw)</t>
  </si>
  <si>
    <t>Pre-FRP frequency of collections per week</t>
  </si>
  <si>
    <t>FRP frequency of collections per week</t>
  </si>
  <si>
    <t>Estate characteristic</t>
  </si>
  <si>
    <t>Noticeboard per block</t>
  </si>
  <si>
    <t>Chutes per bin store</t>
  </si>
  <si>
    <t>Bulk density dry mixed recycling</t>
  </si>
  <si>
    <t>Bin/waste attributes</t>
  </si>
  <si>
    <t>Bin fill rate</t>
  </si>
  <si>
    <t>Waste % sent to landfill</t>
  </si>
  <si>
    <t>Waste % sent to efw</t>
  </si>
  <si>
    <t>Recommended recycling capacity for FRP</t>
  </si>
  <si>
    <t>Density to volume conversion</t>
  </si>
  <si>
    <t>Quantity/time</t>
  </si>
  <si>
    <t>Kg per metric tonne</t>
  </si>
  <si>
    <t>Minutes per hour</t>
  </si>
  <si>
    <t>Days per week</t>
  </si>
  <si>
    <t>Weeks per year</t>
  </si>
  <si>
    <t>Months per year</t>
  </si>
  <si>
    <t>Hours worked per day</t>
  </si>
  <si>
    <t>Staff</t>
  </si>
  <si>
    <t>Hours worked per week</t>
  </si>
  <si>
    <t>Days worked per year</t>
  </si>
  <si>
    <t>London Living Wage</t>
  </si>
  <si>
    <t>Discount rate</t>
  </si>
  <si>
    <t>NPV assumption</t>
  </si>
  <si>
    <t>Inflation assumed</t>
  </si>
  <si>
    <t>Avoided residual waste from FRP</t>
  </si>
  <si>
    <t>Impact assumptions</t>
  </si>
  <si>
    <t>Uplift in recyclable waste volume</t>
  </si>
  <si>
    <t>Impact on contamination rate</t>
  </si>
  <si>
    <t>Social cost of carbon</t>
  </si>
  <si>
    <t>Environmental impact</t>
  </si>
  <si>
    <t>CO2 emissions - waste to energy</t>
  </si>
  <si>
    <t>CO2 emissions - landfill</t>
  </si>
  <si>
    <t>CO2 emissions - recycling</t>
  </si>
  <si>
    <t>Disposal fees - landfill</t>
  </si>
  <si>
    <t>Waste disposal</t>
  </si>
  <si>
    <t>Disposal fees - energy from waste</t>
  </si>
  <si>
    <t>Disposal fees - MDF</t>
  </si>
  <si>
    <t>Market value: Food and drink cans</t>
  </si>
  <si>
    <t>Material market values</t>
  </si>
  <si>
    <t>Market value: Mixed glass</t>
  </si>
  <si>
    <t>Market value: Cartons</t>
  </si>
  <si>
    <t>Market value: Mixed paper</t>
  </si>
  <si>
    <t>Market value: Cardboard</t>
  </si>
  <si>
    <t>Market value: Mixed plastics</t>
  </si>
  <si>
    <t>Waste composition: Food and drink cans</t>
  </si>
  <si>
    <t>Waste composition</t>
  </si>
  <si>
    <t>Waste composition: Mixed glass</t>
  </si>
  <si>
    <t>Waste composition: Cartons</t>
  </si>
  <si>
    <t>Waste composition: Mixed paper</t>
  </si>
  <si>
    <t>Waste composition: Cardboard</t>
  </si>
  <si>
    <t>Waste composition: Mixed plastics</t>
  </si>
  <si>
    <t>Recycling avoided emissions factor: Food and drink cans</t>
  </si>
  <si>
    <t>Recycling avoided emissions factor</t>
  </si>
  <si>
    <t>Recycling avoided emissions factor: Mixed glass</t>
  </si>
  <si>
    <t>Recycling avoided emissions factor: Cartons</t>
  </si>
  <si>
    <t>Recycling avoided emissions factor: Mixed paper</t>
  </si>
  <si>
    <t>Recycling avoided emissions factor: Cardboard</t>
  </si>
  <si>
    <t>Recycling avoided emissions factor: Mixed plastics</t>
  </si>
  <si>
    <t>WTP for recycling</t>
  </si>
  <si>
    <t>Resident experience</t>
  </si>
  <si>
    <t>Assumed rating uplift in odour condition (1-5)</t>
  </si>
  <si>
    <t>Assumed rating uplift in litter condition (1-4)</t>
  </si>
  <si>
    <t>Value of one rating uplift in odour condition</t>
  </si>
  <si>
    <t>Value of one rating uplift in litter condition</t>
  </si>
  <si>
    <t>Percentage of uplift achieved</t>
  </si>
  <si>
    <t>Pre-intervention dry recycling (t/yr)</t>
  </si>
  <si>
    <t>London Borough specific</t>
  </si>
  <si>
    <t>Pre-intervention total waste (t/yr)</t>
  </si>
  <si>
    <t>Estimated average recycling for flats (t/hh/yr)</t>
  </si>
  <si>
    <t>Flats Recycling Package: benefits</t>
  </si>
  <si>
    <t>Output for web-based tool</t>
  </si>
  <si>
    <t>User input (linked from simplified tab)</t>
  </si>
  <si>
    <t>Scenario inputs</t>
  </si>
  <si>
    <t>Reduced residual waste arising equal to largest impact across 10 Peabody estates monitored in the pilot (excluding control) (81.6 kg/hh/yr)</t>
  </si>
  <si>
    <t>Pilot</t>
  </si>
  <si>
    <t>Reduced residual waste arising equal to average impact across 10 Peabody estates monitored in the pilot (excluding control) (9.8 kg/hh/yr)</t>
  </si>
  <si>
    <t>Assumed zero impact</t>
  </si>
  <si>
    <t>Households served</t>
  </si>
  <si>
    <t>Baseline dry recyclable waste (kg/hh/yr)</t>
  </si>
  <si>
    <t>Uplift assumed from FRP (%)</t>
  </si>
  <si>
    <t>Avoided residual waste through FRP (kg/hh/yr)</t>
  </si>
  <si>
    <t>Avoided residual waste (t/yr)</t>
  </si>
  <si>
    <t>24.2% pp reduction</t>
  </si>
  <si>
    <t>7% pp reduction</t>
  </si>
  <si>
    <t>0% pp reduction</t>
  </si>
  <si>
    <t>Reduction in contamination rate from FRP (%pt)</t>
  </si>
  <si>
    <t>Baseline recyclable waste (kg/hh/yr)</t>
  </si>
  <si>
    <t>Avoided contaiminated waste (kg/hh/yr)</t>
  </si>
  <si>
    <t>Avoided contaminated material (t/yr)</t>
  </si>
  <si>
    <t>Flats Recycling Package benefits</t>
  </si>
  <si>
    <t>CO2e diverted from landfill/efw/contamination</t>
  </si>
  <si>
    <t>This method excludes embodied emissions for avoided production</t>
  </si>
  <si>
    <t>Waste diverted from landfill/efw (t/pa)</t>
  </si>
  <si>
    <t>Avoided contaminated material (t/pa)</t>
  </si>
  <si>
    <t>Emissions intensity of waste disposal method (kgCO2e/tonne)</t>
  </si>
  <si>
    <t>Emissions intensity of recycling (kgCO2e/tonne)</t>
  </si>
  <si>
    <t>Emissions from pre-FRP waste disposal method (kgCO2e)</t>
  </si>
  <si>
    <t>Counterfactual: emissions from recycling  (kgCO2e)</t>
  </si>
  <si>
    <t>Check emissions intensity as may not be complete?</t>
  </si>
  <si>
    <t>Social cost of carbon (£/kgCO2e)</t>
  </si>
  <si>
    <t>Alternative method for above calc</t>
  </si>
  <si>
    <t>Of which</t>
  </si>
  <si>
    <t>Waste composition (%)</t>
  </si>
  <si>
    <t>Recycling avoided emissions factors (kgCO2e/t)</t>
  </si>
  <si>
    <t>Food and drink cans (t/pa)</t>
  </si>
  <si>
    <t>Mixed glass (t/pa)</t>
  </si>
  <si>
    <t>Cartons (t/pa)</t>
  </si>
  <si>
    <t>Mixed paper (t/pa)</t>
  </si>
  <si>
    <t>Cardboard (t/pa)</t>
  </si>
  <si>
    <t>Mixed plastics (t/pa)</t>
  </si>
  <si>
    <t>Total emissions</t>
  </si>
  <si>
    <t>Technically includes emissions from avoided primary production, offset by emissions from reprocessing recyclable waste (counterfactual</t>
  </si>
  <si>
    <t>Local authority cost savings</t>
  </si>
  <si>
    <t>Sent to landfill (t/pa)</t>
  </si>
  <si>
    <t>Sent to efw (t/pa)</t>
  </si>
  <si>
    <t>Disposal fee - landfill (gate fee + landfill tax) (£)</t>
  </si>
  <si>
    <t>Disposal fee - efw (gate fee) (£)</t>
  </si>
  <si>
    <t>Less:</t>
  </si>
  <si>
    <t>Counterfactual: Disposal fee - MRF (gate fee) (£)</t>
  </si>
  <si>
    <t>Additional cost of waste disposal (£)</t>
  </si>
  <si>
    <t>£/tonne</t>
  </si>
  <si>
    <t>Cost of material diverted from landfill/efw (£)</t>
  </si>
  <si>
    <t>Disamenity value</t>
  </si>
  <si>
    <t>Given landfill is such a low % of waste disposal methods, don't see great value in quantifying this benefit</t>
  </si>
  <si>
    <t>Disamenity value of landfill</t>
  </si>
  <si>
    <t>WTP for improvement in odour condition (£/res/yr)</t>
  </si>
  <si>
    <t>WTP for improvement in litter condition  (£/res/yr)</t>
  </si>
  <si>
    <t>Number residents</t>
  </si>
  <si>
    <t>Assume one person uses bin store per household</t>
  </si>
  <si>
    <t>Percentage of uplift achieved through FRP (%)</t>
  </si>
  <si>
    <t>Value of improvement in odour condition (£/yr)</t>
  </si>
  <si>
    <t>Value of improvement in litter condition (£/yr)</t>
  </si>
  <si>
    <t>Direct consumer benefits</t>
  </si>
  <si>
    <t>WTP for recycling (hours pw/ hh)</t>
  </si>
  <si>
    <t>Assume this is value residents place on current recycling services. FRP delivers 30% more</t>
  </si>
  <si>
    <t>Value of time (£/hour)</t>
  </si>
  <si>
    <t>Number of households</t>
  </si>
  <si>
    <t>Value of direct consumer benefit (£)</t>
  </si>
  <si>
    <t>Total social benefit of FRP</t>
  </si>
  <si>
    <t>Flats Recycling Package: costs</t>
  </si>
  <si>
    <t>Need to split costs between boroughs and housing providers?</t>
  </si>
  <si>
    <t>Total households</t>
  </si>
  <si>
    <t>Total blocks</t>
  </si>
  <si>
    <t>Total bin stores</t>
  </si>
  <si>
    <t>Total recycling bins</t>
  </si>
  <si>
    <t>Total rubbish bins</t>
  </si>
  <si>
    <t>Pre-FRP collections per week</t>
  </si>
  <si>
    <t>Scenarios</t>
  </si>
  <si>
    <t>Minimum recyclable waste standard (60l/hh/pw)</t>
  </si>
  <si>
    <t>FRP collections per week</t>
  </si>
  <si>
    <t>Total weekly capacity (litres/pw)</t>
  </si>
  <si>
    <t>Bin capacity per household (l/hh/pw)</t>
  </si>
  <si>
    <t>Setup costs</t>
  </si>
  <si>
    <t>Cost (£)</t>
  </si>
  <si>
    <t>Cost driver</t>
  </si>
  <si>
    <t>Cost category</t>
  </si>
  <si>
    <t>1. Bins</t>
  </si>
  <si>
    <t>Unit costs (£)</t>
  </si>
  <si>
    <t>Per recycling bin costs</t>
  </si>
  <si>
    <t>Initial bins/refurb costs</t>
  </si>
  <si>
    <t>per bin</t>
  </si>
  <si>
    <t>Reverse lid</t>
  </si>
  <si>
    <t>New paper aperture</t>
  </si>
  <si>
    <t>Per bin store costs</t>
  </si>
  <si>
    <t>per bin store</t>
  </si>
  <si>
    <t>Bin store signage</t>
  </si>
  <si>
    <t>Signage: Bin store on post (recycling)</t>
  </si>
  <si>
    <t>Signage: Bin store on wall (recycling)</t>
  </si>
  <si>
    <t>Bin store signage on posts (rubbish)</t>
  </si>
  <si>
    <t>Bin store signage on walls (rubbish)</t>
  </si>
  <si>
    <t>Per block costs</t>
  </si>
  <si>
    <t>per block</t>
  </si>
  <si>
    <t>Chute signage</t>
  </si>
  <si>
    <t>per chute/block</t>
  </si>
  <si>
    <t>Per council costs</t>
  </si>
  <si>
    <t>One-off design costs for communications</t>
  </si>
  <si>
    <t>per council</t>
  </si>
  <si>
    <t>Recycling - bin store signage</t>
  </si>
  <si>
    <t>Rubbish - bin store signage</t>
  </si>
  <si>
    <t>Project management cost</t>
  </si>
  <si>
    <t>per estate</t>
  </si>
  <si>
    <t>Aggregate setup costs</t>
  </si>
  <si>
    <t>Recycling bins</t>
  </si>
  <si>
    <t>Recycling poster</t>
  </si>
  <si>
    <t>Total setup costs (£)</t>
  </si>
  <si>
    <t>Ongoing costs</t>
  </si>
  <si>
    <t>Unit</t>
  </si>
  <si>
    <t>Frequency (years)</t>
  </si>
  <si>
    <t>Cleaning/maintenance</t>
  </si>
  <si>
    <t>Per bin store</t>
  </si>
  <si>
    <t>Regular cleansing bins, bin rooms, signage</t>
  </si>
  <si>
    <t>Effective weekly cost per bin store</t>
  </si>
  <si>
    <t>Monthly visit by officer</t>
  </si>
  <si>
    <t>Per bin store/monthly</t>
  </si>
  <si>
    <t>Per household</t>
  </si>
  <si>
    <t>Annual leaflet - manufacture</t>
  </si>
  <si>
    <t>Per hh/year</t>
  </si>
  <si>
    <t>Collection costs</t>
  </si>
  <si>
    <t>Additional recycling collections per week (per site)</t>
  </si>
  <si>
    <t>Collection cost based on one collection (£/hh/year)</t>
  </si>
  <si>
    <t xml:space="preserve">Additional recycling collection cost </t>
  </si>
  <si>
    <t>Per recycling bin</t>
  </si>
  <si>
    <t>Bin refurbishment</t>
  </si>
  <si>
    <t>per bin/year</t>
  </si>
  <si>
    <t>Bin rental - london borough receipts (negative cost)</t>
  </si>
  <si>
    <t>Bin rental - housing provider payments</t>
  </si>
  <si>
    <t>Per rubbish bin</t>
  </si>
  <si>
    <t>Per council</t>
  </si>
  <si>
    <t>Annual leaflet - design</t>
  </si>
  <si>
    <t>Per council/year</t>
  </si>
  <si>
    <t>Aggregate ongoing costs (£)</t>
  </si>
  <si>
    <t>Add as line item to NPV on simplified + are these ADDITIONAL COSTS</t>
  </si>
  <si>
    <t>Total ongoing costs (£)</t>
  </si>
  <si>
    <t>Fixed cost</t>
  </si>
  <si>
    <t>Per unit (£)</t>
  </si>
  <si>
    <t>Permanent staff</t>
  </si>
  <si>
    <t>Aggregate fixed cost (£)</t>
  </si>
  <si>
    <t>Total fixed cost costs (£)</t>
  </si>
  <si>
    <t>Total costs</t>
  </si>
  <si>
    <t>Maximum ongoing costs - some costs apply to certain years only</t>
  </si>
  <si>
    <t>Flats Recycling Package: KPIs</t>
  </si>
  <si>
    <t>Input</t>
  </si>
  <si>
    <t>Recycling rate</t>
  </si>
  <si>
    <t>Number households served (hh)</t>
  </si>
  <si>
    <t>Uplift in dry recycled waste volumes from FRP  (%)</t>
  </si>
  <si>
    <t>Additional recycling volume from FRP (t/hh/yr)</t>
  </si>
  <si>
    <t>Contamination rate</t>
  </si>
  <si>
    <t>Reduction in contamination rate of dry recycling (ppts)</t>
  </si>
  <si>
    <t>CO2e emissions abated</t>
  </si>
  <si>
    <t>Emissions from alternative waste disposal method</t>
  </si>
  <si>
    <t>kgCO2e</t>
  </si>
  <si>
    <t xml:space="preserve">Counterfactual: emissions from recycling </t>
  </si>
  <si>
    <t xml:space="preserve">Carbon abatement </t>
  </si>
  <si>
    <t>t CO2e</t>
  </si>
  <si>
    <t>Bin capacity</t>
  </si>
  <si>
    <t>Bin capacity per household</t>
  </si>
  <si>
    <t xml:space="preserve"> l/hh/pw</t>
  </si>
  <si>
    <t>Costs/benefits</t>
  </si>
  <si>
    <t>FRP cost (£)</t>
  </si>
  <si>
    <t>FRP cost per household/year (£/yr)</t>
  </si>
  <si>
    <t>FRP net social benefit (£)</t>
  </si>
  <si>
    <t>FRP net social benefit per household/year (£/yr)</t>
  </si>
  <si>
    <t>Flats Recycling Package NPV (Costs)</t>
  </si>
  <si>
    <t>Assumptions for NPV</t>
  </si>
  <si>
    <t>Discount rate assumed</t>
  </si>
  <si>
    <t>Year in use?</t>
  </si>
  <si>
    <t>Discount factor</t>
  </si>
  <si>
    <t>Inflation index</t>
  </si>
  <si>
    <t>Detailed cost/benefit calculation</t>
  </si>
  <si>
    <t>Yearly leaflet</t>
  </si>
  <si>
    <t>Summary cost/benefit calculation</t>
  </si>
  <si>
    <t>Local authority costs/benefits (£):</t>
  </si>
  <si>
    <t>Value of material</t>
  </si>
  <si>
    <t>Net local authority benefit/(cost)</t>
  </si>
  <si>
    <t>Wider social benefits (£):</t>
  </si>
  <si>
    <t>Value of direct consumer benefit</t>
  </si>
  <si>
    <t>Net social benefit/(cost)</t>
  </si>
  <si>
    <t>PV (£)</t>
  </si>
  <si>
    <t>Local authority benefits</t>
  </si>
  <si>
    <t>Local authority costs</t>
  </si>
  <si>
    <t>Social benefits</t>
  </si>
  <si>
    <t>PV local authority benefits</t>
  </si>
  <si>
    <t>PV local authority costs</t>
  </si>
  <si>
    <t>PV social benefits</t>
  </si>
  <si>
    <t>Total local authority NPV (£)</t>
  </si>
  <si>
    <t>Total social NPV (£)</t>
  </si>
  <si>
    <t>Cumulative NPV profile</t>
  </si>
  <si>
    <t>Local authority cost/(benefit)</t>
  </si>
  <si>
    <t>Social cost/(benefit)</t>
  </si>
  <si>
    <t>Additional performance measures</t>
  </si>
  <si>
    <t>Benefit cost ratio (BCR)</t>
  </si>
  <si>
    <t>Average annual NPV/additional  tonne recycled (£)</t>
  </si>
  <si>
    <t>Average annual NPV/ household served (£)</t>
  </si>
  <si>
    <t>Average annual cost per household</t>
  </si>
  <si>
    <t>FRP - general assumptions</t>
  </si>
  <si>
    <t>Unknown quantity / guesstimate</t>
  </si>
  <si>
    <t>Quantity</t>
  </si>
  <si>
    <t>Note:</t>
  </si>
  <si>
    <t>Source:</t>
  </si>
  <si>
    <t>URL/file name:</t>
  </si>
  <si>
    <t>Measurement unit</t>
  </si>
  <si>
    <t>Central</t>
  </si>
  <si>
    <t>hh</t>
  </si>
  <si>
    <t>Peabody pilot implemented on estates with 100 to 200 flats</t>
  </si>
  <si>
    <t>WRAP (2020)</t>
  </si>
  <si>
    <t>https://resourcelondon.org/wp-content/uploads/2020/01/LWARB-Making-recycling-work-for-people-in-flats-full-report_200128-1.pdf</t>
  </si>
  <si>
    <t>Blocks</t>
  </si>
  <si>
    <t>Bin stores</t>
  </si>
  <si>
    <t>Guesstimate. Need approx. 5 bins per 100 households to reach FRP minimum capacity</t>
  </si>
  <si>
    <t>Noticeboards</t>
  </si>
  <si>
    <t>Chutes</t>
  </si>
  <si>
    <t>Bins</t>
  </si>
  <si>
    <t>tonne/m3</t>
  </si>
  <si>
    <t xml:space="preserve">Bulk density for dry mixed recycling:
[1] paper, card, plastic bottles, mixed cans and glass (0.084)
[2]  paper, card, mixed plastics, mixed cans and glass (0.112)
</t>
  </si>
  <si>
    <t>[1] WRAP - Business waste weights calculator
[2] Antithesis cost of contamination calculator - calculated from waste composition analysis results for seven London boroughs</t>
  </si>
  <si>
    <t>[1] http://www.wrap.org.uk/sites/files/wrap/Business%20waste%20weights%20calculator_businesses%20v1_0.xlsx
[2] Cost of contamination calculator</t>
  </si>
  <si>
    <t>%</t>
  </si>
  <si>
    <t>Assumption</t>
  </si>
  <si>
    <t xml:space="preserve">Based on 2017/18 split of residual waste between landfill and incineration in London. Note that incineration includes some non efw volumes
</t>
  </si>
  <si>
    <t>DEFRA (2019)</t>
  </si>
  <si>
    <t>https://assets.publishing.service.gov.uk/government/uploads/system/uploads/attachment_data/file/879654/201819_LA_collected_waste_mgt_annual_Stats_Notice_FINAL_Accessible_v9.pdf</t>
  </si>
  <si>
    <t>litres/hh/wk</t>
  </si>
  <si>
    <t>FRP recommends offering of minimum 60 litres/hh/week</t>
  </si>
  <si>
    <t>Resource London FRP toolkit</t>
  </si>
  <si>
    <t>https://resourcelondon.org/wp-content/uploads/2020/03/Resource-London-Recycling-in-flats-toolkit-2020.pdf</t>
  </si>
  <si>
    <t>Quantity/time assumptions</t>
  </si>
  <si>
    <t>litres/m3</t>
  </si>
  <si>
    <t>Kg/tonne</t>
  </si>
  <si>
    <t>Minutes</t>
  </si>
  <si>
    <t>Days</t>
  </si>
  <si>
    <t>Weeks</t>
  </si>
  <si>
    <t>Months</t>
  </si>
  <si>
    <t>Staff assumptions</t>
  </si>
  <si>
    <t>Hours</t>
  </si>
  <si>
    <t>£/hr</t>
  </si>
  <si>
    <t>Assume time of household recycling is valued at London Living Wage</t>
  </si>
  <si>
    <t>https://www.london.gov.uk/what-we-do/business-and-economy/london-living-wage#:~:text=London%20Living%20Wage-,London%20Living%20Wage,the%20essentials%20and%20to%20save.</t>
  </si>
  <si>
    <t>NPV assumptions</t>
  </si>
  <si>
    <t>Green Book recommended discount rate for first 30 years of a programme</t>
  </si>
  <si>
    <t>HMT Green Book (2008)</t>
  </si>
  <si>
    <t>https://assets.publishing.service.gov.uk/government/uploads/system/uploads/attachment_data/file/193938/Green_Book_supplementary_guidance_intergenerational_wealth_transfers_and_social_discounting.pdf</t>
  </si>
  <si>
    <t>Alma assumption</t>
  </si>
  <si>
    <t>Benefit assumptions</t>
  </si>
  <si>
    <t>FRP impact assumptions</t>
  </si>
  <si>
    <t>20% average as estimated by WRAP. Extra/less 10% for high/low cases</t>
  </si>
  <si>
    <t>percentage points</t>
  </si>
  <si>
    <t>High= max reduction in contamination rate for non-control peabody estates 
Pilot= average non-control reduction in contamination rate.
Low= assumed zero impact.</t>
  </si>
  <si>
    <t>Resource Futures (2019)</t>
  </si>
  <si>
    <t>"3226 Overall Data Post-intervention" spreadsheet</t>
  </si>
  <si>
    <t>Emissions assumptions</t>
  </si>
  <si>
    <t>£/tonneCO2e</t>
  </si>
  <si>
    <t>Non-traded values as estimated by BEIS for 2020 (2018 projection)</t>
  </si>
  <si>
    <t>BEIS projections 2018</t>
  </si>
  <si>
    <t>https://www.gov.uk/government/publications/valuation-of-energy-use-and-greenhouse-gas-emissions-for-appraisal</t>
  </si>
  <si>
    <t>Energy from Waste (EfW)</t>
  </si>
  <si>
    <t>CO2e emissions intensity
 (kg / tonne waste)</t>
  </si>
  <si>
    <t>[1] Estimates 580g / tonne waste combusted
[2] 21.38kg/tonne CO2e (includes transport to an energy recovery or materials reclamation facility only)
[3] Efw saves 200kg/tonne of CO2e emissions vs landfill
[4] Efw releases 458kg CO2e/tonne waste incinerated per Evaluation of the climate change impacts of waste incineration in the United Kingdom" report</t>
  </si>
  <si>
    <t>[1] Zerowasteeurope
[2] BEIS conversion factors 2018
[3] Simply Waste Solutions article
[4] UNITED KINGDOM WITHOUT INCINERATION NETWORK (2019)</t>
  </si>
  <si>
    <t>[1] https://zerowasteeurope.eu/wp-content/uploads/edd/2019/09/ZWE_Policy-briefing_The-impact-of-Waste-to-Energy-incineration-on-Climate.pdf
[2] https://www.gov.uk/government/publications/greenhouse-gas-reporting-conversion-factors-2018
[3] https://simplywastesolutions.co.uk/what-should-be-the-focus-efw-or-recycling-facilities/
[4] https://ukwin.org.uk/files/pdf/UKWIN-2018-Incineration-Climate-Change-Report.pdf</t>
  </si>
  <si>
    <t>Landfill</t>
  </si>
  <si>
    <t>[1] 586.53kg/tonne CO2e (Includes "collection, transportion and landfill emissions (‘gate to grave’))</t>
  </si>
  <si>
    <t>[1] BEIS conversion factors 2018 (for muncipal waste)</t>
  </si>
  <si>
    <t>[1] https://www.gov.uk/government/publications/greenhouse-gas-reporting-conversion-factors-2018</t>
  </si>
  <si>
    <t>Alma calculation. Weighted average emissions intensities based on average split between efw/residual waste in London.</t>
  </si>
  <si>
    <t>Alma Economics estimate</t>
  </si>
  <si>
    <t>[1] 21.38kg/tonne CO2e (includes transport to an energy recovery or materials reclamation facility only)</t>
  </si>
  <si>
    <t>Waste disposal costs</t>
  </si>
  <si>
    <t>[1] Non-hazardous waste - landfill tax + gate fee. UK Median £113, range £91 to £176</t>
  </si>
  <si>
    <t>[1] WRAP (2019)</t>
  </si>
  <si>
    <t>[1] https://www.wrap.org.uk/sites/files/wrap/WRAP%20gate%20fees%20report%202019.pdf</t>
  </si>
  <si>
    <t>[1] Gate fees only. UK Median £89, range £44 to £125</t>
  </si>
  <si>
    <t>Alma calculation. Weighted average gate fee + landfill tax based on average split between efw/residual waste in London.</t>
  </si>
  <si>
    <t>[1] Gate fees only. UK Median £25, range £41 to 97</t>
  </si>
  <si>
    <t>Upper range</t>
  </si>
  <si>
    <t>Lower range</t>
  </si>
  <si>
    <t>Upper range aluminium cans, lower range steel cans</t>
  </si>
  <si>
    <t>Letsrecycle price data (average of upper and lower range for 2020 monthly prices)</t>
  </si>
  <si>
    <t>https://www.letsrecycle.com/prices/</t>
  </si>
  <si>
    <t>Mixed glass</t>
  </si>
  <si>
    <t>Mixed bottles</t>
  </si>
  <si>
    <t>Mixed papers</t>
  </si>
  <si>
    <t>Old KLS (cardboard)</t>
  </si>
  <si>
    <t>Composition of dry mix recycling (recyclable material)</t>
  </si>
  <si>
    <t>% dry mix recycling</t>
  </si>
  <si>
    <t>Post-intervention dry mix recycling composition for FRP pilot</t>
  </si>
  <si>
    <t>LWARB monitoring data from Peabody project</t>
  </si>
  <si>
    <t>Emission factors for dry recycling materials</t>
  </si>
  <si>
    <t>kg CO2e/ tonne material</t>
  </si>
  <si>
    <t>Emissions factors (from Turner et al 2015, based on full lifecycle emissions from recycling including processing and avoided primary production)</t>
  </si>
  <si>
    <t>Minutes/week/hh</t>
  </si>
  <si>
    <t>WTP for general household recycling. Assume this represents amount sp</t>
  </si>
  <si>
    <t>Recycling: Cost Benefit Analysis. New Zealand Ministry of Environment (2007)</t>
  </si>
  <si>
    <t>rating uplift</t>
  </si>
  <si>
    <t>Assumed regular cleaning of bin area reduces odours by one rating</t>
  </si>
  <si>
    <t>Assumed regular cleaning of bin area reduces litter by one rating</t>
  </si>
  <si>
    <t>£/month/resident</t>
  </si>
  <si>
    <t>WTP estimate for inner city</t>
  </si>
  <si>
    <t>Estimating the Value of a Range of Local Environmental Impacts (DEFRA 2011)</t>
  </si>
  <si>
    <t>Assumption - depends of frequency of clean assumed in ongoing cost scenario</t>
  </si>
  <si>
    <t>FRP - cost assumptions</t>
  </si>
  <si>
    <t>Cost (£ per basis)</t>
  </si>
  <si>
    <t>Asset useful life</t>
  </si>
  <si>
    <t>Cost basis</t>
  </si>
  <si>
    <t>Medium-high</t>
  </si>
  <si>
    <t>Medium-low</t>
  </si>
  <si>
    <t>New bins/ initial refurb, litre capacity:</t>
  </si>
  <si>
    <t>£ per bin</t>
  </si>
  <si>
    <t>ESPO bin costs - cost of median supplier for plastic wheeled bin</t>
  </si>
  <si>
    <t>ESPO bin costs - cost of median supplier for steel bin (1-20 units)</t>
  </si>
  <si>
    <t>ESPO bin costs - cost of median supplier for steel bin</t>
  </si>
  <si>
    <t>Refurb/replacement bins costs</t>
  </si>
  <si>
    <t>Assume replaced</t>
  </si>
  <si>
    <t>ESPO bin costs - cost of refurb for median supplier</t>
  </si>
  <si>
    <t>ESPO bin costs - cost of reverse lid (applicable for 1,100 / 1,280 litres only)</t>
  </si>
  <si>
    <t>Remember to reflect these in model</t>
  </si>
  <si>
    <t>ESPO bin costs - cost of new paper aperture, higher end estimate</t>
  </si>
  <si>
    <t>Bin rental</t>
  </si>
  <si>
    <t>£/bin/year</t>
  </si>
  <si>
    <t>Currently a guesstimate - try and locate more robust costs</t>
  </si>
  <si>
    <t>Regular cleansing</t>
  </si>
  <si>
    <t>£ per site/clean</t>
  </si>
  <si>
    <t>N/a</t>
  </si>
  <si>
    <t>Chris Mills (WRAP) for central estimate. High = +25%, low=-25%</t>
  </si>
  <si>
    <t>weeks</t>
  </si>
  <si>
    <t>Assumed</t>
  </si>
  <si>
    <t>General improvements to bin areas</t>
  </si>
  <si>
    <t>£ per bin store</t>
  </si>
  <si>
    <t>Estimates based on material + labour costs assumed at: https://trustedtraders.which.co.uk/articles/cost-guide-painters-and-decorators. High cost assumes large room, average cost assumes medium room. Low cost assumes no treatment needed.</t>
  </si>
  <si>
    <t>High = two LED lights @ £100 each + half a day installation @ London living wage, average = one LED lights @ £100 each + 2 hours installation @ London living wage, low = zero cost. LED high bay light assumed: https://www.ledsavingspecialist.co.uk/products/150lm-w-huge-light-output-ip65-led-high-bay-light-100w-150w-200w?utm_medium=cpc&amp;utm_source=google&amp;utm_campaign=Google%20Shopping&amp;cmp_id=1382661013&amp;adg_id=56515151658&amp;kwd=&amp;device=c&amp;gclid=CjwKCAjwm_P5BRAhEiwAwRzSO4AlSKNdrPbYVtWQYtzdT3iGx8b-G1I1IvdabcD3B9LjM2YRnKEQhBoC2WEQAvD_BwE&amp;variant=15961543213107</t>
  </si>
  <si>
    <t xml:space="preserve">High = full day @ London living wage, average = half day @ London living wage, low = zero cost. </t>
  </si>
  <si>
    <t xml:space="preserve">Peabody pilot - based on 297mm x 180mm </t>
  </si>
  <si>
    <t>£ per council</t>
  </si>
  <si>
    <t xml:space="preserve">Recycling signage </t>
  </si>
  <si>
    <t>ESPO Straight price for vinyl stickers as part of framework</t>
  </si>
  <si>
    <t>Peabody pilot</t>
  </si>
  <si>
    <t>Peabody pilot - based on 2 per bin at £1.50ea</t>
  </si>
  <si>
    <t xml:space="preserve">Rubbish signage </t>
  </si>
  <si>
    <t>Indicative print cost; FRP toolkit signage and communications guidance (https://resourcelondon.org/wp-content/uploads/2019/02/flats-toolkit.pdf)</t>
  </si>
  <si>
    <t>per chute</t>
  </si>
  <si>
    <t>Peabody pilot - indicative cost for 230mm x 230mm sign</t>
  </si>
  <si>
    <t>Noticeboard posters</t>
  </si>
  <si>
    <t>£ per block</t>
  </si>
  <si>
    <t>WRAP costs of communication (3.2 "Posters"). Based on 100x A3 quantity</t>
  </si>
  <si>
    <t>WRAP costs of communication (3.2 "Posters"). Based on 100x A4 quantity</t>
  </si>
  <si>
    <t>£ per hh</t>
  </si>
  <si>
    <t>Chris Mills (WRAP)</t>
  </si>
  <si>
    <t>WRAP - Laura estimate</t>
  </si>
  <si>
    <t>Additional collection costs</t>
  </si>
  <si>
    <t>per hh/yr</t>
  </si>
  <si>
    <t>WRAP - Chris Mills estimate</t>
  </si>
  <si>
    <t>Rubbish collections</t>
  </si>
  <si>
    <t xml:space="preserve">Guesstimate </t>
  </si>
  <si>
    <t>Project management</t>
  </si>
  <si>
    <t>days per estate</t>
  </si>
  <si>
    <t>Average based on Gemma estimate. Assume high cost takes 50% more time, low cost takes 25% less time</t>
  </si>
  <si>
    <t>£/day</t>
  </si>
  <si>
    <t>Based on upper range for recycling officer of £25k and 220 days worked per year: https://www.prospects.ac.uk/job-profiles/recycling-officer#:~:text=Your%20starting%20salary%20as%20a,%C2%A325%2C000%20to%20%C2%A340%2C000.</t>
  </si>
  <si>
    <t>Other on-going costs</t>
  </si>
  <si>
    <t>per site/month</t>
  </si>
  <si>
    <t>Useful life assumed for ongoing cost items</t>
  </si>
  <si>
    <t>Fixed costs</t>
  </si>
  <si>
    <t>TBC</t>
  </si>
  <si>
    <t>Annual wage</t>
  </si>
  <si>
    <t>Staff type 1</t>
  </si>
  <si>
    <t>Staff type 2</t>
  </si>
  <si>
    <t>Cost</t>
  </si>
  <si>
    <t>Title</t>
  </si>
  <si>
    <t>CPI INDEX 00: ALL ITEMS 2015=100</t>
  </si>
  <si>
    <t>CDID</t>
  </si>
  <si>
    <t>D7BT</t>
  </si>
  <si>
    <t>Source dataset ID</t>
  </si>
  <si>
    <t>MM23</t>
  </si>
  <si>
    <t>PreUnit</t>
  </si>
  <si>
    <t/>
  </si>
  <si>
    <t>Index, base year = 100</t>
  </si>
  <si>
    <t>Release date</t>
  </si>
  <si>
    <t>15-07-2020</t>
  </si>
  <si>
    <t>Next release</t>
  </si>
  <si>
    <t>19 August 2020</t>
  </si>
  <si>
    <t>Important notes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</si>
  <si>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</si>
  <si>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</si>
  <si>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</si>
  <si>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</si>
  <si>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</si>
  <si>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</si>
  <si>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</si>
  <si>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</si>
  <si>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</si>
  <si>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</si>
  <si>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</si>
  <si>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</si>
  <si>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</si>
  <si>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</si>
  <si>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</si>
  <si>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</si>
  <si>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</si>
  <si>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</si>
  <si>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</si>
  <si>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</si>
  <si>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</si>
  <si>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</si>
  <si>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</si>
  <si>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</si>
  <si>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</si>
  <si>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</si>
  <si>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</si>
  <si>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</si>
  <si>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</si>
  <si>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</si>
  <si>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</si>
  <si>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</si>
  <si>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</si>
  <si>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</si>
  <si>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</si>
  <si>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</si>
  <si>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</si>
  <si>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</si>
  <si>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</si>
  <si>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</si>
  <si>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</si>
  <si>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</si>
  <si>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</si>
  <si>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</si>
  <si>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</si>
  <si>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</si>
  <si>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</si>
  <si>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</si>
  <si>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</si>
  <si>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</si>
  <si>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</si>
  <si>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</si>
  <si>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</si>
  <si>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</si>
  <si>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</si>
  <si>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</si>
  <si>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</si>
  <si>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</si>
  <si>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</si>
  <si>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</si>
  <si>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</si>
  <si>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</si>
  <si>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</si>
  <si>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</si>
  <si>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</si>
  <si>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</si>
  <si>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</si>
  <si>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</si>
  <si>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</si>
  <si>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</si>
  <si>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</si>
  <si>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</si>
  <si>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</si>
  <si>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</si>
  <si>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</si>
  <si>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</si>
  <si>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</si>
  <si>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</si>
  <si>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</si>
  <si>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</si>
  <si>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</si>
  <si>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</si>
  <si>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</si>
  <si>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</si>
  <si>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</si>
  <si>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</si>
  <si>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</si>
  <si>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</si>
  <si>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</si>
  <si>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</si>
  <si>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</si>
  <si>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</si>
  <si>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</si>
  <si>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</si>
  <si>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</si>
  <si>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</si>
  <si>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</si>
  <si>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</si>
  <si>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</si>
  <si>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</si>
  <si>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</si>
  <si>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</si>
  <si>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</si>
  <si>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</si>
  <si>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</si>
  <si>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</si>
  <si>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</si>
  <si>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</si>
  <si>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</si>
  <si>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</si>
  <si>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</si>
  <si>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</si>
  <si>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</si>
  <si>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</si>
  <si>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</si>
  <si>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</si>
  <si>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</si>
  <si>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</si>
  <si>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</si>
  <si>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</si>
  <si>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</si>
  <si>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</si>
  <si>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</si>
  <si>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</si>
  <si>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</si>
  <si>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</si>
  <si>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</si>
  <si>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</si>
  <si>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</si>
  <si>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</si>
  <si>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</si>
  <si>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</si>
  <si>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</si>
  <si>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</si>
  <si>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</si>
  <si>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</si>
  <si>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</si>
  <si>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</si>
  <si>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</si>
  <si>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</si>
  <si>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</si>
  <si>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</si>
  <si>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</si>
  <si>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</si>
  <si>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</si>
  <si>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</si>
  <si>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</si>
  <si>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</si>
  <si>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</si>
  <si>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</si>
  <si>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</si>
  <si>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</si>
  <si>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</si>
  <si>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</si>
  <si>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</si>
  <si>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</si>
  <si>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</si>
  <si>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</si>
  <si>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</si>
  <si>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</si>
  <si>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</si>
  <si>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</si>
  <si>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</si>
  <si>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</si>
  <si>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</si>
  <si>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</si>
  <si>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</si>
  <si>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</si>
  <si>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</si>
  <si>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</si>
  <si>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</si>
  <si>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</si>
  <si>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</si>
  <si>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</si>
  <si>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</si>
  <si>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</si>
  <si>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</si>
  <si>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</si>
  <si>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</si>
  <si>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</si>
  <si>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</si>
  <si>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</si>
  <si>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</si>
  <si>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</si>
  <si>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</si>
  <si>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</si>
  <si>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</si>
  <si>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</si>
  <si>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</si>
  <si>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</si>
  <si>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</si>
  <si>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</si>
  <si>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</si>
  <si>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</si>
  <si>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</si>
  <si>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</si>
  <si>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</si>
  <si>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</si>
  <si>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</si>
  <si>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</si>
  <si>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</si>
  <si>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</si>
  <si>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</si>
  <si>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</si>
  <si>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</si>
  <si>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</si>
  <si>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</si>
  <si>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</si>
  <si>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</si>
  <si>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</si>
  <si>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</si>
  <si>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</si>
  <si>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</si>
  <si>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</si>
  <si>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</si>
  <si>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</si>
  <si>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</si>
  <si>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</si>
  <si>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</si>
  <si>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</si>
  <si>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</si>
  <si>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</si>
  <si>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</si>
  <si>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</si>
  <si>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</si>
  <si>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</si>
  <si>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</si>
  <si>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</si>
  <si>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</si>
  <si>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</si>
  <si>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</si>
  <si>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</si>
  <si>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</si>
  <si>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</si>
  <si>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</si>
  <si>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</si>
  <si>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</si>
  <si>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</si>
  <si>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</si>
  <si>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</si>
  <si>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</si>
  <si>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</si>
  <si>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</si>
  <si>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</si>
  <si>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</si>
  <si>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</si>
  <si>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</si>
  <si>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</si>
  <si>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</si>
  <si>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</si>
  <si>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</si>
  <si>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</si>
  <si>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</si>
  <si>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</si>
  <si>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</si>
  <si>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</si>
  <si>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</si>
  <si>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</si>
  <si>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</si>
  <si>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</si>
  <si>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</si>
  <si>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</si>
  <si>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</si>
  <si>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</si>
  <si>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</si>
  <si>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</si>
  <si>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</si>
  <si>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</si>
  <si>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</si>
  <si>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</si>
  <si>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</si>
  <si>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</si>
  <si>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</si>
  <si>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</si>
  <si>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</si>
  <si>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</si>
  <si>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</si>
  <si>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</si>
  <si>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</si>
  <si>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</si>
  <si>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</si>
  <si>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</si>
  <si>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</si>
  <si>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</si>
  <si>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</si>
  <si>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</si>
  <si>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</si>
  <si>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</si>
  <si>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</si>
  <si>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</si>
  <si>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</si>
  <si>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</si>
  <si>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</si>
  <si>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</si>
  <si>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</si>
  <si>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</si>
  <si>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</si>
  <si>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</si>
  <si>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</si>
  <si>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</si>
  <si>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</si>
  <si>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</si>
  <si>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</si>
  <si>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</si>
  <si>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</si>
  <si>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</si>
  <si>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</si>
  <si>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</si>
  <si>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</si>
  <si>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</si>
  <si>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</si>
  <si>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</si>
  <si>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</si>
  <si>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</si>
  <si>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</si>
  <si>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</si>
  <si>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</si>
  <si>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</si>
  <si>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</si>
  <si>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</si>
  <si>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</si>
  <si>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</si>
  <si>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</si>
  <si>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</si>
  <si>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</si>
  <si>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</si>
  <si>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</si>
  <si>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</si>
  <si>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</si>
  <si>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</si>
  <si>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</si>
  <si>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</si>
  <si>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</si>
  <si>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</si>
  <si>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</si>
  <si>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</si>
  <si>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</si>
  <si>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</si>
  <si>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</si>
  <si>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</si>
  <si>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</si>
  <si>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</si>
  <si>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</si>
  <si>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</si>
  <si>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</si>
  <si>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</si>
  <si>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</si>
  <si>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</si>
  <si>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</si>
  <si>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</si>
  <si>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</si>
  <si>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</si>
  <si>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</si>
  <si>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</si>
  <si>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</si>
  <si>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</si>
  <si>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</si>
  <si>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</si>
  <si>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</si>
  <si>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</si>
  <si>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</si>
  <si>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</si>
  <si>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</si>
  <si>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</si>
  <si>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</si>
  <si>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</si>
  <si>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</si>
  <si>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</si>
  <si>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</si>
  <si>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</si>
  <si>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</si>
  <si>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</si>
  <si>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</si>
  <si>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</si>
  <si>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</si>
  <si>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</si>
  <si>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</si>
  <si>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</si>
  <si>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</si>
  <si>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</si>
  <si>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</si>
  <si>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</si>
  <si>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</si>
  <si>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</si>
  <si>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</si>
  <si>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</si>
  <si>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</si>
  <si>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</si>
  <si>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</si>
  <si>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</si>
  <si>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</si>
  <si>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</si>
  <si>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</si>
  <si>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</si>
  <si>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</si>
  <si>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</si>
  <si>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</si>
  <si>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</si>
  <si>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</si>
  <si>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</si>
  <si>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</si>
  <si>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</si>
  <si>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</si>
  <si>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</si>
  <si>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</si>
  <si>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</si>
  <si>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</si>
  <si>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</si>
  <si>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</si>
  <si>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</si>
  <si>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</si>
  <si>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</si>
  <si>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</si>
  <si>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</si>
  <si>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</si>
  <si>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</si>
  <si>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</si>
  <si>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</si>
  <si>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</si>
  <si>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</si>
  <si>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</si>
  <si>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</si>
  <si>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</si>
  <si>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</si>
  <si>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</si>
  <si>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</si>
  <si>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</si>
  <si>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</si>
  <si>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</si>
  <si>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</si>
  <si>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</si>
  <si>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</si>
  <si>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</si>
  <si>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</si>
  <si>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</si>
  <si>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</si>
  <si>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</si>
  <si>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</si>
  <si>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</si>
  <si>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</si>
  <si>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</si>
  <si>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</si>
  <si>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</si>
  <si>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</si>
  <si>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</si>
  <si>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</si>
  <si>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</si>
  <si>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</si>
  <si>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</si>
  <si>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</si>
  <si>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</si>
  <si>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</si>
  <si>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</si>
  <si>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</si>
  <si>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</si>
  <si>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</si>
  <si>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</si>
  <si>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</si>
  <si>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</si>
  <si>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</si>
  <si>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</si>
  <si>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</si>
  <si>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</si>
  <si>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</si>
  <si>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</si>
  <si>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</si>
  <si>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</si>
  <si>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</si>
  <si>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</si>
  <si>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</si>
  <si>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</si>
  <si>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</si>
  <si>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</si>
  <si>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</si>
  <si>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</si>
  <si>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</si>
  <si>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</si>
  <si>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</si>
  <si>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</si>
  <si>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</si>
  <si>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</si>
  <si>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</si>
  <si>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</si>
  <si>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</si>
  <si>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</si>
  <si>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</si>
  <si>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</si>
  <si>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</si>
  <si>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</si>
  <si>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</si>
  <si>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</si>
  <si>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</si>
  <si>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</si>
  <si>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</si>
  <si>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</si>
  <si>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</si>
  <si>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</si>
  <si>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</si>
  <si>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</si>
  <si>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</si>
  <si>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</si>
  <si>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</si>
  <si>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</si>
  <si>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</si>
  <si>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</si>
  <si>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</si>
  <si>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</si>
  <si>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</si>
  <si>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</si>
  <si>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</si>
  <si>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</si>
  <si>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</si>
  <si>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</si>
  <si>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</si>
  <si>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</si>
  <si>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</si>
  <si>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</si>
  <si>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</si>
  <si>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</si>
  <si>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</si>
  <si>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</si>
  <si>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</si>
  <si>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</si>
  <si>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</si>
  <si>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</si>
  <si>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</si>
  <si>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</si>
  <si>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</si>
  <si>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</si>
  <si>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</si>
  <si>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</si>
  <si>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</si>
  <si>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</si>
  <si>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</si>
  <si>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</si>
  <si>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</si>
  <si>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</si>
  <si>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</si>
  <si>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</si>
  <si>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</si>
  <si>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</si>
  <si>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</si>
  <si>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</si>
  <si>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</si>
  <si>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</si>
  <si>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</si>
  <si>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</si>
  <si>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</si>
  <si>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</si>
  <si>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</si>
  <si>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</si>
  <si>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</si>
  <si>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ECODE</t>
  </si>
  <si>
    <t>AREA_NAME</t>
  </si>
  <si>
    <t>FLAT_MAIS</t>
  </si>
  <si>
    <t>ALL_PROPERTIES</t>
  </si>
  <si>
    <t>Total local authority collected waste (tonnes)</t>
  </si>
  <si>
    <t>Household - total waste (tonnes)</t>
  </si>
  <si>
    <t>Household - waste sent for recycling-composting-reuse (tonnes)</t>
  </si>
  <si>
    <t>Household dry recycling-reuse (tonnes)</t>
  </si>
  <si>
    <t>Household green recycling-reuse (tonnes)</t>
  </si>
  <si>
    <t>Household - waste not sent for recycling (tonnes)</t>
  </si>
  <si>
    <t>Household - regular collection (not recycled) (tonnes)</t>
  </si>
  <si>
    <t>Household - civic amenity sites (not recycled) (tonnes)</t>
  </si>
  <si>
    <t>Household - other sources (not recycled) (tonnes)</t>
  </si>
  <si>
    <t>Household - estimated rejects (tonnes)</t>
  </si>
  <si>
    <t>Dry recycling per property / household</t>
  </si>
  <si>
    <t>% FLAT_MAIS</t>
  </si>
  <si>
    <t>Flats recycling % kerbside</t>
  </si>
  <si>
    <t>Implied kerbside recycling t/hh</t>
  </si>
  <si>
    <t>Flats (t/hh)</t>
  </si>
  <si>
    <t>Non-flats (t/hh)</t>
  </si>
  <si>
    <t>Check</t>
  </si>
  <si>
    <t>Household recycling rate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</si>
  <si>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</si>
  <si>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</si>
  <si>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</si>
  <si>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</si>
  <si>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</si>
  <si>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</si>
  <si>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</si>
  <si>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</si>
  <si>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</si>
  <si>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</si>
  <si>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</si>
  <si>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</si>
  <si>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</si>
  <si>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</si>
  <si>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</si>
  <si>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</si>
  <si>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</si>
  <si>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</si>
  <si>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</si>
  <si>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</si>
  <si>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</si>
  <si>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</si>
  <si>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</si>
  <si>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</si>
  <si>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</si>
  <si>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</si>
  <si>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</si>
  <si>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</si>
  <si>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</si>
  <si>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</si>
  <si>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</si>
  <si>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</si>
  <si>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</si>
  <si>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</si>
  <si>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</si>
  <si>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</si>
  <si>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</si>
  <si>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</si>
  <si>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</si>
  <si>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</si>
  <si>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</si>
  <si>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</si>
  <si>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</si>
  <si>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</si>
  <si>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</si>
  <si>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</si>
  <si>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</si>
  <si>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</si>
  <si>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</si>
  <si>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</si>
  <si>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</si>
  <si>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</si>
  <si>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</si>
  <si>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</si>
  <si>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</si>
  <si>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</si>
  <si>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</si>
  <si>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</si>
  <si>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</si>
  <si>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</si>
  <si>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</si>
  <si>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</si>
  <si>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</si>
  <si>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</si>
  <si>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</si>
  <si>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Source1: Dwellings by Property Build Period and Type, LSOA and MSOA - Valuation Office Agency</t>
  </si>
  <si>
    <t>Source2: ONS/Wastedataflow statistics on local authority waste volumes</t>
  </si>
  <si>
    <t>Features to add</t>
  </si>
  <si>
    <t>Calculate cost/benefit for each phase</t>
  </si>
  <si>
    <t>Add cost per household</t>
  </si>
  <si>
    <t>Add carbon abatement in tonnes to KPIs tab</t>
  </si>
  <si>
    <t>Categorise costs in terms of who incurs them (councils, RSLs?)</t>
  </si>
  <si>
    <t>Add additional cost of contaminated waste</t>
  </si>
  <si>
    <t>Pre-intervention</t>
  </si>
  <si>
    <t>Post-intervention</t>
  </si>
  <si>
    <t>Difference</t>
  </si>
  <si>
    <t>Food</t>
  </si>
  <si>
    <t>Average
kg/hh/yr</t>
  </si>
  <si>
    <t>Biggs Sq</t>
  </si>
  <si>
    <t>Clerkenwell</t>
  </si>
  <si>
    <t>Herbrand</t>
  </si>
  <si>
    <t>MDR</t>
  </si>
  <si>
    <t>Bethnal Green</t>
  </si>
  <si>
    <t>Ebury</t>
  </si>
  <si>
    <t>C</t>
  </si>
  <si>
    <t>Effra Parade</t>
  </si>
  <si>
    <t>Navigation Road</t>
  </si>
  <si>
    <t>O M Richards</t>
  </si>
  <si>
    <t>Vauxhall</t>
  </si>
  <si>
    <t>Whitechapel</t>
  </si>
  <si>
    <t>Wild Street</t>
  </si>
  <si>
    <t>RES</t>
  </si>
  <si>
    <t>Residual</t>
  </si>
  <si>
    <t>Average (non-control)</t>
  </si>
  <si>
    <t>Recycling</t>
  </si>
  <si>
    <t>Benefit drivers:</t>
  </si>
  <si>
    <t>Uplift in household recycling rate [1]</t>
  </si>
  <si>
    <t>Change in contamination rate [2]</t>
  </si>
  <si>
    <t>Change in underlying waste volumes (counterfactual)</t>
  </si>
  <si>
    <t>[1]</t>
  </si>
  <si>
    <t xml:space="preserve">Uplift in recycling rate = </t>
  </si>
  <si>
    <t>Baseline recycling rate +</t>
  </si>
  <si>
    <t>Post-intervention recycling rate</t>
  </si>
  <si>
    <t>Recycling volume driven by recycling rate and waste volumes</t>
  </si>
  <si>
    <t>[2]</t>
  </si>
  <si>
    <t>Change in contamination rate =</t>
  </si>
  <si>
    <t>Baseline contamination rate -</t>
  </si>
  <si>
    <t>Post-intervention contamination rate</t>
  </si>
  <si>
    <t>Contaminated volume driven by recycling rate and waste volumes</t>
  </si>
  <si>
    <t>Benefits:</t>
  </si>
  <si>
    <t>CO2 abatement</t>
  </si>
  <si>
    <t>Service equality</t>
  </si>
  <si>
    <t>Resident satisaction</t>
  </si>
  <si>
    <t>Tonnes waste not send to landfill (vs baseline)</t>
  </si>
  <si>
    <t>CO2/ CH4 emissions per tonne waste sent to landfill</t>
  </si>
  <si>
    <t>Tonnes waste not incinerated (vs baseline)</t>
  </si>
  <si>
    <t>CO2 emissions per tonne waste incinerated</t>
  </si>
  <si>
    <t>Social cost of carbon per tonne</t>
  </si>
  <si>
    <t>Pre monitoring</t>
  </si>
  <si>
    <t>Mixed dry recycling arising - pre-monitoring</t>
  </si>
  <si>
    <t>kg/hh/wk</t>
  </si>
  <si>
    <t>Overall data from Peabody pilot</t>
  </si>
  <si>
    <t>"Peabody Purpose Built Flats Recycling Project"</t>
  </si>
  <si>
    <t>Residual waste arising - pre-monitoring</t>
  </si>
  <si>
    <t>Contamination rate - pre-monitoring</t>
  </si>
  <si>
    <t>Dry recycling rate - pre-monitoring</t>
  </si>
  <si>
    <t>Capture rate - pre-monitoring</t>
  </si>
  <si>
    <t>Post-monitoring performance</t>
  </si>
  <si>
    <t>Mixed dry recycling arising - post-monitoring</t>
  </si>
  <si>
    <t>Residual waste arising - post-monitoring</t>
  </si>
  <si>
    <t>Contamination rate - post-monitoring</t>
  </si>
  <si>
    <t>Dry recycling rate - post-monitoring</t>
  </si>
  <si>
    <t>Capture rate - post-monitoring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</si>
</sst>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0.0"/>
    <numFmt numFmtId="166" formatCode="#,##0.000"/>
    <numFmt numFmtId="167" formatCode="[$-F400]h:mm:ss\ AM/PM"/>
    <numFmt numFmtId="168" formatCode="0.0%"/>
    <numFmt numFmtId="169" formatCode="_-* #,##0.0_-;\-* #,##0.0_-;_-* &quot;-&quot;??_-;_-@_-"/>
    <numFmt numFmtId="170" formatCode="_-* #,##0_-;\-* #,##0_-;_-* &quot;-&quot;??_-;_-@_-"/>
    <numFmt numFmtId="171" formatCode="_-* #,##0.000_-;\-* #,##0.000_-;_-* &quot;-&quot;??_-;_-@_-"/>
    <numFmt numFmtId="172" formatCode="0.0000000000"/>
    <numFmt numFmtId="173" formatCode="0.0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u/>
      <sz val="8"/>
      <color theme="10"/>
      <name val="Arial"/>
      <family val="2"/>
    </font>
    <font>
      <b/>
      <u/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b/>
      <u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F2B20"/>
      <name val="Calibri"/>
      <family val="2"/>
    </font>
    <font>
      <b/>
      <sz val="10"/>
      <color rgb="FF2F2B2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8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167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3" fillId="0" borderId="0" applyNumberFormat="0" applyBorder="0" applyProtection="0"/>
  </cellStyleXfs>
  <cellXfs count="169">
    <xf numFmtId="0" fontId="0" fillId="0" borderId="0" xfId="0"/>
    <xf numFmtId="0" fontId="5" fillId="0" borderId="0" xfId="0" applyFont="1"/>
    <xf numFmtId="0" fontId="6" fillId="3" borderId="0" xfId="0" applyFont="1" applyFill="1"/>
    <xf numFmtId="0" fontId="5" fillId="3" borderId="0" xfId="0" applyFont="1" applyFill="1"/>
    <xf numFmtId="165" fontId="5" fillId="0" borderId="0" xfId="0" applyNumberFormat="1" applyFont="1"/>
    <xf numFmtId="0" fontId="11" fillId="0" borderId="0" xfId="1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2" borderId="0" xfId="0" applyFont="1" applyFill="1"/>
    <xf numFmtId="0" fontId="12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3" fontId="5" fillId="0" borderId="0" xfId="0" applyNumberFormat="1" applyFont="1" applyFill="1" applyAlignment="1">
      <alignment vertical="top"/>
    </xf>
    <xf numFmtId="166" fontId="5" fillId="0" borderId="0" xfId="0" applyNumberFormat="1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168" fontId="5" fillId="0" borderId="0" xfId="7" applyNumberFormat="1" applyFont="1" applyFill="1" applyAlignment="1">
      <alignment vertical="top"/>
    </xf>
    <xf numFmtId="0" fontId="12" fillId="0" borderId="0" xfId="0" applyFont="1" applyAlignment="1">
      <alignment vertical="top"/>
    </xf>
    <xf numFmtId="169" fontId="5" fillId="0" borderId="0" xfId="6" applyNumberFormat="1" applyFont="1"/>
    <xf numFmtId="0" fontId="13" fillId="0" borderId="0" xfId="0" applyFont="1"/>
    <xf numFmtId="165" fontId="13" fillId="0" borderId="0" xfId="0" applyNumberFormat="1" applyFont="1"/>
    <xf numFmtId="169" fontId="13" fillId="0" borderId="0" xfId="6" applyNumberFormat="1" applyFont="1"/>
    <xf numFmtId="0" fontId="5" fillId="4" borderId="0" xfId="0" applyFont="1" applyFill="1"/>
    <xf numFmtId="164" fontId="5" fillId="0" borderId="0" xfId="0" applyNumberFormat="1" applyFont="1"/>
    <xf numFmtId="0" fontId="6" fillId="5" borderId="0" xfId="0" applyFont="1" applyFill="1"/>
    <xf numFmtId="0" fontId="5" fillId="5" borderId="0" xfId="0" applyFont="1" applyFill="1"/>
    <xf numFmtId="168" fontId="5" fillId="0" borderId="0" xfId="7" applyNumberFormat="1" applyFont="1"/>
    <xf numFmtId="0" fontId="5" fillId="7" borderId="0" xfId="0" applyFont="1" applyFill="1"/>
    <xf numFmtId="170" fontId="5" fillId="0" borderId="0" xfId="6" applyNumberFormat="1" applyFont="1"/>
    <xf numFmtId="170" fontId="5" fillId="0" borderId="0" xfId="0" applyNumberFormat="1" applyFont="1"/>
    <xf numFmtId="170" fontId="6" fillId="4" borderId="0" xfId="0" applyNumberFormat="1" applyFont="1" applyFill="1"/>
    <xf numFmtId="0" fontId="6" fillId="4" borderId="0" xfId="0" applyFont="1" applyFill="1"/>
    <xf numFmtId="2" fontId="5" fillId="0" borderId="0" xfId="0" applyNumberFormat="1" applyFont="1"/>
    <xf numFmtId="170" fontId="5" fillId="4" borderId="0" xfId="6" applyNumberFormat="1" applyFont="1" applyFill="1"/>
    <xf numFmtId="170" fontId="5" fillId="4" borderId="0" xfId="0" applyNumberFormat="1" applyFont="1" applyFill="1"/>
    <xf numFmtId="165" fontId="5" fillId="4" borderId="0" xfId="0" applyNumberFormat="1" applyFont="1" applyFill="1"/>
    <xf numFmtId="0" fontId="5" fillId="0" borderId="0" xfId="0" applyFont="1" applyFill="1"/>
    <xf numFmtId="170" fontId="6" fillId="0" borderId="0" xfId="0" applyNumberFormat="1" applyFont="1"/>
    <xf numFmtId="0" fontId="12" fillId="4" borderId="0" xfId="0" applyFont="1" applyFill="1"/>
    <xf numFmtId="0" fontId="5" fillId="0" borderId="0" xfId="0" applyFont="1" applyAlignment="1">
      <alignment horizontal="left" indent="1"/>
    </xf>
    <xf numFmtId="0" fontId="5" fillId="0" borderId="0" xfId="0" applyFont="1" applyFill="1" applyAlignment="1">
      <alignment horizontal="left" indent="1"/>
    </xf>
    <xf numFmtId="0" fontId="0" fillId="9" borderId="0" xfId="0" applyFill="1"/>
    <xf numFmtId="0" fontId="5" fillId="4" borderId="0" xfId="0" applyFont="1" applyFill="1" applyAlignment="1">
      <alignment horizontal="left"/>
    </xf>
    <xf numFmtId="0" fontId="15" fillId="0" borderId="0" xfId="0" applyFont="1" applyAlignment="1">
      <alignment horizontal="center"/>
    </xf>
    <xf numFmtId="0" fontId="14" fillId="8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indent="1"/>
    </xf>
    <xf numFmtId="165" fontId="0" fillId="0" borderId="0" xfId="0" applyNumberFormat="1"/>
    <xf numFmtId="0" fontId="0" fillId="0" borderId="0" xfId="0" applyAlignment="1">
      <alignment horizontal="left" indent="1"/>
    </xf>
    <xf numFmtId="0" fontId="14" fillId="8" borderId="1" xfId="0" applyFont="1" applyFill="1" applyBorder="1"/>
    <xf numFmtId="2" fontId="14" fillId="8" borderId="0" xfId="0" applyNumberFormat="1" applyFont="1" applyFill="1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left" indent="1"/>
    </xf>
    <xf numFmtId="165" fontId="5" fillId="0" borderId="0" xfId="0" applyNumberFormat="1" applyFont="1" applyFill="1"/>
    <xf numFmtId="169" fontId="6" fillId="4" borderId="0" xfId="6" applyNumberFormat="1" applyFont="1" applyFill="1"/>
    <xf numFmtId="169" fontId="6" fillId="4" borderId="0" xfId="0" applyNumberFormat="1" applyFont="1" applyFill="1"/>
    <xf numFmtId="10" fontId="5" fillId="0" borderId="0" xfId="0" applyNumberFormat="1" applyFont="1"/>
    <xf numFmtId="168" fontId="5" fillId="0" borderId="0" xfId="0" applyNumberFormat="1" applyFont="1"/>
    <xf numFmtId="0" fontId="6" fillId="0" borderId="0" xfId="0" applyFont="1" applyFill="1"/>
    <xf numFmtId="169" fontId="6" fillId="0" borderId="0" xfId="0" applyNumberFormat="1" applyFont="1" applyFill="1"/>
    <xf numFmtId="0" fontId="16" fillId="0" borderId="0" xfId="0" applyFont="1"/>
    <xf numFmtId="170" fontId="6" fillId="4" borderId="0" xfId="6" applyNumberFormat="1" applyFont="1" applyFill="1"/>
    <xf numFmtId="0" fontId="17" fillId="11" borderId="0" xfId="0" applyFont="1" applyFill="1"/>
    <xf numFmtId="0" fontId="18" fillId="11" borderId="0" xfId="0" applyFont="1" applyFill="1"/>
    <xf numFmtId="0" fontId="19" fillId="10" borderId="0" xfId="0" applyFont="1" applyFill="1"/>
    <xf numFmtId="0" fontId="18" fillId="10" borderId="0" xfId="0" applyFont="1" applyFill="1"/>
    <xf numFmtId="0" fontId="19" fillId="11" borderId="0" xfId="0" applyFont="1" applyFill="1" applyAlignment="1">
      <alignment horizontal="center"/>
    </xf>
    <xf numFmtId="9" fontId="5" fillId="0" borderId="0" xfId="0" applyNumberFormat="1" applyFont="1"/>
    <xf numFmtId="9" fontId="5" fillId="0" borderId="0" xfId="7" applyFont="1"/>
    <xf numFmtId="0" fontId="18" fillId="10" borderId="0" xfId="0" applyFont="1" applyFill="1" applyAlignment="1">
      <alignment vertical="top"/>
    </xf>
    <xf numFmtId="164" fontId="6" fillId="0" borderId="0" xfId="0" applyNumberFormat="1" applyFont="1" applyFill="1"/>
    <xf numFmtId="9" fontId="5" fillId="0" borderId="0" xfId="7" applyFont="1" applyAlignment="1">
      <alignment vertical="top"/>
    </xf>
    <xf numFmtId="164" fontId="5" fillId="0" borderId="0" xfId="0" applyNumberFormat="1" applyFont="1" applyFill="1"/>
    <xf numFmtId="0" fontId="5" fillId="0" borderId="0" xfId="0" applyFont="1" applyFill="1" applyAlignment="1">
      <alignment wrapText="1"/>
    </xf>
    <xf numFmtId="168" fontId="5" fillId="0" borderId="0" xfId="0" applyNumberFormat="1" applyFont="1" applyFill="1"/>
    <xf numFmtId="169" fontId="5" fillId="0" borderId="0" xfId="0" applyNumberFormat="1" applyFont="1"/>
    <xf numFmtId="0" fontId="6" fillId="3" borderId="0" xfId="0" applyFont="1" applyFill="1" applyAlignment="1">
      <alignment horizontal="right"/>
    </xf>
    <xf numFmtId="3" fontId="5" fillId="0" borderId="0" xfId="0" applyNumberFormat="1" applyFont="1" applyFill="1"/>
    <xf numFmtId="0" fontId="13" fillId="0" borderId="0" xfId="0" applyFont="1" applyAlignment="1">
      <alignment horizontal="left" indent="1"/>
    </xf>
    <xf numFmtId="3" fontId="13" fillId="0" borderId="0" xfId="0" applyNumberFormat="1" applyFont="1"/>
    <xf numFmtId="2" fontId="5" fillId="4" borderId="0" xfId="0" applyNumberFormat="1" applyFont="1" applyFill="1"/>
    <xf numFmtId="0" fontId="16" fillId="4" borderId="0" xfId="0" applyFont="1" applyFill="1"/>
    <xf numFmtId="0" fontId="5" fillId="4" borderId="0" xfId="0" applyFont="1" applyFill="1" applyAlignment="1">
      <alignment horizontal="left" indent="1"/>
    </xf>
    <xf numFmtId="168" fontId="5" fillId="4" borderId="0" xfId="7" applyNumberFormat="1" applyFont="1" applyFill="1"/>
    <xf numFmtId="0" fontId="20" fillId="0" borderId="0" xfId="8"/>
    <xf numFmtId="165" fontId="20" fillId="0" borderId="0" xfId="8" applyNumberFormat="1"/>
    <xf numFmtId="9" fontId="5" fillId="4" borderId="0" xfId="7" applyFont="1" applyFill="1"/>
    <xf numFmtId="10" fontId="5" fillId="0" borderId="0" xfId="0" applyNumberFormat="1" applyFont="1" applyFill="1"/>
    <xf numFmtId="169" fontId="5" fillId="0" borderId="0" xfId="6" applyNumberFormat="1" applyFont="1" applyFill="1"/>
    <xf numFmtId="0" fontId="13" fillId="0" borderId="0" xfId="0" applyFont="1" applyFill="1"/>
    <xf numFmtId="165" fontId="13" fillId="0" borderId="0" xfId="0" applyNumberFormat="1" applyFont="1" applyFill="1"/>
    <xf numFmtId="169" fontId="13" fillId="0" borderId="0" xfId="6" applyNumberFormat="1" applyFont="1" applyFill="1"/>
    <xf numFmtId="1" fontId="5" fillId="0" borderId="0" xfId="0" applyNumberFormat="1" applyFont="1"/>
    <xf numFmtId="0" fontId="15" fillId="0" borderId="0" xfId="0" applyFont="1"/>
    <xf numFmtId="0" fontId="22" fillId="0" borderId="0" xfId="0" applyFont="1"/>
    <xf numFmtId="0" fontId="21" fillId="12" borderId="0" xfId="0" applyFont="1" applyFill="1"/>
    <xf numFmtId="0" fontId="0" fillId="0" borderId="0" xfId="0" applyFo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6" fillId="0" borderId="0" xfId="0" applyFont="1" applyFill="1"/>
    <xf numFmtId="170" fontId="6" fillId="0" borderId="0" xfId="6" applyNumberFormat="1" applyFont="1"/>
    <xf numFmtId="9" fontId="0" fillId="0" borderId="0" xfId="7" applyFont="1"/>
    <xf numFmtId="170" fontId="0" fillId="0" borderId="0" xfId="6" applyNumberFormat="1" applyFont="1"/>
    <xf numFmtId="0" fontId="24" fillId="0" borderId="2" xfId="9" applyFont="1" applyBorder="1" applyAlignment="1" applyProtection="1">
      <alignment wrapText="1"/>
    </xf>
    <xf numFmtId="1" fontId="0" fillId="0" borderId="0" xfId="0" applyNumberFormat="1" applyAlignment="1">
      <alignment horizontal="right" wrapText="1"/>
    </xf>
    <xf numFmtId="0" fontId="24" fillId="0" borderId="0" xfId="9" applyFont="1" applyFill="1" applyBorder="1" applyAlignment="1" applyProtection="1">
      <alignment wrapText="1"/>
    </xf>
    <xf numFmtId="164" fontId="0" fillId="0" borderId="0" xfId="0" applyNumberFormat="1"/>
    <xf numFmtId="171" fontId="0" fillId="0" borderId="0" xfId="0" applyNumberFormat="1"/>
    <xf numFmtId="9" fontId="0" fillId="0" borderId="0" xfId="0" applyNumberFormat="1"/>
    <xf numFmtId="0" fontId="24" fillId="6" borderId="0" xfId="9" applyFont="1" applyFill="1" applyBorder="1" applyAlignment="1" applyProtection="1">
      <alignment wrapText="1"/>
    </xf>
    <xf numFmtId="171" fontId="0" fillId="6" borderId="0" xfId="0" applyNumberFormat="1" applyFill="1"/>
    <xf numFmtId="0" fontId="0" fillId="6" borderId="0" xfId="0" applyFill="1"/>
    <xf numFmtId="170" fontId="5" fillId="0" borderId="0" xfId="0" applyNumberFormat="1" applyFont="1" applyFill="1"/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3" fontId="5" fillId="7" borderId="0" xfId="0" applyNumberFormat="1" applyFont="1" applyFill="1" applyAlignment="1">
      <alignment horizontal="center"/>
    </xf>
    <xf numFmtId="168" fontId="25" fillId="0" borderId="0" xfId="0" applyNumberFormat="1" applyFont="1"/>
    <xf numFmtId="0" fontId="9" fillId="0" borderId="0" xfId="0" applyFont="1" applyFill="1"/>
    <xf numFmtId="3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right" vertical="center"/>
    </xf>
    <xf numFmtId="3" fontId="5" fillId="0" borderId="0" xfId="0" applyNumberFormat="1" applyFont="1"/>
    <xf numFmtId="170" fontId="5" fillId="0" borderId="0" xfId="6" applyNumberFormat="1" applyFont="1" applyFill="1"/>
    <xf numFmtId="0" fontId="5" fillId="2" borderId="0" xfId="0" applyFont="1" applyFill="1" applyAlignment="1">
      <alignment horizontal="left" indent="1"/>
    </xf>
    <xf numFmtId="0" fontId="6" fillId="0" borderId="0" xfId="0" applyFont="1" applyAlignment="1">
      <alignment horizontal="center"/>
    </xf>
    <xf numFmtId="172" fontId="5" fillId="0" borderId="0" xfId="0" applyNumberFormat="1" applyFont="1"/>
    <xf numFmtId="171" fontId="5" fillId="0" borderId="0" xfId="6" applyNumberFormat="1" applyFont="1"/>
    <xf numFmtId="9" fontId="5" fillId="0" borderId="0" xfId="7" applyFont="1" applyFill="1" applyAlignment="1">
      <alignment vertical="top"/>
    </xf>
    <xf numFmtId="0" fontId="12" fillId="2" borderId="0" xfId="0" applyFont="1" applyFill="1"/>
    <xf numFmtId="2" fontId="5" fillId="0" borderId="0" xfId="0" applyNumberFormat="1" applyFont="1" applyFill="1"/>
    <xf numFmtId="169" fontId="5" fillId="4" borderId="0" xfId="0" applyNumberFormat="1" applyFont="1" applyFill="1"/>
    <xf numFmtId="168" fontId="5" fillId="4" borderId="0" xfId="0" applyNumberFormat="1" applyFont="1" applyFill="1"/>
    <xf numFmtId="9" fontId="5" fillId="0" borderId="0" xfId="0" applyNumberFormat="1" applyFont="1" applyFill="1"/>
    <xf numFmtId="0" fontId="5" fillId="12" borderId="0" xfId="0" applyFont="1" applyFill="1"/>
    <xf numFmtId="0" fontId="5" fillId="13" borderId="0" xfId="0" applyFont="1" applyFill="1"/>
    <xf numFmtId="170" fontId="5" fillId="12" borderId="0" xfId="6" applyNumberFormat="1" applyFont="1" applyFill="1"/>
    <xf numFmtId="3" fontId="5" fillId="0" borderId="0" xfId="0" applyNumberFormat="1" applyFont="1" applyFill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0" borderId="0" xfId="0" applyFont="1" applyBorder="1"/>
    <xf numFmtId="0" fontId="5" fillId="3" borderId="0" xfId="0" applyFont="1" applyFill="1" applyBorder="1"/>
    <xf numFmtId="0" fontId="5" fillId="12" borderId="0" xfId="0" applyFont="1" applyFill="1" applyBorder="1"/>
    <xf numFmtId="1" fontId="5" fillId="0" borderId="0" xfId="0" applyNumberFormat="1" applyFont="1" applyFill="1"/>
    <xf numFmtId="1" fontId="13" fillId="0" borderId="0" xfId="0" applyNumberFormat="1" applyFont="1" applyFill="1"/>
    <xf numFmtId="170" fontId="13" fillId="0" borderId="0" xfId="6" applyNumberFormat="1" applyFont="1" applyFill="1"/>
    <xf numFmtId="170" fontId="13" fillId="2" borderId="0" xfId="6" applyNumberFormat="1" applyFont="1" applyFill="1"/>
    <xf numFmtId="0" fontId="5" fillId="14" borderId="0" xfId="0" applyFont="1" applyFill="1"/>
    <xf numFmtId="170" fontId="5" fillId="14" borderId="0" xfId="6" applyNumberFormat="1" applyFont="1" applyFill="1"/>
    <xf numFmtId="170" fontId="6" fillId="0" borderId="0" xfId="0" applyNumberFormat="1" applyFont="1" applyFill="1"/>
    <xf numFmtId="0" fontId="12" fillId="0" borderId="0" xfId="0" applyFont="1" applyFill="1"/>
    <xf numFmtId="169" fontId="5" fillId="4" borderId="0" xfId="6" applyNumberFormat="1" applyFont="1" applyFill="1"/>
    <xf numFmtId="1" fontId="5" fillId="0" borderId="0" xfId="0" applyNumberFormat="1" applyFont="1" applyFill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1" fontId="5" fillId="12" borderId="0" xfId="0" applyNumberFormat="1" applyFont="1" applyFill="1" applyAlignment="1">
      <alignment horizontal="center" vertical="center"/>
    </xf>
    <xf numFmtId="0" fontId="16" fillId="14" borderId="0" xfId="0" applyFont="1" applyFill="1"/>
    <xf numFmtId="3" fontId="5" fillId="14" borderId="0" xfId="0" applyNumberFormat="1" applyFont="1" applyFill="1" applyAlignment="1">
      <alignment horizontal="center"/>
    </xf>
    <xf numFmtId="169" fontId="5" fillId="12" borderId="0" xfId="0" applyNumberFormat="1" applyFont="1" applyFill="1"/>
    <xf numFmtId="165" fontId="5" fillId="2" borderId="0" xfId="0" applyNumberFormat="1" applyFont="1" applyFill="1"/>
    <xf numFmtId="0" fontId="19" fillId="10" borderId="0" xfId="0" applyFont="1" applyFill="1" applyAlignment="1">
      <alignment horizontal="center"/>
    </xf>
    <xf numFmtId="0" fontId="5" fillId="14" borderId="0" xfId="0" applyFont="1" applyFill="1" applyAlignment="1">
      <alignment horizontal="left"/>
    </xf>
    <xf numFmtId="168" fontId="5" fillId="14" borderId="0" xfId="7" applyNumberFormat="1" applyFont="1" applyFill="1"/>
    <xf numFmtId="171" fontId="5" fillId="0" borderId="0" xfId="6" applyNumberFormat="1" applyFont="1" applyFill="1"/>
    <xf numFmtId="170" fontId="5" fillId="7" borderId="0" xfId="6" applyNumberFormat="1" applyFont="1" applyFill="1"/>
    <xf numFmtId="173" fontId="5" fillId="0" borderId="0" xfId="0" applyNumberFormat="1" applyFont="1" applyFill="1"/>
    <xf numFmtId="173" fontId="27" fillId="0" borderId="0" xfId="6" applyNumberFormat="1" applyFont="1"/>
    <xf numFmtId="168" fontId="5" fillId="14" borderId="0" xfId="0" applyNumberFormat="1" applyFont="1" applyFill="1"/>
    <xf numFmtId="0" fontId="19" fillId="10" borderId="0" xfId="0" applyFont="1" applyFill="1" applyAlignment="1">
      <alignment horizontal="center"/>
    </xf>
    <xf numFmtId="0" fontId="27" fillId="7" borderId="0" xfId="0" applyFont="1" applyFill="1" applyAlignment="1">
      <alignment horizontal="center"/>
    </xf>
  </cellXfs>
  <cellStyles count="10">
    <cellStyle name="Comma" xfId="6" builtinId="3"/>
    <cellStyle name="Hyperlink" xfId="1" builtinId="8"/>
    <cellStyle name="Hyperlink 2" xfId="3" xr:uid="{1AAD74E2-F78E-4F6F-9901-8148ACA85D52}"/>
    <cellStyle name="Normal" xfId="0" builtinId="0"/>
    <cellStyle name="Normal 10 2" xfId="9" xr:uid="{CAC4F54A-6CAC-4EC9-A6ED-E9584BDEDFF2}"/>
    <cellStyle name="Normal 14" xfId="5" xr:uid="{CD3802A2-BDF7-4150-ADA2-DEB7000B38EF}"/>
    <cellStyle name="Normal 2" xfId="2" xr:uid="{488323B0-31B7-4852-8565-5CEF2AF2A215}"/>
    <cellStyle name="Normal 228" xfId="4" xr:uid="{B209E21E-F623-4449-B11F-ACBD99EEA48F}"/>
    <cellStyle name="Normal 3" xfId="8" xr:uid="{3C4CE51A-9106-4B98-A81E-44947D879E76}"/>
    <cellStyle name="Per cent" xfId="7" builtinId="5"/>
  </cellStyles>
  <dxfs count="3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Net benefit</a:t>
            </a:r>
            <a:r>
              <a:rPr lang="en-GB" b="1" baseline="0"/>
              <a:t> from FRP by year </a:t>
            </a:r>
            <a:endParaRPr lang="en-GB" b="1"/>
          </a:p>
        </c:rich>
      </c:tx>
      <c:layout>
        <c:manualLayout>
          <c:xMode val="edge"/>
          <c:yMode val="edge"/>
          <c:x val="0.3034582239720035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83595800524934"/>
          <c:y val="0.14370370370370369"/>
          <c:w val="0.79460848643919513"/>
          <c:h val="0.688726669582968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Simplified!$A$108</c:f>
              <c:strCache>
                <c:ptCount val="1"/>
                <c:pt idx="0">
                  <c:v>London Borough benefit/(cost)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Simplified!$B$108:$Q$108</c:f>
              <c:numCache>
                <c:formatCode>_-* #,##0_-;\-* #,##0_-;_-* "-"??_-;_-@_-</c:formatCode>
                <c:ptCount val="16"/>
                <c:pt idx="0">
                  <c:v>-212246.79039616219</c:v>
                </c:pt>
                <c:pt idx="1">
                  <c:v>82793.209603837808</c:v>
                </c:pt>
                <c:pt idx="2">
                  <c:v>82793.209603837808</c:v>
                </c:pt>
                <c:pt idx="3">
                  <c:v>82793.209603837808</c:v>
                </c:pt>
                <c:pt idx="4">
                  <c:v>82793.209603837808</c:v>
                </c:pt>
                <c:pt idx="5">
                  <c:v>82793.209603837808</c:v>
                </c:pt>
                <c:pt idx="6">
                  <c:v>82793.209603837808</c:v>
                </c:pt>
                <c:pt idx="7">
                  <c:v>82793.209603837808</c:v>
                </c:pt>
                <c:pt idx="8">
                  <c:v>13793.209603837808</c:v>
                </c:pt>
                <c:pt idx="9">
                  <c:v>82793.209603837808</c:v>
                </c:pt>
                <c:pt idx="10">
                  <c:v>82793.209603837808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0-4FE7-AF74-46E539C1B383}"/>
            </c:ext>
          </c:extLst>
        </c:ser>
        <c:ser>
          <c:idx val="1"/>
          <c:order val="1"/>
          <c:tx>
            <c:strRef>
              <c:f>Simplified!$A$110</c:f>
              <c:strCache>
                <c:ptCount val="1"/>
                <c:pt idx="0">
                  <c:v>Social benefit/(cost)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Simplified!$B$110:$Q$110</c:f>
              <c:numCache>
                <c:formatCode>_-* #,##0_-;\-* #,##0_-;_-* "-"??_-;_-@_-</c:formatCode>
                <c:ptCount val="16"/>
                <c:pt idx="0">
                  <c:v>672223.69221285894</c:v>
                </c:pt>
                <c:pt idx="1">
                  <c:v>672223.69221285894</c:v>
                </c:pt>
                <c:pt idx="2">
                  <c:v>672223.69221285894</c:v>
                </c:pt>
                <c:pt idx="3">
                  <c:v>672223.69221285894</c:v>
                </c:pt>
                <c:pt idx="4">
                  <c:v>672223.69221285894</c:v>
                </c:pt>
                <c:pt idx="5">
                  <c:v>672223.69221285894</c:v>
                </c:pt>
                <c:pt idx="6">
                  <c:v>672223.69221285894</c:v>
                </c:pt>
                <c:pt idx="7">
                  <c:v>672223.69221285894</c:v>
                </c:pt>
                <c:pt idx="8">
                  <c:v>672223.69221285894</c:v>
                </c:pt>
                <c:pt idx="9">
                  <c:v>672223.69221285894</c:v>
                </c:pt>
                <c:pt idx="10">
                  <c:v>672223.69221285894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F0-4FE7-AF74-46E539C1B383}"/>
            </c:ext>
          </c:extLst>
        </c:ser>
        <c:ser>
          <c:idx val="2"/>
          <c:order val="2"/>
          <c:tx>
            <c:strRef>
              <c:f>Simplified!$A$109</c:f>
              <c:strCache>
                <c:ptCount val="1"/>
                <c:pt idx="0">
                  <c:v>Housing provider benefit/(cost)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Simplified!$B$109:$Q$109</c:f>
              <c:numCache>
                <c:formatCode>_-* #,##0_-;\-* #,##0_-;_-* "-"??_-;_-@_-</c:formatCode>
                <c:ptCount val="16"/>
                <c:pt idx="0">
                  <c:v>-731985.22727272729</c:v>
                </c:pt>
                <c:pt idx="1">
                  <c:v>-361765</c:v>
                </c:pt>
                <c:pt idx="2">
                  <c:v>-361765</c:v>
                </c:pt>
                <c:pt idx="3">
                  <c:v>-361765</c:v>
                </c:pt>
                <c:pt idx="4">
                  <c:v>-361765</c:v>
                </c:pt>
                <c:pt idx="5">
                  <c:v>-378765</c:v>
                </c:pt>
                <c:pt idx="6">
                  <c:v>-361765</c:v>
                </c:pt>
                <c:pt idx="7">
                  <c:v>-361765</c:v>
                </c:pt>
                <c:pt idx="8">
                  <c:v>-361765</c:v>
                </c:pt>
                <c:pt idx="9">
                  <c:v>-361765</c:v>
                </c:pt>
                <c:pt idx="10">
                  <c:v>-378765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05-4B44-843E-0AEC07CEF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8991872"/>
        <c:axId val="1658956400"/>
      </c:barChart>
      <c:catAx>
        <c:axId val="142899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50977909011373579"/>
              <c:y val="0.841689632545931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58956400"/>
        <c:crosses val="autoZero"/>
        <c:auto val="1"/>
        <c:lblAlgn val="ctr"/>
        <c:lblOffset val="100"/>
        <c:noMultiLvlLbl val="0"/>
      </c:catAx>
      <c:valAx>
        <c:axId val="16589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Net benefit (£)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04166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2899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0121352097893553E-2"/>
          <c:y val="0.90952677575824703"/>
          <c:w val="0.95987864790210642"/>
          <c:h val="5.4485402955416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Cumulative net benefit from FRP over project timespan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70030684444582"/>
          <c:y val="0.14715260632511928"/>
          <c:w val="0.78890246646187157"/>
          <c:h val="0.65755237399147259"/>
        </c:manualLayout>
      </c:layout>
      <c:lineChart>
        <c:grouping val="standard"/>
        <c:varyColors val="0"/>
        <c:ser>
          <c:idx val="0"/>
          <c:order val="0"/>
          <c:tx>
            <c:strRef>
              <c:f>Simplified!$A$117</c:f>
              <c:strCache>
                <c:ptCount val="1"/>
                <c:pt idx="0">
                  <c:v>Housing provider net benefit (cumulative)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Simplified!$B$117:$Q$117</c:f>
              <c:numCache>
                <c:formatCode>_-* #,##0_-;\-* #,##0_-;_-* "-"??_-;_-@_-</c:formatCode>
                <c:ptCount val="16"/>
                <c:pt idx="0">
                  <c:v>-731985.22727272729</c:v>
                </c:pt>
                <c:pt idx="1">
                  <c:v>-1093750.2272727273</c:v>
                </c:pt>
                <c:pt idx="2">
                  <c:v>-1455515.2272727273</c:v>
                </c:pt>
                <c:pt idx="3">
                  <c:v>-1817280.2272727273</c:v>
                </c:pt>
                <c:pt idx="4">
                  <c:v>-2179045.2272727275</c:v>
                </c:pt>
                <c:pt idx="5">
                  <c:v>-2557810.2272727275</c:v>
                </c:pt>
                <c:pt idx="6">
                  <c:v>-2919575.2272727275</c:v>
                </c:pt>
                <c:pt idx="7">
                  <c:v>-3281340.2272727275</c:v>
                </c:pt>
                <c:pt idx="8">
                  <c:v>-3643105.2272727275</c:v>
                </c:pt>
                <c:pt idx="9">
                  <c:v>-4004870.2272727275</c:v>
                </c:pt>
                <c:pt idx="10">
                  <c:v>-4383635.2272727275</c:v>
                </c:pt>
                <c:pt idx="11">
                  <c:v>-4383635.2272727275</c:v>
                </c:pt>
                <c:pt idx="12">
                  <c:v>-4383635.2272727275</c:v>
                </c:pt>
                <c:pt idx="13">
                  <c:v>-4383635.2272727275</c:v>
                </c:pt>
                <c:pt idx="14">
                  <c:v>-4383635.2272727275</c:v>
                </c:pt>
                <c:pt idx="15">
                  <c:v>-4383635.2272727275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8-43CC-8F98-1A70F25C1130}"/>
            </c:ext>
          </c:extLst>
        </c:ser>
        <c:ser>
          <c:idx val="1"/>
          <c:order val="1"/>
          <c:tx>
            <c:strRef>
              <c:f>Simplified!$A$118</c:f>
              <c:strCache>
                <c:ptCount val="1"/>
                <c:pt idx="0">
                  <c:v>Society net benefit (cumulative)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Simplified!$B$118:$Q$118</c:f>
              <c:numCache>
                <c:formatCode>_-* #,##0_-;\-* #,##0_-;_-* "-"??_-;_-@_-</c:formatCode>
                <c:ptCount val="16"/>
                <c:pt idx="0">
                  <c:v>672223.69221285894</c:v>
                </c:pt>
                <c:pt idx="1">
                  <c:v>1344447.3844257179</c:v>
                </c:pt>
                <c:pt idx="2">
                  <c:v>2016671.0766385768</c:v>
                </c:pt>
                <c:pt idx="3">
                  <c:v>2688894.7688514357</c:v>
                </c:pt>
                <c:pt idx="4">
                  <c:v>3361118.4610642949</c:v>
                </c:pt>
                <c:pt idx="5">
                  <c:v>4033342.1532771541</c:v>
                </c:pt>
                <c:pt idx="6">
                  <c:v>4705565.8454900132</c:v>
                </c:pt>
                <c:pt idx="7">
                  <c:v>5377789.5377028724</c:v>
                </c:pt>
                <c:pt idx="8">
                  <c:v>6050013.2299157316</c:v>
                </c:pt>
                <c:pt idx="9">
                  <c:v>6722236.9221285908</c:v>
                </c:pt>
                <c:pt idx="10">
                  <c:v>7394460.6143414499</c:v>
                </c:pt>
                <c:pt idx="11">
                  <c:v>7394460.6143414499</c:v>
                </c:pt>
                <c:pt idx="12">
                  <c:v>7394460.6143414499</c:v>
                </c:pt>
                <c:pt idx="13">
                  <c:v>7394460.6143414499</c:v>
                </c:pt>
                <c:pt idx="14">
                  <c:v>7394460.6143414499</c:v>
                </c:pt>
                <c:pt idx="15">
                  <c:v>7394460.6143414499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8-43CC-8F98-1A70F25C1130}"/>
            </c:ext>
          </c:extLst>
        </c:ser>
        <c:ser>
          <c:idx val="2"/>
          <c:order val="2"/>
          <c:tx>
            <c:strRef>
              <c:f>Simplified!$A$116</c:f>
              <c:strCache>
                <c:ptCount val="1"/>
                <c:pt idx="0">
                  <c:v>London Borough net benefit (cumulative)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Simplified!$B$116:$Q$116</c:f>
              <c:numCache>
                <c:formatCode>_-* #,##0_-;\-* #,##0_-;_-* "-"??_-;_-@_-</c:formatCode>
                <c:ptCount val="16"/>
                <c:pt idx="0">
                  <c:v>-212246.79039616219</c:v>
                </c:pt>
                <c:pt idx="1">
                  <c:v>-129453.58079232438</c:v>
                </c:pt>
                <c:pt idx="2">
                  <c:v>-46660.371188486577</c:v>
                </c:pt>
                <c:pt idx="3">
                  <c:v>36132.838415351231</c:v>
                </c:pt>
                <c:pt idx="4">
                  <c:v>118926.04801918904</c:v>
                </c:pt>
                <c:pt idx="5">
                  <c:v>201719.25762302685</c:v>
                </c:pt>
                <c:pt idx="6">
                  <c:v>284512.46722686465</c:v>
                </c:pt>
                <c:pt idx="7">
                  <c:v>367305.67683070246</c:v>
                </c:pt>
                <c:pt idx="8">
                  <c:v>381098.88643454027</c:v>
                </c:pt>
                <c:pt idx="9">
                  <c:v>463892.09603837808</c:v>
                </c:pt>
                <c:pt idx="10">
                  <c:v>546685.30564221588</c:v>
                </c:pt>
                <c:pt idx="11">
                  <c:v>546685.30564221588</c:v>
                </c:pt>
                <c:pt idx="12">
                  <c:v>546685.30564221588</c:v>
                </c:pt>
                <c:pt idx="13">
                  <c:v>546685.30564221588</c:v>
                </c:pt>
                <c:pt idx="14">
                  <c:v>546685.30564221588</c:v>
                </c:pt>
                <c:pt idx="15">
                  <c:v>546685.30564221588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50-4852-A83A-F01964A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991872"/>
        <c:axId val="1658956400"/>
      </c:lineChart>
      <c:catAx>
        <c:axId val="142899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49100638102412325"/>
              <c:y val="0.82366794504921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58956400"/>
        <c:crosses val="autoZero"/>
        <c:auto val="1"/>
        <c:lblAlgn val="ctr"/>
        <c:lblOffset val="100"/>
        <c:noMultiLvlLbl val="0"/>
      </c:catAx>
      <c:valAx>
        <c:axId val="16589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Net benef</a:t>
                </a:r>
                <a:r>
                  <a:rPr lang="en-GB" baseline="0"/>
                  <a:t> (</a:t>
                </a:r>
                <a:r>
                  <a:rPr lang="en-GB"/>
                  <a:t>£)</a:t>
                </a:r>
              </a:p>
            </c:rich>
          </c:tx>
          <c:layout>
            <c:manualLayout>
              <c:xMode val="edge"/>
              <c:yMode val="edge"/>
              <c:x val="1.3816921224401162E-2"/>
              <c:y val="0.30894775703216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2899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5915391696130125E-4"/>
          <c:y val="0.88913416270721279"/>
          <c:w val="0.95453661722499317"/>
          <c:h val="8.934200049092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800" b="1"/>
              <a:t>FRP net benefit/(cost) by year</a:t>
            </a:r>
          </a:p>
        </c:rich>
      </c:tx>
      <c:layout>
        <c:manualLayout>
          <c:xMode val="edge"/>
          <c:yMode val="edge"/>
          <c:x val="0.32035564660108545"/>
          <c:y val="1.3888883365591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NPV!$A$91</c:f>
              <c:strCache>
                <c:ptCount val="1"/>
                <c:pt idx="0">
                  <c:v>Net local authority benefit/(cost)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NPV!$B$11:$Q$11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NPV!$B$91:$Q$91</c:f>
              <c:numCache>
                <c:formatCode>_-* #,##0_-;\-* #,##0_-;_-* "-"??_-;_-@_-</c:formatCode>
                <c:ptCount val="16"/>
                <c:pt idx="0">
                  <c:v>-904395.45429467352</c:v>
                </c:pt>
                <c:pt idx="1">
                  <c:v>-239135.22702194599</c:v>
                </c:pt>
                <c:pt idx="2">
                  <c:v>-239135.22702194599</c:v>
                </c:pt>
                <c:pt idx="3">
                  <c:v>-239135.22702194599</c:v>
                </c:pt>
                <c:pt idx="4">
                  <c:v>-239135.22702194599</c:v>
                </c:pt>
                <c:pt idx="5">
                  <c:v>-256135.22702194599</c:v>
                </c:pt>
                <c:pt idx="6">
                  <c:v>-239135.22702194599</c:v>
                </c:pt>
                <c:pt idx="7">
                  <c:v>-239135.22702194599</c:v>
                </c:pt>
                <c:pt idx="8">
                  <c:v>-308135.22702194599</c:v>
                </c:pt>
                <c:pt idx="9">
                  <c:v>-239135.22702194599</c:v>
                </c:pt>
                <c:pt idx="10">
                  <c:v>-256135.22702194599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E-4756-9AC0-EEBBA1688458}"/>
            </c:ext>
          </c:extLst>
        </c:ser>
        <c:ser>
          <c:idx val="1"/>
          <c:order val="1"/>
          <c:tx>
            <c:strRef>
              <c:f>NPV!$A$93</c:f>
              <c:strCache>
                <c:ptCount val="1"/>
                <c:pt idx="0">
                  <c:v>Net social benefit/(cost)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NPV!$B$11:$Q$11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NPV!$B$93:$Q$93</c:f>
              <c:numCache>
                <c:formatCode>_-* #,##0_-;\-* #,##0_-;_-* "-"??_-;_-@_-</c:formatCode>
                <c:ptCount val="16"/>
                <c:pt idx="0">
                  <c:v>411487.44027364592</c:v>
                </c:pt>
                <c:pt idx="1">
                  <c:v>1076747.6675463733</c:v>
                </c:pt>
                <c:pt idx="2">
                  <c:v>1076747.6675463733</c:v>
                </c:pt>
                <c:pt idx="3">
                  <c:v>1076747.6675463733</c:v>
                </c:pt>
                <c:pt idx="4">
                  <c:v>1076747.6675463733</c:v>
                </c:pt>
                <c:pt idx="5">
                  <c:v>1059747.6675463733</c:v>
                </c:pt>
                <c:pt idx="6">
                  <c:v>1076747.6675463733</c:v>
                </c:pt>
                <c:pt idx="7">
                  <c:v>1076747.6675463733</c:v>
                </c:pt>
                <c:pt idx="8">
                  <c:v>1007747.6675463734</c:v>
                </c:pt>
                <c:pt idx="9">
                  <c:v>1076747.6675463733</c:v>
                </c:pt>
                <c:pt idx="10">
                  <c:v>1059747.6675463733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8E-4756-9AC0-EEBBA1688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541456"/>
        <c:axId val="341120544"/>
      </c:barChart>
      <c:catAx>
        <c:axId val="15354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46376857364374169"/>
              <c:y val="0.83262323720788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41120544"/>
        <c:crosses val="autoZero"/>
        <c:auto val="1"/>
        <c:lblAlgn val="ctr"/>
        <c:lblOffset val="100"/>
        <c:noMultiLvlLbl val="0"/>
      </c:catAx>
      <c:valAx>
        <c:axId val="3411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Net</a:t>
                </a:r>
                <a:r>
                  <a:rPr lang="en-GB" baseline="0"/>
                  <a:t> benefit (cost) £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2520325203252036E-2"/>
              <c:y val="0.30293541281616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354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800" b="1"/>
              <a:t>FRP cumulative net benefit/(cost) by year</a:t>
            </a:r>
          </a:p>
        </c:rich>
      </c:tx>
      <c:layout>
        <c:manualLayout>
          <c:xMode val="edge"/>
          <c:yMode val="edge"/>
          <c:x val="0.25214812710256679"/>
          <c:y val="2.50071196779632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NPV!$A$102</c:f>
              <c:strCache>
                <c:ptCount val="1"/>
                <c:pt idx="0">
                  <c:v>Local authority cost/(benefit)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NPV!$B$11:$Q$11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NPV!$B$102:$Q$102</c:f>
              <c:numCache>
                <c:formatCode>_-* #,##0_-;\-* #,##0_-;_-* "-"??_-;_-@_-</c:formatCode>
                <c:ptCount val="16"/>
                <c:pt idx="0">
                  <c:v>-904395.45429467352</c:v>
                </c:pt>
                <c:pt idx="1">
                  <c:v>-1143530.6813166195</c:v>
                </c:pt>
                <c:pt idx="2">
                  <c:v>-1382665.9083385654</c:v>
                </c:pt>
                <c:pt idx="3">
                  <c:v>-1621801.1353605115</c:v>
                </c:pt>
                <c:pt idx="4">
                  <c:v>-1860936.3623824576</c:v>
                </c:pt>
                <c:pt idx="5">
                  <c:v>-2117071.5894044037</c:v>
                </c:pt>
                <c:pt idx="6">
                  <c:v>-2356206.8164263498</c:v>
                </c:pt>
                <c:pt idx="7">
                  <c:v>-2595342.0434482959</c:v>
                </c:pt>
                <c:pt idx="8">
                  <c:v>-2903477.270470242</c:v>
                </c:pt>
                <c:pt idx="9">
                  <c:v>-3142612.4974921881</c:v>
                </c:pt>
                <c:pt idx="10">
                  <c:v>-3398747.7245141342</c:v>
                </c:pt>
                <c:pt idx="11">
                  <c:v>-3398747.7245141342</c:v>
                </c:pt>
                <c:pt idx="12">
                  <c:v>-3398747.7245141342</c:v>
                </c:pt>
                <c:pt idx="13">
                  <c:v>-3398747.7245141342</c:v>
                </c:pt>
                <c:pt idx="14">
                  <c:v>-3398747.7245141342</c:v>
                </c:pt>
                <c:pt idx="15">
                  <c:v>-3398747.7245141342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9-4505-915B-9BAF10F8BBB7}"/>
            </c:ext>
          </c:extLst>
        </c:ser>
        <c:ser>
          <c:idx val="1"/>
          <c:order val="1"/>
          <c:tx>
            <c:strRef>
              <c:f>NPV!$A$103</c:f>
              <c:strCache>
                <c:ptCount val="1"/>
                <c:pt idx="0">
                  <c:v>Social cost/(benefit)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NPV!$B$11:$Q$11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NPV!$B$103:$Q$103</c:f>
              <c:numCache>
                <c:formatCode>_-* #,##0_-;\-* #,##0_-;_-* "-"??_-;_-@_-</c:formatCode>
                <c:ptCount val="16"/>
                <c:pt idx="0">
                  <c:v>411487.44027364592</c:v>
                </c:pt>
                <c:pt idx="1">
                  <c:v>1488235.1078200194</c:v>
                </c:pt>
                <c:pt idx="2">
                  <c:v>2564982.7753663929</c:v>
                </c:pt>
                <c:pt idx="3">
                  <c:v>3641730.4429127662</c:v>
                </c:pt>
                <c:pt idx="4">
                  <c:v>4718478.1104591396</c:v>
                </c:pt>
                <c:pt idx="5">
                  <c:v>5778225.7780055134</c:v>
                </c:pt>
                <c:pt idx="6">
                  <c:v>6854973.4455518862</c:v>
                </c:pt>
                <c:pt idx="7">
                  <c:v>7931721.11309826</c:v>
                </c:pt>
                <c:pt idx="8">
                  <c:v>8939468.7806446329</c:v>
                </c:pt>
                <c:pt idx="9">
                  <c:v>10016216.448191006</c:v>
                </c:pt>
                <c:pt idx="10">
                  <c:v>11075964.115737382</c:v>
                </c:pt>
                <c:pt idx="11">
                  <c:v>11075964.115737382</c:v>
                </c:pt>
                <c:pt idx="12">
                  <c:v>11075964.115737382</c:v>
                </c:pt>
                <c:pt idx="13">
                  <c:v>11075964.115737382</c:v>
                </c:pt>
                <c:pt idx="14">
                  <c:v>11075964.115737382</c:v>
                </c:pt>
                <c:pt idx="15">
                  <c:v>11075964.115737382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49-4505-915B-9BAF10F8BBB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NPV!$B$11:$Q$11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Costs!$A$158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18-4E17-AB69-7AA2D5DFA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41456"/>
        <c:axId val="341120544"/>
      </c:lineChart>
      <c:catAx>
        <c:axId val="15354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47876181172773824"/>
              <c:y val="0.78456371150775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41120544"/>
        <c:crosses val="autoZero"/>
        <c:auto val="1"/>
        <c:lblAlgn val="ctr"/>
        <c:lblOffset val="100"/>
        <c:noMultiLvlLbl val="0"/>
      </c:catAx>
      <c:valAx>
        <c:axId val="3411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Net benefit/(cost) £</a:t>
                </a:r>
              </a:p>
            </c:rich>
          </c:tx>
          <c:layout>
            <c:manualLayout>
              <c:xMode val="edge"/>
              <c:yMode val="edge"/>
              <c:x val="2.1563336215991054E-2"/>
              <c:y val="0.26436841946455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354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219569</xdr:colOff>
      <xdr:row>122</xdr:row>
      <xdr:rowOff>29418</xdr:rowOff>
    </xdr:from>
    <xdr:to>
      <xdr:col>2</xdr:col>
      <xdr:colOff>45720</xdr:colOff>
      <xdr:row>145</xdr:row>
      <xdr:rowOff>119391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147077C8-C510-4015-BFB8-4FD32ACB5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249333</xdr:colOff>
      <xdr:row>122</xdr:row>
      <xdr:rowOff>3039</xdr:rowOff>
    </xdr:from>
    <xdr:to>
      <xdr:col>7</xdr:col>
      <xdr:colOff>121443</xdr:colOff>
      <xdr:row>146</xdr:row>
      <xdr:rowOff>26377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585B7345-A8A6-4863-8354-0BE9FCCA6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1430868</xdr:colOff>
      <xdr:row>111</xdr:row>
      <xdr:rowOff>109537</xdr:rowOff>
    </xdr:from>
    <xdr:to>
      <xdr:col>3</xdr:col>
      <xdr:colOff>252149</xdr:colOff>
      <xdr:row>129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6FD0E-8F59-4A9B-8623-5757455DA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123032</xdr:colOff>
      <xdr:row>111</xdr:row>
      <xdr:rowOff>94454</xdr:rowOff>
    </xdr:from>
    <xdr:to>
      <xdr:col>9</xdr:col>
      <xdr:colOff>394495</xdr:colOff>
      <xdr:row>130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8A7E5F-6A8E-4147-9A7C-B9C264616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11</xdr:row>
      <xdr:rowOff>19050</xdr:rowOff>
    </xdr:from>
    <xdr:to>
      <xdr:col>16</xdr:col>
      <xdr:colOff>304065</xdr:colOff>
      <xdr:row>29</xdr:row>
      <xdr:rowOff>142407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D76EAA-E114-47C3-8FE4-82ADFF97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209550"/>
          <a:ext cx="5876190" cy="37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projects2/Shared%20Documents/Resource%20London%20-%20Recycling%20tool/4.%20Data/Quant/arisings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ats average"/>
      <sheetName val="Site comparison"/>
      <sheetName val="Pre-intervention"/>
      <sheetName val="Post-intervention"/>
    </sheetNames>
    <sheetDataSet>
      <sheetData sheetId="0" refreshError="1"/>
      <sheetData sheetId="1" refreshError="1"/>
      <sheetData sheetId="2" refreshError="1"/>
      <sheetData sheetId="3">
        <row r="20">
          <cell r="B20">
            <v>10.326923076923077</v>
          </cell>
        </row>
        <row r="21">
          <cell r="B21">
            <v>13.091854508196722</v>
          </cell>
        </row>
        <row r="22">
          <cell r="B22">
            <v>8.80859375</v>
          </cell>
        </row>
        <row r="23">
          <cell r="B23">
            <v>4.9331597222222223</v>
          </cell>
        </row>
        <row r="24">
          <cell r="B24">
            <v>4.0881782945736438</v>
          </cell>
        </row>
        <row r="25">
          <cell r="B25">
            <v>8.255482456140351</v>
          </cell>
        </row>
        <row r="26">
          <cell r="B26">
            <v>9.9682320441988956</v>
          </cell>
        </row>
        <row r="27">
          <cell r="B27">
            <v>9.6068807339449549</v>
          </cell>
        </row>
        <row r="28">
          <cell r="B28">
            <v>12.700760254596888</v>
          </cell>
        </row>
        <row r="29">
          <cell r="B29">
            <v>7.1402462121212125</v>
          </cell>
        </row>
        <row r="30">
          <cell r="B30">
            <v>12.332674050632912</v>
          </cell>
        </row>
        <row r="31">
          <cell r="B31">
            <v>6.994909502262443</v>
          </cell>
        </row>
        <row r="36">
          <cell r="B36">
            <v>2.0296875000000001</v>
          </cell>
        </row>
        <row r="37">
          <cell r="B37">
            <v>2.6392930327868851</v>
          </cell>
        </row>
        <row r="38">
          <cell r="B38">
            <v>1.91845703125</v>
          </cell>
        </row>
        <row r="39">
          <cell r="B39">
            <v>1.5221354166666667</v>
          </cell>
        </row>
        <row r="40">
          <cell r="B40">
            <v>1.7800387596899225</v>
          </cell>
        </row>
        <row r="41">
          <cell r="B41">
            <v>2.2823464912280702</v>
          </cell>
        </row>
        <row r="42">
          <cell r="B42">
            <v>2.1025552486187844</v>
          </cell>
        </row>
        <row r="43">
          <cell r="B43">
            <v>1.9174311926605505</v>
          </cell>
        </row>
        <row r="44">
          <cell r="B44">
            <v>1.9915841584158416</v>
          </cell>
        </row>
        <row r="45">
          <cell r="B45">
            <v>1.8456439393939394</v>
          </cell>
        </row>
        <row r="46">
          <cell r="B46">
            <v>1.5336234177215189</v>
          </cell>
        </row>
        <row r="47">
          <cell r="B47">
            <v>1.7050339366515836</v>
          </cell>
        </row>
        <row r="52">
          <cell r="B52">
            <v>0.43084016393442626</v>
          </cell>
        </row>
        <row r="53">
          <cell r="B53">
            <v>0.78955078125</v>
          </cell>
        </row>
        <row r="54">
          <cell r="B54">
            <v>0.47587719298245612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tsrecycle.com/prices/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assets.publishing.service.gov.uk/government/uploads/system/uploads/attachment_data/file/879654/201819_LA_collected_waste_mgt_annual_Stats_Notice_FINAL_Accessible_v9.pdf" TargetMode="External"/><Relationship Id="rId7" Type="http://schemas.openxmlformats.org/officeDocument/2006/relationships/hyperlink" Target="https://www.letsrecycle.com/prices/" TargetMode="External"/><Relationship Id="rId12" Type="http://schemas.openxmlformats.org/officeDocument/2006/relationships/hyperlink" Target="https://resourcelondon.org/wp-content/uploads/2020/03/Resource-London-Recycling-in-flats-toolkit-2020.pdf" TargetMode="External"/><Relationship Id="rId2" Type="http://schemas.openxmlformats.org/officeDocument/2006/relationships/hyperlink" Target="https://assets.publishing.service.gov.uk/government/uploads/system/uploads/attachment_data/file/879654/201819_LA_collected_waste_mgt_annual_Stats_Notice_FINAL_Accessible_v9.pdf" TargetMode="External"/><Relationship Id="rId1" Type="http://schemas.openxmlformats.org/officeDocument/2006/relationships/hyperlink" Target="https://www.gov.uk/government/publications/valuation-of-energy-use-and-greenhouse-gas-emissions-for-appraisal" TargetMode="External"/><Relationship Id="rId6" Type="http://schemas.openxmlformats.org/officeDocument/2006/relationships/hyperlink" Target="https://www.letsrecycle.com/prices/" TargetMode="External"/><Relationship Id="rId11" Type="http://schemas.openxmlformats.org/officeDocument/2006/relationships/hyperlink" Target="https://www.london.gov.uk/what-we-do/business-and-economy/london-living-wage" TargetMode="External"/><Relationship Id="rId5" Type="http://schemas.openxmlformats.org/officeDocument/2006/relationships/hyperlink" Target="https://www.letsrecycle.com/prices/" TargetMode="External"/><Relationship Id="rId10" Type="http://schemas.openxmlformats.org/officeDocument/2006/relationships/hyperlink" Target="https://www.letsrecycle.com/prices/" TargetMode="External"/><Relationship Id="rId4" Type="http://schemas.openxmlformats.org/officeDocument/2006/relationships/hyperlink" Target="https://assets.publishing.service.gov.uk/government/uploads/system/uploads/attachment_data/file/193938/Green_Book_supplementary_guidance_intergenerational_wealth_transfers_and_social_discounting.pdf" TargetMode="External"/><Relationship Id="rId9" Type="http://schemas.openxmlformats.org/officeDocument/2006/relationships/hyperlink" Target="https://www.letsrecycle.com/price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prospects.ac.uk/job-profiles/recycling-officer" TargetMode="External"/><Relationship Id="rId4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49F-9452-47E5-BF4B-A24A3105427C}">
  <sheetPr>
    <tabColor theme="1"/>
  </sheetPr>
  <dimension ref="A1"/>
  <sheetViews>
    <sheetView workbookViewId="0"/>
  </sheetViews>
  <sheetFormatPr defaultColWidth="9.140625" defaultRowHeight="15"/>
  <cols>
    <col min="1" max="16384" width="9.140625" style="4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A015-B374-459C-B62A-940B89A08E35}">
  <sheetPr>
    <tabColor theme="9" tint="-0.499984740745262"/>
  </sheetPr>
  <dimension ref="A1:S118"/>
  <sheetViews>
    <sheetView zoomScale="130" zoomScaleNormal="130" workbookViewId="0">
      <pane xSplit="1" ySplit="2" topLeftCell="B88" activePane="bottomRight" state="frozen"/>
      <selection pane="bottomRight" activeCell="D37" sqref="D37"/>
      <selection pane="bottomLeft" activeCell="A3" sqref="A3"/>
      <selection pane="topRight" activeCell="B1" sqref="B1"/>
    </sheetView>
  </sheetViews>
  <sheetFormatPr defaultColWidth="9.140625" defaultRowHeight="11.25"/>
  <cols>
    <col min="1" max="1" width="55.28515625" style="1" bestFit="1" customWidth="1"/>
    <col min="2" max="2" width="19" style="1" bestFit="1" customWidth="1"/>
    <col min="3" max="3" width="14.42578125" style="1" customWidth="1"/>
    <col min="4" max="17" width="13.7109375" style="1" customWidth="1"/>
    <col min="18" max="18" width="9.140625" style="1"/>
    <col min="19" max="19" width="9.140625" style="3"/>
    <col min="20" max="16384" width="9.140625" style="1"/>
  </cols>
  <sheetData>
    <row r="1" spans="1:19" s="65" customFormat="1">
      <c r="A1" s="64" t="s">
        <v>0</v>
      </c>
      <c r="S1" s="65" t="s">
        <v>1</v>
      </c>
    </row>
    <row r="2" spans="1:19">
      <c r="A2" s="9"/>
      <c r="D2" s="38"/>
      <c r="E2" s="38"/>
      <c r="F2" s="38"/>
      <c r="G2" s="38"/>
    </row>
    <row r="3" spans="1:19">
      <c r="A3" s="62" t="s">
        <v>2</v>
      </c>
    </row>
    <row r="4" spans="1:19">
      <c r="A4" s="1" t="s">
        <v>3</v>
      </c>
      <c r="B4" s="117" t="s">
        <v>4</v>
      </c>
      <c r="C4" s="38"/>
    </row>
    <row r="5" spans="1:19">
      <c r="A5" s="147" t="s">
        <v>5</v>
      </c>
      <c r="B5" s="117" t="s">
        <v>6</v>
      </c>
      <c r="C5" s="147" t="s">
        <v>7</v>
      </c>
    </row>
    <row r="7" spans="1:19">
      <c r="A7" s="62" t="s">
        <v>8</v>
      </c>
      <c r="D7" s="8" t="s">
        <v>9</v>
      </c>
      <c r="E7" s="8"/>
      <c r="F7" s="8"/>
      <c r="G7" s="8"/>
      <c r="H7" s="8"/>
    </row>
    <row r="8" spans="1:19">
      <c r="A8" s="147" t="s">
        <v>10</v>
      </c>
      <c r="B8" s="116" t="s">
        <v>11</v>
      </c>
      <c r="C8" s="147" t="s">
        <v>12</v>
      </c>
      <c r="D8" s="135" t="s">
        <v>13</v>
      </c>
      <c r="E8" s="135"/>
      <c r="F8" s="135"/>
      <c r="G8" s="135"/>
      <c r="H8" s="135"/>
      <c r="S8" s="3" t="s">
        <v>14</v>
      </c>
    </row>
    <row r="9" spans="1:19">
      <c r="A9" s="147" t="s">
        <v>15</v>
      </c>
      <c r="B9" s="116" t="s">
        <v>16</v>
      </c>
      <c r="C9" s="147" t="s">
        <v>12</v>
      </c>
      <c r="D9" s="136" t="s">
        <v>17</v>
      </c>
      <c r="E9" s="136"/>
      <c r="F9" s="136"/>
      <c r="G9" s="136"/>
      <c r="H9" s="136"/>
      <c r="S9" s="3" t="s">
        <v>14</v>
      </c>
    </row>
    <row r="10" spans="1:19">
      <c r="B10" s="101"/>
    </row>
    <row r="11" spans="1:19">
      <c r="A11" s="62" t="s">
        <v>18</v>
      </c>
      <c r="B11" s="101"/>
    </row>
    <row r="12" spans="1:19">
      <c r="A12" s="38" t="s">
        <v>19</v>
      </c>
      <c r="B12" s="116" t="s">
        <v>20</v>
      </c>
      <c r="D12" s="136" t="s">
        <v>21</v>
      </c>
      <c r="E12" s="136"/>
      <c r="F12" s="136"/>
      <c r="G12" s="136"/>
      <c r="H12" s="136"/>
      <c r="S12" s="3" t="s">
        <v>14</v>
      </c>
    </row>
    <row r="13" spans="1:19">
      <c r="A13" s="1" t="s">
        <v>22</v>
      </c>
      <c r="B13" s="116" t="s">
        <v>20</v>
      </c>
      <c r="D13" s="135" t="s">
        <v>23</v>
      </c>
      <c r="E13" s="135"/>
      <c r="F13" s="135"/>
      <c r="G13" s="135"/>
      <c r="H13" s="135"/>
      <c r="S13" s="3" t="s">
        <v>14</v>
      </c>
    </row>
    <row r="14" spans="1:19">
      <c r="B14" s="101"/>
      <c r="D14" s="8" t="s">
        <v>24</v>
      </c>
      <c r="E14" s="8"/>
      <c r="F14" s="8"/>
      <c r="G14" s="8"/>
      <c r="H14" s="8"/>
    </row>
    <row r="15" spans="1:19">
      <c r="A15" s="62" t="s">
        <v>25</v>
      </c>
      <c r="B15" s="101"/>
    </row>
    <row r="16" spans="1:19">
      <c r="A16" s="1" t="s">
        <v>26</v>
      </c>
      <c r="B16" s="117">
        <v>100</v>
      </c>
    </row>
    <row r="17" spans="1:5">
      <c r="A17" s="1" t="s">
        <v>27</v>
      </c>
      <c r="B17" s="117" t="s">
        <v>28</v>
      </c>
      <c r="C17" s="99" t="s">
        <v>28</v>
      </c>
      <c r="D17" s="99" t="s">
        <v>29</v>
      </c>
      <c r="E17" s="38"/>
    </row>
    <row r="18" spans="1:5">
      <c r="A18" s="1" t="s">
        <v>30</v>
      </c>
      <c r="B18" s="101">
        <f>INDEX($C18:$D18,MATCH($B$17,$C$17:$D$17,0))</f>
        <v>150</v>
      </c>
      <c r="C18" s="99">
        <f>'General assumptions'!D9</f>
        <v>150</v>
      </c>
      <c r="D18" s="116"/>
      <c r="E18" s="38" t="s">
        <v>31</v>
      </c>
    </row>
    <row r="19" spans="1:5">
      <c r="A19" s="1" t="s">
        <v>32</v>
      </c>
      <c r="B19" s="101">
        <f>INDEX($C19:$D19,MATCH($B$17,$C$17:$D$17,0))</f>
        <v>5</v>
      </c>
      <c r="C19" s="99">
        <f>'General assumptions'!D10</f>
        <v>5</v>
      </c>
      <c r="D19" s="116"/>
      <c r="E19" s="38" t="s">
        <v>31</v>
      </c>
    </row>
    <row r="20" spans="1:5">
      <c r="A20" s="1" t="s">
        <v>33</v>
      </c>
      <c r="B20" s="101">
        <f t="shared" ref="B20:B21" si="0">INDEX($C20:$D20,MATCH($B$17,$C$17:$D$17,0))</f>
        <v>1</v>
      </c>
      <c r="C20" s="99">
        <f>'General assumptions'!D11</f>
        <v>1</v>
      </c>
      <c r="D20" s="116"/>
      <c r="E20" s="38" t="s">
        <v>31</v>
      </c>
    </row>
    <row r="21" spans="1:5">
      <c r="A21" s="1" t="s">
        <v>34</v>
      </c>
      <c r="B21" s="101">
        <f t="shared" si="0"/>
        <v>2</v>
      </c>
      <c r="C21" s="99">
        <f>'General assumptions'!D14</f>
        <v>2</v>
      </c>
      <c r="D21" s="116"/>
      <c r="E21" s="38" t="s">
        <v>31</v>
      </c>
    </row>
    <row r="22" spans="1:5">
      <c r="A22" s="1" t="s">
        <v>35</v>
      </c>
      <c r="B22" s="101">
        <f>INDEX($C22:$D22,MATCH($B$17,$C$17:$D$17,0))</f>
        <v>3</v>
      </c>
      <c r="C22" s="99">
        <f>'General assumptions'!D15</f>
        <v>3</v>
      </c>
      <c r="D22" s="116"/>
      <c r="E22" s="38" t="s">
        <v>31</v>
      </c>
    </row>
    <row r="23" spans="1:5">
      <c r="B23" s="101"/>
    </row>
    <row r="24" spans="1:5">
      <c r="A24" s="62" t="s">
        <v>36</v>
      </c>
      <c r="B24" s="101"/>
    </row>
    <row r="25" spans="1:5">
      <c r="A25" s="38" t="s">
        <v>37</v>
      </c>
      <c r="B25" s="117">
        <v>1100</v>
      </c>
    </row>
    <row r="26" spans="1:5">
      <c r="A26" s="100" t="s">
        <v>38</v>
      </c>
      <c r="B26" s="117">
        <v>1</v>
      </c>
    </row>
    <row r="27" spans="1:5">
      <c r="A27" s="38" t="s">
        <v>39</v>
      </c>
      <c r="B27" s="117">
        <v>1</v>
      </c>
    </row>
    <row r="28" spans="1:5">
      <c r="A28" s="38" t="s">
        <v>40</v>
      </c>
      <c r="B28" s="118">
        <v>1</v>
      </c>
    </row>
    <row r="29" spans="1:5">
      <c r="A29" s="147" t="s">
        <v>41</v>
      </c>
      <c r="B29" s="118" t="s">
        <v>42</v>
      </c>
      <c r="C29" s="147" t="s">
        <v>43</v>
      </c>
      <c r="D29" s="38"/>
    </row>
    <row r="30" spans="1:5">
      <c r="A30" s="160" t="s">
        <v>38</v>
      </c>
      <c r="B30" s="117">
        <v>1</v>
      </c>
      <c r="C30" s="147" t="s">
        <v>44</v>
      </c>
      <c r="D30" s="38"/>
    </row>
    <row r="31" spans="1:5">
      <c r="A31" s="147" t="s">
        <v>39</v>
      </c>
      <c r="B31" s="117">
        <v>1</v>
      </c>
      <c r="C31" s="147" t="s">
        <v>44</v>
      </c>
      <c r="D31" s="38"/>
    </row>
    <row r="32" spans="1:5">
      <c r="A32" s="102" t="s">
        <v>45</v>
      </c>
      <c r="B32" s="138"/>
    </row>
    <row r="33" spans="1:19">
      <c r="A33" s="135" t="s">
        <v>46</v>
      </c>
      <c r="B33" s="117" t="s">
        <v>47</v>
      </c>
    </row>
    <row r="34" spans="1:19">
      <c r="A34" s="135" t="s">
        <v>48</v>
      </c>
      <c r="B34" s="117" t="s">
        <v>49</v>
      </c>
    </row>
    <row r="35" spans="1:19">
      <c r="A35" s="135" t="s">
        <v>50</v>
      </c>
      <c r="B35" s="139" t="s">
        <v>6</v>
      </c>
    </row>
    <row r="36" spans="1:19">
      <c r="A36" s="135" t="s">
        <v>51</v>
      </c>
      <c r="B36" s="139" t="s">
        <v>6</v>
      </c>
    </row>
    <row r="37" spans="1:19" s="140" customFormat="1">
      <c r="A37" s="142" t="s">
        <v>52</v>
      </c>
      <c r="B37" s="139" t="s">
        <v>6</v>
      </c>
      <c r="S37" s="141"/>
    </row>
    <row r="38" spans="1:19">
      <c r="A38" s="135" t="s">
        <v>53</v>
      </c>
      <c r="B38" s="168" t="s">
        <v>6</v>
      </c>
    </row>
    <row r="39" spans="1:19">
      <c r="A39" s="135" t="s">
        <v>54</v>
      </c>
      <c r="B39" s="168" t="s">
        <v>6</v>
      </c>
    </row>
    <row r="40" spans="1:19">
      <c r="A40" s="135" t="s">
        <v>55</v>
      </c>
      <c r="B40" s="168" t="s">
        <v>6</v>
      </c>
    </row>
    <row r="41" spans="1:19">
      <c r="A41" s="135" t="s">
        <v>56</v>
      </c>
      <c r="B41" s="168" t="s">
        <v>6</v>
      </c>
    </row>
    <row r="42" spans="1:19">
      <c r="A42" s="38"/>
      <c r="B42" s="138"/>
    </row>
    <row r="43" spans="1:19">
      <c r="A43" s="155" t="s">
        <v>57</v>
      </c>
      <c r="B43" s="156"/>
      <c r="C43" s="147"/>
      <c r="D43" s="147"/>
    </row>
    <row r="44" spans="1:19">
      <c r="A44" s="147" t="s">
        <v>58</v>
      </c>
      <c r="B44" s="117" t="s">
        <v>28</v>
      </c>
      <c r="C44" s="99" t="s">
        <v>28</v>
      </c>
      <c r="D44" s="99" t="s">
        <v>29</v>
      </c>
    </row>
    <row r="45" spans="1:19">
      <c r="A45" s="147" t="s">
        <v>59</v>
      </c>
      <c r="B45" s="124">
        <f>INDEX(C45:D45,MATCH($B$44,$C$44:$D$44,0))</f>
        <v>23364</v>
      </c>
      <c r="C45" s="124">
        <f>INDEX('London Boroughs specific'!$G$2:$G$34,MATCH(Simplified!B4,'London Boroughs specific'!$B$2:$B$34,0))</f>
        <v>23364</v>
      </c>
      <c r="D45" s="163">
        <v>1500</v>
      </c>
      <c r="E45" s="147" t="s">
        <v>31</v>
      </c>
    </row>
    <row r="46" spans="1:19">
      <c r="A46" s="147" t="s">
        <v>60</v>
      </c>
      <c r="B46" s="124">
        <f>INDEX(C46:D46,MATCH($B$44,$C$44:$D$44,0))</f>
        <v>83658</v>
      </c>
      <c r="C46" s="124">
        <f>INDEX('London Boroughs specific'!$F$2:$F$34,MATCH(Simplified!B4,'London Boroughs specific'!$B$2:$B$34,0))</f>
        <v>83658</v>
      </c>
      <c r="D46" s="163">
        <v>10000</v>
      </c>
      <c r="E46" s="147"/>
    </row>
    <row r="47" spans="1:19">
      <c r="A47" s="147" t="s">
        <v>61</v>
      </c>
      <c r="B47" s="165">
        <f>INDEX(C47:D47,MATCH($B$44,$C$44:$D$44,0))</f>
        <v>0.13156805640711217</v>
      </c>
      <c r="C47" s="162">
        <f>INDEX('London Boroughs specific'!$T$2:$T$34,MATCH(Simplified!B4,'London Boroughs specific'!$B$2:$B$34,0))</f>
        <v>0.13156805640711217</v>
      </c>
      <c r="D47" s="164">
        <f>D45/(B16*B18)</f>
        <v>0.1</v>
      </c>
      <c r="E47" s="38"/>
    </row>
    <row r="48" spans="1:19">
      <c r="A48" s="147" t="s">
        <v>62</v>
      </c>
      <c r="B48" s="117" t="s">
        <v>28</v>
      </c>
      <c r="C48" s="99" t="s">
        <v>28</v>
      </c>
      <c r="D48" s="99" t="s">
        <v>29</v>
      </c>
    </row>
    <row r="49" spans="1:19">
      <c r="A49" s="147" t="s">
        <v>63</v>
      </c>
      <c r="B49" s="153">
        <f>INDEX(C49:D49,MATCH($B$48,$C$48:$D$48,0))</f>
        <v>91.501510574018113</v>
      </c>
      <c r="C49" s="152">
        <f>INDEX('General assumptions'!$D$57:$D$59,MATCH(Simplified!$B$29,'General assumptions'!$A$57:$A$59,0))</f>
        <v>91.501510574018113</v>
      </c>
      <c r="D49" s="29"/>
      <c r="E49" s="147" t="s">
        <v>31</v>
      </c>
      <c r="S49" s="1"/>
    </row>
    <row r="50" spans="1:19">
      <c r="A50" s="147" t="s">
        <v>64</v>
      </c>
      <c r="B50" s="153">
        <f t="shared" ref="B50:B51" si="1">INDEX(C50:D50,MATCH($B$48,$C$48:$D$48,0))</f>
        <v>27</v>
      </c>
      <c r="C50" s="152">
        <f>'General assumptions'!D60</f>
        <v>27</v>
      </c>
      <c r="D50" s="29"/>
      <c r="E50" s="147" t="s">
        <v>31</v>
      </c>
      <c r="S50" s="1"/>
    </row>
    <row r="51" spans="1:19">
      <c r="A51" s="147" t="s">
        <v>65</v>
      </c>
      <c r="B51" s="153">
        <f t="shared" si="1"/>
        <v>91.5</v>
      </c>
      <c r="C51" s="154">
        <v>91.5</v>
      </c>
      <c r="D51" s="29"/>
      <c r="E51" s="147" t="s">
        <v>31</v>
      </c>
      <c r="S51" s="1"/>
    </row>
    <row r="53" spans="1:19">
      <c r="A53" s="62" t="s">
        <v>66</v>
      </c>
      <c r="B53" s="101"/>
      <c r="S53" s="1"/>
    </row>
    <row r="54" spans="1:19">
      <c r="A54" s="38" t="s">
        <v>67</v>
      </c>
      <c r="B54" s="117" t="s">
        <v>68</v>
      </c>
      <c r="S54" s="1"/>
    </row>
    <row r="55" spans="1:19">
      <c r="A55" s="38" t="s">
        <v>69</v>
      </c>
      <c r="B55" s="117">
        <v>10</v>
      </c>
      <c r="S55" s="1"/>
    </row>
    <row r="57" spans="1:19" s="65" customFormat="1">
      <c r="A57" s="64" t="s">
        <v>70</v>
      </c>
    </row>
    <row r="58" spans="1:19">
      <c r="A58" s="38"/>
      <c r="S58" s="1"/>
    </row>
    <row r="59" spans="1:19" s="65" customFormat="1">
      <c r="A59" s="64" t="s">
        <v>71</v>
      </c>
    </row>
    <row r="60" spans="1:19">
      <c r="A60" s="147" t="s">
        <v>72</v>
      </c>
      <c r="B60" s="161">
        <f>B45/B46</f>
        <v>0.27927992541060032</v>
      </c>
      <c r="C60" s="147" t="s">
        <v>73</v>
      </c>
      <c r="D60" s="147"/>
      <c r="E60" s="147"/>
      <c r="S60" s="1"/>
    </row>
    <row r="61" spans="1:19">
      <c r="A61" s="147" t="s">
        <v>74</v>
      </c>
      <c r="B61" s="166">
        <f>(B45+B47*'General assumptions'!D26*INDEX('General assumptions'!$C$46:$E$46,MATCH(Simplified!$B$12,'General assumptions'!$C$45:$E$45,0))*B16*B18/'General assumptions'!D26)/B46</f>
        <v>0.28635702806464419</v>
      </c>
      <c r="C61" s="147" t="s">
        <v>73</v>
      </c>
      <c r="D61" s="147"/>
      <c r="E61" s="147"/>
      <c r="S61" s="1"/>
    </row>
    <row r="62" spans="1:19">
      <c r="A62" s="147" t="s">
        <v>75</v>
      </c>
      <c r="B62" s="166">
        <f>B61-B60</f>
        <v>7.0771026540438764E-3</v>
      </c>
      <c r="C62" s="147" t="s">
        <v>73</v>
      </c>
      <c r="D62" s="147"/>
      <c r="E62" s="147"/>
      <c r="S62" s="1"/>
    </row>
    <row r="63" spans="1:19">
      <c r="A63" s="102"/>
      <c r="S63" s="1"/>
    </row>
    <row r="64" spans="1:19">
      <c r="A64" s="38" t="s">
        <v>76</v>
      </c>
      <c r="B64" s="70">
        <f>INDEX('General assumptions'!$C$46:$E$46,MATCH(Simplified!$B$12,'General assumptions'!$C$45:$E$45,0))</f>
        <v>0.3</v>
      </c>
      <c r="S64" s="1"/>
    </row>
    <row r="65" spans="1:19">
      <c r="A65" s="102"/>
    </row>
    <row r="66" spans="1:19">
      <c r="A66" s="1" t="s">
        <v>77</v>
      </c>
      <c r="B66" s="70">
        <f>INDEX('General assumptions'!$C$47:$E$47,MATCH(Simplified!$B$13,'General assumptions'!$C$45:$E$45,0))</f>
        <v>0.24199999999999999</v>
      </c>
    </row>
    <row r="67" spans="1:19">
      <c r="A67" s="102"/>
    </row>
    <row r="68" spans="1:19">
      <c r="A68" s="147" t="s">
        <v>78</v>
      </c>
      <c r="B68" s="148" cm="1">
        <f t="array" ref="B68">(((B47*'General assumptions'!D26)*(INDEX('General assumptions'!$C$46:$E$46,MATCH(Simplified!$B$12,'General assumptions'!$C$45:$E$45,0))+INDEX('General assumptions'!$C$47:$E$47,,MATCH($B$13,'General assumptions'!$C$45:$E$45,0))))*B16*B18/'General assumptions'!D26)*(INDEX('General assumptions'!$D$51:$D$53,MATCH(Simplified!$B$29,'General assumptions'!$A$51:$A$53,0))-'General assumptions'!D54)/'General assumptions'!D26</f>
        <v>412.312967043512</v>
      </c>
      <c r="C68" s="147" t="s">
        <v>79</v>
      </c>
      <c r="D68" s="147"/>
    </row>
    <row r="69" spans="1:19">
      <c r="A69" s="38"/>
      <c r="B69" s="30"/>
    </row>
    <row r="70" spans="1:19">
      <c r="A70" s="38" t="s">
        <v>80</v>
      </c>
      <c r="B70" s="30">
        <f>B25*B27*(B16*B19*B20*B21)/(B18*B16)</f>
        <v>73.333333333333329</v>
      </c>
      <c r="C70" s="1" t="s">
        <v>81</v>
      </c>
      <c r="S70" s="3" t="s">
        <v>82</v>
      </c>
    </row>
    <row r="71" spans="1:19">
      <c r="A71" s="38"/>
      <c r="B71" s="30"/>
    </row>
    <row r="72" spans="1:19">
      <c r="A72" s="135" t="s">
        <v>83</v>
      </c>
      <c r="B72" s="137">
        <f>-SUM(B98:Q101)/((B16*B18)*B55)</f>
        <v>30.639168181818185</v>
      </c>
      <c r="C72" s="135" t="s">
        <v>84</v>
      </c>
      <c r="D72" s="135"/>
    </row>
    <row r="73" spans="1:19">
      <c r="A73" s="38"/>
      <c r="B73" s="124"/>
    </row>
    <row r="74" spans="1:19">
      <c r="A74" s="38" t="s">
        <v>85</v>
      </c>
      <c r="B74" s="124">
        <f>SUM(B110:Q110)/((B16*B18)*B55)</f>
        <v>49.296404095609667</v>
      </c>
    </row>
    <row r="75" spans="1:19">
      <c r="A75" s="38"/>
      <c r="B75" s="124"/>
    </row>
    <row r="76" spans="1:19" s="65" customFormat="1">
      <c r="A76" s="64" t="s">
        <v>86</v>
      </c>
    </row>
    <row r="77" spans="1:19">
      <c r="A77" s="147" t="s">
        <v>87</v>
      </c>
      <c r="B77" s="148" cm="1">
        <f t="array" ref="B77">(((B47*'General assumptions'!D26)*(INDEX('General assumptions'!$C$46:$E$46,MATCH(Simplified!$B$12,'General assumptions'!$C$45:$E$45,0))+INDEX('General assumptions'!$C$47:$E$47,,MATCH($B$13,'General assumptions'!$C$45:$E$45,0))))*B16*B18/'General assumptions'!D26)*(INDEX('General assumptions'!$D$51:$D$53,MATCH(Simplified!$B$29,'General assumptions'!$A$51:$A$53,0))-'General assumptions'!D54)/'General assumptions'!D26*'General assumptions'!D50</f>
        <v>28564.489857398676</v>
      </c>
      <c r="C77" s="147" t="s">
        <v>88</v>
      </c>
      <c r="D77" s="147"/>
      <c r="E77" s="147"/>
      <c r="F77" s="147"/>
    </row>
    <row r="78" spans="1:19">
      <c r="A78" s="147" t="s">
        <v>89</v>
      </c>
      <c r="B78" s="148">
        <f>(B16*B18)*((B49-B50)*INDEX('General assumptions'!$C$46:$E$46,MATCH(Simplified!$B$12,'General assumptions'!$C$45:$E$45,0))*B47+(B51-B50)*INDEX('General assumptions'!$C$47:$E$47,MATCH(Simplified!$B$12,'General assumptions'!$C$45:$E$45,0))*B47)</f>
        <v>68993.209603837808</v>
      </c>
      <c r="C78" s="147" t="s">
        <v>90</v>
      </c>
      <c r="D78" s="147"/>
      <c r="E78" s="147"/>
      <c r="F78" s="147"/>
    </row>
    <row r="79" spans="1:19">
      <c r="A79" s="147" t="s">
        <v>91</v>
      </c>
      <c r="B79" s="148">
        <f>(B30-B31)*INDEX('Cost assumptions'!$C$60:$G$60,MATCH(Simplified!$B$9,'Cost assumptions'!$C$6:$G$6,0))*B16*B18</f>
        <v>0</v>
      </c>
      <c r="C79" s="147" t="s">
        <v>92</v>
      </c>
      <c r="D79" s="147"/>
      <c r="E79" s="147"/>
      <c r="F79" s="147"/>
    </row>
    <row r="80" spans="1:19">
      <c r="A80" s="38" t="s">
        <v>93</v>
      </c>
      <c r="B80" s="30" cm="1">
        <f t="array" ref="B80">(((B47*'General assumptions'!D26)*(INDEX('General assumptions'!$C$46:$E$46,MATCH(Simplified!$B$12,'General assumptions'!$C$45:$E$45,0))+INDEX('General assumptions'!$C$47:$E$47,,MATCH($B$13,'General assumptions'!$C$45:$E$45,0))))*B16*B18/'General assumptions'!D26)*SUMPRODUCT('General assumptions'!D63:D68,'General assumptions'!D71:D76)</f>
        <v>39835.84193608215</v>
      </c>
      <c r="C80" s="38" t="s">
        <v>94</v>
      </c>
    </row>
    <row r="81" spans="1:19">
      <c r="A81" s="100" t="s">
        <v>95</v>
      </c>
      <c r="B81" s="30">
        <f>B16*B18*('General assumptions'!D90*'General assumptions'!D88+'General assumptions'!D91*'General assumptions'!D89)*'General assumptions'!D92*'General assumptions'!D30+('General assumptions'!D87/'General assumptions'!D27)*'General assumptions'!D37*'General assumptions'!D29*(B16*B18)*INDEX('General assumptions'!$C$46:$E$46,MATCH(Simplified!$B$12,'General assumptions'!$C$45:$E$45,0))</f>
        <v>643659.20235546026</v>
      </c>
      <c r="C81" s="38" t="s">
        <v>96</v>
      </c>
    </row>
    <row r="82" spans="1:19">
      <c r="A82" s="60" t="s">
        <v>97</v>
      </c>
      <c r="B82" s="103">
        <f>SUM(B77:B81)</f>
        <v>781052.74375277886</v>
      </c>
      <c r="C82" s="38"/>
    </row>
    <row r="84" spans="1:19" s="65" customFormat="1">
      <c r="A84" s="64" t="s">
        <v>98</v>
      </c>
    </row>
    <row r="85" spans="1:19">
      <c r="A85" s="1" t="s">
        <v>99</v>
      </c>
      <c r="B85" s="1">
        <v>0</v>
      </c>
      <c r="C85" s="1">
        <f>B85+1</f>
        <v>1</v>
      </c>
      <c r="D85" s="1">
        <f t="shared" ref="D85" si="2">C85+1</f>
        <v>2</v>
      </c>
      <c r="E85" s="1">
        <f t="shared" ref="E85" si="3">D85+1</f>
        <v>3</v>
      </c>
      <c r="F85" s="1">
        <f t="shared" ref="F85" si="4">E85+1</f>
        <v>4</v>
      </c>
      <c r="G85" s="1">
        <f t="shared" ref="G85" si="5">F85+1</f>
        <v>5</v>
      </c>
      <c r="H85" s="1">
        <f t="shared" ref="H85" si="6">G85+1</f>
        <v>6</v>
      </c>
      <c r="I85" s="1">
        <f t="shared" ref="I85" si="7">H85+1</f>
        <v>7</v>
      </c>
      <c r="J85" s="1">
        <f t="shared" ref="J85" si="8">I85+1</f>
        <v>8</v>
      </c>
      <c r="K85" s="1">
        <f t="shared" ref="K85" si="9">J85+1</f>
        <v>9</v>
      </c>
      <c r="L85" s="1">
        <f t="shared" ref="L85" si="10">K85+1</f>
        <v>10</v>
      </c>
      <c r="M85" s="1">
        <f t="shared" ref="M85" si="11">L85+1</f>
        <v>11</v>
      </c>
      <c r="N85" s="1">
        <f t="shared" ref="N85" si="12">M85+1</f>
        <v>12</v>
      </c>
      <c r="O85" s="1">
        <f t="shared" ref="O85" si="13">N85+1</f>
        <v>13</v>
      </c>
      <c r="P85" s="1">
        <f t="shared" ref="P85" si="14">O85+1</f>
        <v>14</v>
      </c>
      <c r="Q85" s="1">
        <f t="shared" ref="Q85" si="15">P85+1</f>
        <v>15</v>
      </c>
    </row>
    <row r="86" spans="1:19" s="10" customFormat="1">
      <c r="A86" s="10" t="s">
        <v>100</v>
      </c>
      <c r="B86" s="103">
        <f>Costs!B115</f>
        <v>648260.22727272753</v>
      </c>
      <c r="S86" s="2"/>
    </row>
    <row r="87" spans="1:19">
      <c r="A87" s="1" t="s">
        <v>101</v>
      </c>
      <c r="B87" s="30"/>
    </row>
    <row r="88" spans="1:19">
      <c r="A88" s="41" t="s">
        <v>47</v>
      </c>
      <c r="B88" s="30">
        <f>INDEX(Costs!$B$117:$B$118,MATCH(Simplified!$A$88,Costs!$A$117:$A$118,0))</f>
        <v>281240</v>
      </c>
    </row>
    <row r="89" spans="1:19">
      <c r="A89" s="41" t="s">
        <v>102</v>
      </c>
      <c r="B89" s="30">
        <f>INDEX(Costs!$B$117:$B$118,MATCH(Simplified!$A$89,Costs!$A$117:$A$118,0))</f>
        <v>367020.22727272729</v>
      </c>
    </row>
    <row r="90" spans="1:19" s="10" customFormat="1">
      <c r="A90" s="10" t="s">
        <v>103</v>
      </c>
      <c r="B90" s="103">
        <f>IF(MOD(COLUMN(B$85)-2,Costs!$F146)=0,Costs!$B146,0)+IF(MOD(COLUMN(B$85)-2,Costs!$F147)=0,Costs!$B147,0)+IF(MOD(COLUMN(B$85)-2,Costs!$F149)=0,Costs!$B149,0)+IF(MOD(COLUMN(B$85)-2,Costs!$F150)=0,Costs!$B150,0)+IF(B85=0,0,IF(MOD(COLUMN(B$85)-2,Costs!$F152)=0,Costs!$B152,0))+IF(MOD(COLUMN(B$85)-2,Costs!$F155)=0,Costs!$B155,0)+IF(MOD(COLUMN(B$85)-2,Costs!$F156)=0,Costs!$B156,0)+IF(MOD(COLUMN(B$85)-2,Costs!$F158)=0,Costs!$B158,0)+IF(MOD(COLUMN(B$85)-2,Costs!$F160)=0,Costs!$B160,0)</f>
        <v>364965</v>
      </c>
      <c r="C90" s="103">
        <f>IF(MOD(COLUMN(C$85)-2,Costs!$F146)=0,Costs!$B146,0)+IF(MOD(COLUMN(C$85)-2,Costs!$F147)=0,Costs!$B147,0)+IF(MOD(COLUMN(C$85)-2,Costs!$F149)=0,Costs!$B149,0)+IF(MOD(COLUMN(C$85)-2,Costs!$F150)=0,Costs!$B150,0)+IF(C85=0,0,IF(MOD(COLUMN(C$85)-2,Costs!$F152)=0,Costs!$B152,0))+IF(MOD(COLUMN(C$85)-2,Costs!$F155)=0,Costs!$B155,0)+IF(MOD(COLUMN(C$85)-2,Costs!$F156)=0,Costs!$B156,0)+IF(MOD(COLUMN(C$85)-2,Costs!$F158)=0,Costs!$B158,0)+IF(MOD(COLUMN(C$85)-2,Costs!$F160)=0,Costs!$B160,0)</f>
        <v>347965</v>
      </c>
      <c r="D90" s="103">
        <f>IF(MOD(COLUMN(D$85)-2,Costs!$F146)=0,Costs!$B146,0)+IF(MOD(COLUMN(D$85)-2,Costs!$F147)=0,Costs!$B147,0)+IF(MOD(COLUMN(D$85)-2,Costs!$F149)=0,Costs!$B149,0)+IF(MOD(COLUMN(D$85)-2,Costs!$F150)=0,Costs!$B150,0)+IF(D85=0,0,IF(MOD(COLUMN(D$85)-2,Costs!$F152)=0,Costs!$B152,0))+IF(MOD(COLUMN(D$85)-2,Costs!$F155)=0,Costs!$B155,0)+IF(MOD(COLUMN(D$85)-2,Costs!$F156)=0,Costs!$B156,0)+IF(MOD(COLUMN(D$85)-2,Costs!$F158)=0,Costs!$B158,0)+IF(MOD(COLUMN(D$85)-2,Costs!$F160)=0,Costs!$B160,0)</f>
        <v>347965</v>
      </c>
      <c r="E90" s="103">
        <f>IF(MOD(COLUMN(E$85)-2,Costs!$F146)=0,Costs!$B146,0)+IF(MOD(COLUMN(E$85)-2,Costs!$F147)=0,Costs!$B147,0)+IF(MOD(COLUMN(E$85)-2,Costs!$F149)=0,Costs!$B149,0)+IF(MOD(COLUMN(E$85)-2,Costs!$F150)=0,Costs!$B150,0)+IF(E85=0,0,IF(MOD(COLUMN(E$85)-2,Costs!$F152)=0,Costs!$B152,0))+IF(MOD(COLUMN(E$85)-2,Costs!$F155)=0,Costs!$B155,0)+IF(MOD(COLUMN(E$85)-2,Costs!$F156)=0,Costs!$B156,0)+IF(MOD(COLUMN(E$85)-2,Costs!$F158)=0,Costs!$B158,0)+IF(MOD(COLUMN(E$85)-2,Costs!$F160)=0,Costs!$B160,0)</f>
        <v>347965</v>
      </c>
      <c r="F90" s="103">
        <f>IF(MOD(COLUMN(F$85)-2,Costs!$F146)=0,Costs!$B146,0)+IF(MOD(COLUMN(F$85)-2,Costs!$F147)=0,Costs!$B147,0)+IF(MOD(COLUMN(F$85)-2,Costs!$F149)=0,Costs!$B149,0)+IF(MOD(COLUMN(F$85)-2,Costs!$F150)=0,Costs!$B150,0)+IF(F85=0,0,IF(MOD(COLUMN(F$85)-2,Costs!$F152)=0,Costs!$B152,0))+IF(MOD(COLUMN(F$85)-2,Costs!$F155)=0,Costs!$B155,0)+IF(MOD(COLUMN(F$85)-2,Costs!$F156)=0,Costs!$B156,0)+IF(MOD(COLUMN(F$85)-2,Costs!$F158)=0,Costs!$B158,0)+IF(MOD(COLUMN(F$85)-2,Costs!$F160)=0,Costs!$B160,0)</f>
        <v>347965</v>
      </c>
      <c r="G90" s="103">
        <f>IF(MOD(COLUMN(G$85)-2,Costs!$F146)=0,Costs!$B146,0)+IF(MOD(COLUMN(G$85)-2,Costs!$F147)=0,Costs!$B147,0)+IF(MOD(COLUMN(G$85)-2,Costs!$F149)=0,Costs!$B149,0)+IF(MOD(COLUMN(G$85)-2,Costs!$F150)=0,Costs!$B150,0)+IF(G85=0,0,IF(MOD(COLUMN(G$85)-2,Costs!$F152)=0,Costs!$B152,0))+IF(MOD(COLUMN(G$85)-2,Costs!$F155)=0,Costs!$B155,0)+IF(MOD(COLUMN(G$85)-2,Costs!$F156)=0,Costs!$B156,0)+IF(MOD(COLUMN(G$85)-2,Costs!$F158)=0,Costs!$B158,0)+IF(MOD(COLUMN(G$85)-2,Costs!$F160)=0,Costs!$B160,0)</f>
        <v>364965</v>
      </c>
      <c r="H90" s="103">
        <f>IF(MOD(COLUMN(H$85)-2,Costs!$F146)=0,Costs!$B146,0)+IF(MOD(COLUMN(H$85)-2,Costs!$F147)=0,Costs!$B147,0)+IF(MOD(COLUMN(H$85)-2,Costs!$F149)=0,Costs!$B149,0)+IF(MOD(COLUMN(H$85)-2,Costs!$F150)=0,Costs!$B150,0)+IF(H85=0,0,IF(MOD(COLUMN(H$85)-2,Costs!$F152)=0,Costs!$B152,0))+IF(MOD(COLUMN(H$85)-2,Costs!$F155)=0,Costs!$B155,0)+IF(MOD(COLUMN(H$85)-2,Costs!$F156)=0,Costs!$B156,0)+IF(MOD(COLUMN(H$85)-2,Costs!$F158)=0,Costs!$B158,0)+IF(MOD(COLUMN(H$85)-2,Costs!$F160)=0,Costs!$B160,0)</f>
        <v>347965</v>
      </c>
      <c r="I90" s="103">
        <f>IF(MOD(COLUMN(I$85)-2,Costs!$F146)=0,Costs!$B146,0)+IF(MOD(COLUMN(I$85)-2,Costs!$F147)=0,Costs!$B147,0)+IF(MOD(COLUMN(I$85)-2,Costs!$F149)=0,Costs!$B149,0)+IF(MOD(COLUMN(I$85)-2,Costs!$F150)=0,Costs!$B150,0)+IF(I85=0,0,IF(MOD(COLUMN(I$85)-2,Costs!$F152)=0,Costs!$B152,0))+IF(MOD(COLUMN(I$85)-2,Costs!$F155)=0,Costs!$B155,0)+IF(MOD(COLUMN(I$85)-2,Costs!$F156)=0,Costs!$B156,0)+IF(MOD(COLUMN(I$85)-2,Costs!$F158)=0,Costs!$B158,0)+IF(MOD(COLUMN(I$85)-2,Costs!$F160)=0,Costs!$B160,0)</f>
        <v>347965</v>
      </c>
      <c r="J90" s="103">
        <f>IF(MOD(COLUMN(J$85)-2,Costs!$F146)=0,Costs!$B146,0)+IF(MOD(COLUMN(J$85)-2,Costs!$F147)=0,Costs!$B147,0)+IF(MOD(COLUMN(J$85)-2,Costs!$F149)=0,Costs!$B149,0)+IF(MOD(COLUMN(J$85)-2,Costs!$F150)=0,Costs!$B150,0)+IF(J85=0,0,IF(MOD(COLUMN(J$85)-2,Costs!$F152)=0,Costs!$B152,0))+IF(MOD(COLUMN(J$85)-2,Costs!$F155)=0,Costs!$B155,0)+IF(MOD(COLUMN(J$85)-2,Costs!$F156)=0,Costs!$B156,0)+IF(MOD(COLUMN(J$85)-2,Costs!$F158)=0,Costs!$B158,0)+IF(MOD(COLUMN(J$85)-2,Costs!$F160)=0,Costs!$B160,0)</f>
        <v>416965</v>
      </c>
      <c r="K90" s="103">
        <f>IF(MOD(COLUMN(K$85)-2,Costs!$F146)=0,Costs!$B146,0)+IF(MOD(COLUMN(K$85)-2,Costs!$F147)=0,Costs!$B147,0)+IF(MOD(COLUMN(K$85)-2,Costs!$F149)=0,Costs!$B149,0)+IF(MOD(COLUMN(K$85)-2,Costs!$F150)=0,Costs!$B150,0)+IF(K85=0,0,IF(MOD(COLUMN(K$85)-2,Costs!$F152)=0,Costs!$B152,0))+IF(MOD(COLUMN(K$85)-2,Costs!$F155)=0,Costs!$B155,0)+IF(MOD(COLUMN(K$85)-2,Costs!$F156)=0,Costs!$B156,0)+IF(MOD(COLUMN(K$85)-2,Costs!$F158)=0,Costs!$B158,0)+IF(MOD(COLUMN(K$85)-2,Costs!$F160)=0,Costs!$B160,0)</f>
        <v>347965</v>
      </c>
      <c r="L90" s="103">
        <f>IF(MOD(COLUMN(L$85)-2,Costs!$F146)=0,Costs!$B146,0)+IF(MOD(COLUMN(L$85)-2,Costs!$F147)=0,Costs!$B147,0)+IF(MOD(COLUMN(L$85)-2,Costs!$F149)=0,Costs!$B149,0)+IF(MOD(COLUMN(L$85)-2,Costs!$F150)=0,Costs!$B150,0)+IF(L85=0,0,IF(MOD(COLUMN(L$85)-2,Costs!$F152)=0,Costs!$B152,0))+IF(MOD(COLUMN(L$85)-2,Costs!$F155)=0,Costs!$B155,0)+IF(MOD(COLUMN(L$85)-2,Costs!$F156)=0,Costs!$B156,0)+IF(MOD(COLUMN(L$85)-2,Costs!$F158)=0,Costs!$B158,0)+IF(MOD(COLUMN(L$85)-2,Costs!$F160)=0,Costs!$B160,0)</f>
        <v>364965</v>
      </c>
      <c r="M90" s="103">
        <f>IF(MOD(COLUMN(M$85)-2,Costs!$F146)=0,Costs!$B146,0)+IF(MOD(COLUMN(M$85)-2,Costs!$F147)=0,Costs!$B147,0)+IF(MOD(COLUMN(M$85)-2,Costs!$F149)=0,Costs!$B149,0)+IF(MOD(COLUMN(M$85)-2,Costs!$F150)=0,Costs!$B150,0)+IF(M85=0,0,IF(MOD(COLUMN(M$85)-2,Costs!$F152)=0,Costs!$B152,0))+IF(MOD(COLUMN(M$85)-2,Costs!$F155)=0,Costs!$B155,0)+IF(MOD(COLUMN(M$85)-2,Costs!$F156)=0,Costs!$B156,0)+IF(MOD(COLUMN(M$85)-2,Costs!$F158)=0,Costs!$B158,0)+IF(MOD(COLUMN(M$85)-2,Costs!$F160)=0,Costs!$B160,0)</f>
        <v>347965</v>
      </c>
      <c r="N90" s="103">
        <f>IF(MOD(COLUMN(N$85)-2,Costs!$F146)=0,Costs!$B146,0)+IF(MOD(COLUMN(N$85)-2,Costs!$F147)=0,Costs!$B147,0)+IF(MOD(COLUMN(N$85)-2,Costs!$F149)=0,Costs!$B149,0)+IF(MOD(COLUMN(N$85)-2,Costs!$F150)=0,Costs!$B150,0)+IF(N85=0,0,IF(MOD(COLUMN(N$85)-2,Costs!$F152)=0,Costs!$B152,0))+IF(MOD(COLUMN(N$85)-2,Costs!$F155)=0,Costs!$B155,0)+IF(MOD(COLUMN(N$85)-2,Costs!$F156)=0,Costs!$B156,0)+IF(MOD(COLUMN(N$85)-2,Costs!$F158)=0,Costs!$B158,0)+IF(MOD(COLUMN(N$85)-2,Costs!$F160)=0,Costs!$B160,0)</f>
        <v>347965</v>
      </c>
      <c r="O90" s="103">
        <f>IF(MOD(COLUMN(O$85)-2,Costs!$F146)=0,Costs!$B146,0)+IF(MOD(COLUMN(O$85)-2,Costs!$F147)=0,Costs!$B147,0)+IF(MOD(COLUMN(O$85)-2,Costs!$F149)=0,Costs!$B149,0)+IF(MOD(COLUMN(O$85)-2,Costs!$F150)=0,Costs!$B150,0)+IF(O85=0,0,IF(MOD(COLUMN(O$85)-2,Costs!$F152)=0,Costs!$B152,0))+IF(MOD(COLUMN(O$85)-2,Costs!$F155)=0,Costs!$B155,0)+IF(MOD(COLUMN(O$85)-2,Costs!$F156)=0,Costs!$B156,0)+IF(MOD(COLUMN(O$85)-2,Costs!$F158)=0,Costs!$B158,0)+IF(MOD(COLUMN(O$85)-2,Costs!$F160)=0,Costs!$B160,0)</f>
        <v>347965</v>
      </c>
      <c r="P90" s="103">
        <f>IF(MOD(COLUMN(P$85)-2,Costs!$F146)=0,Costs!$B146,0)+IF(MOD(COLUMN(P$85)-2,Costs!$F147)=0,Costs!$B147,0)+IF(MOD(COLUMN(P$85)-2,Costs!$F149)=0,Costs!$B149,0)+IF(MOD(COLUMN(P$85)-2,Costs!$F150)=0,Costs!$B150,0)+IF(P85=0,0,IF(MOD(COLUMN(P$85)-2,Costs!$F152)=0,Costs!$B152,0))+IF(MOD(COLUMN(P$85)-2,Costs!$F155)=0,Costs!$B155,0)+IF(MOD(COLUMN(P$85)-2,Costs!$F156)=0,Costs!$B156,0)+IF(MOD(COLUMN(P$85)-2,Costs!$F158)=0,Costs!$B158,0)+IF(MOD(COLUMN(P$85)-2,Costs!$F160)=0,Costs!$B160,0)</f>
        <v>347965</v>
      </c>
      <c r="Q90" s="103">
        <f>IF(MOD(COLUMN(Q$85)-2,Costs!$F146)=0,Costs!$B146,0)+IF(MOD(COLUMN(Q$85)-2,Costs!$F147)=0,Costs!$B147,0)+IF(MOD(COLUMN(Q$85)-2,Costs!$F149)=0,Costs!$B149,0)+IF(MOD(COLUMN(Q$85)-2,Costs!$F150)=0,Costs!$B150,0)+IF(Q85=0,0,IF(MOD(COLUMN(Q$85)-2,Costs!$F152)=0,Costs!$B152,0))+IF(MOD(COLUMN(Q$85)-2,Costs!$F155)=0,Costs!$B155,0)+IF(MOD(COLUMN(Q$85)-2,Costs!$F156)=0,Costs!$B156,0)+IF(MOD(COLUMN(Q$85)-2,Costs!$F158)=0,Costs!$B158,0)+IF(MOD(COLUMN(Q$85)-2,Costs!$F160)=0,Costs!$B160,0)</f>
        <v>364965</v>
      </c>
      <c r="S90" s="2"/>
    </row>
    <row r="91" spans="1:19">
      <c r="A91" s="1" t="s">
        <v>101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9">
      <c r="A92" s="41" t="s">
        <v>47</v>
      </c>
      <c r="B92" s="30">
        <f>IF(MOD(COLUMN(B$85)-2,Costs!$F146)=0,Costs!$B146,0)*($A$92=Costs!$E$146)+IF(MOD(COLUMN(B$85)-2,Costs!$F147)=0,Costs!$B147,0)*($A$92=Costs!$E$147)+IF(MOD(COLUMN(B$85)-2,Costs!$F149)=0,Costs!$B149,0)*($A$92=Costs!$E$149)+IF(MOD(COLUMN(B$85)-2,Costs!$F150)=0,Costs!$B150,0)*($A$92=Costs!$E$150)+IF(B85=0,0,IF(MOD(COLUMN(B$85)-2,Costs!$F152)=0,Costs!$B152,0))*($A$92=Costs!$E$152)+IF(B85=0,0,IF(MOD(COLUMN(B$85)-2,Costs!$F153)=0,Costs!$B153,0))*($A$92=Costs!$E$153)++IF(B85=0,0,IF(MOD(COLUMN(B$85)-2,Costs!$F154)=0,Costs!$B154,0))*($A$92=Costs!$E$154)+IF(MOD(COLUMN(B$85)-2,Costs!$F155)=0,Costs!$B155,0)*($A$92=Costs!$E$155)+IF(MOD(COLUMN(B$85)-2,Costs!$F156)=0,Costs!$B156,0)*($A$92=Costs!$E$156)+IF(MOD(COLUMN(B$85)-2,Costs!$F158)=0,Costs!$B158,0)*($A$92=Costs!$E$158)+IF(MOD(COLUMN(B$85)-2,Costs!$F160)=0,Costs!$B160,0)*($A$92=Costs!$E$160)</f>
        <v>0</v>
      </c>
      <c r="C92" s="30">
        <f>IF(MOD(COLUMN(C$85)-2,Costs!$F146)=0,Costs!$B146,0)*($A$92=Costs!$E$146)+IF(MOD(COLUMN(C$85)-2,Costs!$F147)=0,Costs!$B147,0)*($A$92=Costs!$E$147)+IF(MOD(COLUMN(C$85)-2,Costs!$F149)=0,Costs!$B149,0)*($A$92=Costs!$E$149)+IF(MOD(COLUMN(C$85)-2,Costs!$F150)=0,Costs!$B150,0)*($A$92=Costs!$E$150)+IF(C85=0,0,IF(MOD(COLUMN(C$85)-2,Costs!$F152)=0,Costs!$B152,0))*($A$92=Costs!$E$152)+IF(C85=0,0,IF(MOD(COLUMN(C$85)-2,Costs!$F153)=0,Costs!$B153,0))*($A$92=Costs!$E$153)++IF(C85=0,0,IF(MOD(COLUMN(C$85)-2,Costs!$F154)=0,Costs!$B154,0))*($A$92=Costs!$E$154)+IF(MOD(COLUMN(C$85)-2,Costs!$F155)=0,Costs!$B155,0)*($A$92=Costs!$E$155)+IF(MOD(COLUMN(C$85)-2,Costs!$F156)=0,Costs!$B156,0)*($A$92=Costs!$E$156)+IF(MOD(COLUMN(C$85)-2,Costs!$F158)=0,Costs!$B158,0)*($A$92=Costs!$E$158)+IF(MOD(COLUMN(C$85)-2,Costs!$F160)=0,Costs!$B160,0)*($A$92=Costs!$E$160)</f>
        <v>-13800</v>
      </c>
      <c r="D92" s="30">
        <f>IF(MOD(COLUMN(D$85)-2,Costs!$F146)=0,Costs!$B146,0)*($A$92=Costs!$E$146)+IF(MOD(COLUMN(D$85)-2,Costs!$F147)=0,Costs!$B147,0)*($A$92=Costs!$E$147)+IF(MOD(COLUMN(D$85)-2,Costs!$F149)=0,Costs!$B149,0)*($A$92=Costs!$E$149)+IF(MOD(COLUMN(D$85)-2,Costs!$F150)=0,Costs!$B150,0)*($A$92=Costs!$E$150)+IF(D85=0,0,IF(MOD(COLUMN(D$85)-2,Costs!$F152)=0,Costs!$B152,0))*($A$92=Costs!$E$152)+IF(D85=0,0,IF(MOD(COLUMN(D$85)-2,Costs!$F153)=0,Costs!$B153,0))*($A$92=Costs!$E$153)++IF(D85=0,0,IF(MOD(COLUMN(D$85)-2,Costs!$F154)=0,Costs!$B154,0))*($A$92=Costs!$E$154)+IF(MOD(COLUMN(D$85)-2,Costs!$F155)=0,Costs!$B155,0)*($A$92=Costs!$E$155)+IF(MOD(COLUMN(D$85)-2,Costs!$F156)=0,Costs!$B156,0)*($A$92=Costs!$E$156)+IF(MOD(COLUMN(D$85)-2,Costs!$F158)=0,Costs!$B158,0)*($A$92=Costs!$E$158)+IF(MOD(COLUMN(D$85)-2,Costs!$F160)=0,Costs!$B160,0)*($A$92=Costs!$E$160)</f>
        <v>-13800</v>
      </c>
      <c r="E92" s="30">
        <f>IF(MOD(COLUMN(E$85)-2,Costs!$F146)=0,Costs!$B146,0)*($A$92=Costs!$E$146)+IF(MOD(COLUMN(E$85)-2,Costs!$F147)=0,Costs!$B147,0)*($A$92=Costs!$E$147)+IF(MOD(COLUMN(E$85)-2,Costs!$F149)=0,Costs!$B149,0)*($A$92=Costs!$E$149)+IF(MOD(COLUMN(E$85)-2,Costs!$F150)=0,Costs!$B150,0)*($A$92=Costs!$E$150)+IF(E85=0,0,IF(MOD(COLUMN(E$85)-2,Costs!$F152)=0,Costs!$B152,0))*($A$92=Costs!$E$152)+IF(E85=0,0,IF(MOD(COLUMN(E$85)-2,Costs!$F153)=0,Costs!$B153,0))*($A$92=Costs!$E$153)++IF(E85=0,0,IF(MOD(COLUMN(E$85)-2,Costs!$F154)=0,Costs!$B154,0))*($A$92=Costs!$E$154)+IF(MOD(COLUMN(E$85)-2,Costs!$F155)=0,Costs!$B155,0)*($A$92=Costs!$E$155)+IF(MOD(COLUMN(E$85)-2,Costs!$F156)=0,Costs!$B156,0)*($A$92=Costs!$E$156)+IF(MOD(COLUMN(E$85)-2,Costs!$F158)=0,Costs!$B158,0)*($A$92=Costs!$E$158)+IF(MOD(COLUMN(E$85)-2,Costs!$F160)=0,Costs!$B160,0)*($A$92=Costs!$E$160)</f>
        <v>-13800</v>
      </c>
      <c r="F92" s="30">
        <f>IF(MOD(COLUMN(F$85)-2,Costs!$F146)=0,Costs!$B146,0)*($A$92=Costs!$E$146)+IF(MOD(COLUMN(F$85)-2,Costs!$F147)=0,Costs!$B147,0)*($A$92=Costs!$E$147)+IF(MOD(COLUMN(F$85)-2,Costs!$F149)=0,Costs!$B149,0)*($A$92=Costs!$E$149)+IF(MOD(COLUMN(F$85)-2,Costs!$F150)=0,Costs!$B150,0)*($A$92=Costs!$E$150)+IF(F85=0,0,IF(MOD(COLUMN(F$85)-2,Costs!$F152)=0,Costs!$B152,0))*($A$92=Costs!$E$152)+IF(F85=0,0,IF(MOD(COLUMN(F$85)-2,Costs!$F153)=0,Costs!$B153,0))*($A$92=Costs!$E$153)++IF(F85=0,0,IF(MOD(COLUMN(F$85)-2,Costs!$F154)=0,Costs!$B154,0))*($A$92=Costs!$E$154)+IF(MOD(COLUMN(F$85)-2,Costs!$F155)=0,Costs!$B155,0)*($A$92=Costs!$E$155)+IF(MOD(COLUMN(F$85)-2,Costs!$F156)=0,Costs!$B156,0)*($A$92=Costs!$E$156)+IF(MOD(COLUMN(F$85)-2,Costs!$F158)=0,Costs!$B158,0)*($A$92=Costs!$E$158)+IF(MOD(COLUMN(F$85)-2,Costs!$F160)=0,Costs!$B160,0)*($A$92=Costs!$E$160)</f>
        <v>-13800</v>
      </c>
      <c r="G92" s="30">
        <f>IF(MOD(COLUMN(G$85)-2,Costs!$F146)=0,Costs!$B146,0)*($A$92=Costs!$E$146)+IF(MOD(COLUMN(G$85)-2,Costs!$F147)=0,Costs!$B147,0)*($A$92=Costs!$E$147)+IF(MOD(COLUMN(G$85)-2,Costs!$F149)=0,Costs!$B149,0)*($A$92=Costs!$E$149)+IF(MOD(COLUMN(G$85)-2,Costs!$F150)=0,Costs!$B150,0)*($A$92=Costs!$E$150)+IF(G85=0,0,IF(MOD(COLUMN(G$85)-2,Costs!$F152)=0,Costs!$B152,0))*($A$92=Costs!$E$152)+IF(G85=0,0,IF(MOD(COLUMN(G$85)-2,Costs!$F153)=0,Costs!$B153,0))*($A$92=Costs!$E$153)++IF(G85=0,0,IF(MOD(COLUMN(G$85)-2,Costs!$F154)=0,Costs!$B154,0))*($A$92=Costs!$E$154)+IF(MOD(COLUMN(G$85)-2,Costs!$F155)=0,Costs!$B155,0)*($A$92=Costs!$E$155)+IF(MOD(COLUMN(G$85)-2,Costs!$F156)=0,Costs!$B156,0)*($A$92=Costs!$E$156)+IF(MOD(COLUMN(G$85)-2,Costs!$F158)=0,Costs!$B158,0)*($A$92=Costs!$E$158)+IF(MOD(COLUMN(G$85)-2,Costs!$F160)=0,Costs!$B160,0)*($A$92=Costs!$E$160)</f>
        <v>-13800</v>
      </c>
      <c r="H92" s="30">
        <f>IF(MOD(COLUMN(H$85)-2,Costs!$F146)=0,Costs!$B146,0)*($A$92=Costs!$E$146)+IF(MOD(COLUMN(H$85)-2,Costs!$F147)=0,Costs!$B147,0)*($A$92=Costs!$E$147)+IF(MOD(COLUMN(H$85)-2,Costs!$F149)=0,Costs!$B149,0)*($A$92=Costs!$E$149)+IF(MOD(COLUMN(H$85)-2,Costs!$F150)=0,Costs!$B150,0)*($A$92=Costs!$E$150)+IF(H85=0,0,IF(MOD(COLUMN(H$85)-2,Costs!$F152)=0,Costs!$B152,0))*($A$92=Costs!$E$152)+IF(H85=0,0,IF(MOD(COLUMN(H$85)-2,Costs!$F153)=0,Costs!$B153,0))*($A$92=Costs!$E$153)++IF(H85=0,0,IF(MOD(COLUMN(H$85)-2,Costs!$F154)=0,Costs!$B154,0))*($A$92=Costs!$E$154)+IF(MOD(COLUMN(H$85)-2,Costs!$F155)=0,Costs!$B155,0)*($A$92=Costs!$E$155)+IF(MOD(COLUMN(H$85)-2,Costs!$F156)=0,Costs!$B156,0)*($A$92=Costs!$E$156)+IF(MOD(COLUMN(H$85)-2,Costs!$F158)=0,Costs!$B158,0)*($A$92=Costs!$E$158)+IF(MOD(COLUMN(H$85)-2,Costs!$F160)=0,Costs!$B160,0)*($A$92=Costs!$E$160)</f>
        <v>-13800</v>
      </c>
      <c r="I92" s="30">
        <f>IF(MOD(COLUMN(I$85)-2,Costs!$F146)=0,Costs!$B146,0)*($A$92=Costs!$E$146)+IF(MOD(COLUMN(I$85)-2,Costs!$F147)=0,Costs!$B147,0)*($A$92=Costs!$E$147)+IF(MOD(COLUMN(I$85)-2,Costs!$F149)=0,Costs!$B149,0)*($A$92=Costs!$E$149)+IF(MOD(COLUMN(I$85)-2,Costs!$F150)=0,Costs!$B150,0)*($A$92=Costs!$E$150)+IF(I85=0,0,IF(MOD(COLUMN(I$85)-2,Costs!$F152)=0,Costs!$B152,0))*($A$92=Costs!$E$152)+IF(I85=0,0,IF(MOD(COLUMN(I$85)-2,Costs!$F153)=0,Costs!$B153,0))*($A$92=Costs!$E$153)++IF(I85=0,0,IF(MOD(COLUMN(I$85)-2,Costs!$F154)=0,Costs!$B154,0))*($A$92=Costs!$E$154)+IF(MOD(COLUMN(I$85)-2,Costs!$F155)=0,Costs!$B155,0)*($A$92=Costs!$E$155)+IF(MOD(COLUMN(I$85)-2,Costs!$F156)=0,Costs!$B156,0)*($A$92=Costs!$E$156)+IF(MOD(COLUMN(I$85)-2,Costs!$F158)=0,Costs!$B158,0)*($A$92=Costs!$E$158)+IF(MOD(COLUMN(I$85)-2,Costs!$F160)=0,Costs!$B160,0)*($A$92=Costs!$E$160)</f>
        <v>-13800</v>
      </c>
      <c r="J92" s="30">
        <f>IF(MOD(COLUMN(J$85)-2,Costs!$F146)=0,Costs!$B146,0)*($A$92=Costs!$E$146)+IF(MOD(COLUMN(J$85)-2,Costs!$F147)=0,Costs!$B147,0)*($A$92=Costs!$E$147)+IF(MOD(COLUMN(J$85)-2,Costs!$F149)=0,Costs!$B149,0)*($A$92=Costs!$E$149)+IF(MOD(COLUMN(J$85)-2,Costs!$F150)=0,Costs!$B150,0)*($A$92=Costs!$E$150)+IF(J85=0,0,IF(MOD(COLUMN(J$85)-2,Costs!$F152)=0,Costs!$B152,0))*($A$92=Costs!$E$152)+IF(J85=0,0,IF(MOD(COLUMN(J$85)-2,Costs!$F153)=0,Costs!$B153,0))*($A$92=Costs!$E$153)++IF(J85=0,0,IF(MOD(COLUMN(J$85)-2,Costs!$F154)=0,Costs!$B154,0))*($A$92=Costs!$E$154)+IF(MOD(COLUMN(J$85)-2,Costs!$F155)=0,Costs!$B155,0)*($A$92=Costs!$E$155)+IF(MOD(COLUMN(J$85)-2,Costs!$F156)=0,Costs!$B156,0)*($A$92=Costs!$E$156)+IF(MOD(COLUMN(J$85)-2,Costs!$F158)=0,Costs!$B158,0)*($A$92=Costs!$E$158)+IF(MOD(COLUMN(J$85)-2,Costs!$F160)=0,Costs!$B160,0)*($A$92=Costs!$E$160)</f>
        <v>55200</v>
      </c>
      <c r="K92" s="30">
        <f>IF(MOD(COLUMN(K$85)-2,Costs!$F146)=0,Costs!$B146,0)*($A$92=Costs!$E$146)+IF(MOD(COLUMN(K$85)-2,Costs!$F147)=0,Costs!$B147,0)*($A$92=Costs!$E$147)+IF(MOD(COLUMN(K$85)-2,Costs!$F149)=0,Costs!$B149,0)*($A$92=Costs!$E$149)+IF(MOD(COLUMN(K$85)-2,Costs!$F150)=0,Costs!$B150,0)*($A$92=Costs!$E$150)+IF(K85=0,0,IF(MOD(COLUMN(K$85)-2,Costs!$F152)=0,Costs!$B152,0))*($A$92=Costs!$E$152)+IF(K85=0,0,IF(MOD(COLUMN(K$85)-2,Costs!$F153)=0,Costs!$B153,0))*($A$92=Costs!$E$153)++IF(K85=0,0,IF(MOD(COLUMN(K$85)-2,Costs!$F154)=0,Costs!$B154,0))*($A$92=Costs!$E$154)+IF(MOD(COLUMN(K$85)-2,Costs!$F155)=0,Costs!$B155,0)*($A$92=Costs!$E$155)+IF(MOD(COLUMN(K$85)-2,Costs!$F156)=0,Costs!$B156,0)*($A$92=Costs!$E$156)+IF(MOD(COLUMN(K$85)-2,Costs!$F158)=0,Costs!$B158,0)*($A$92=Costs!$E$158)+IF(MOD(COLUMN(K$85)-2,Costs!$F160)=0,Costs!$B160,0)*($A$92=Costs!$E$160)</f>
        <v>-13800</v>
      </c>
      <c r="L92" s="30">
        <f>IF(MOD(COLUMN(L$85)-2,Costs!$F146)=0,Costs!$B146,0)*($A$92=Costs!$E$146)+IF(MOD(COLUMN(L$85)-2,Costs!$F147)=0,Costs!$B147,0)*($A$92=Costs!$E$147)+IF(MOD(COLUMN(L$85)-2,Costs!$F149)=0,Costs!$B149,0)*($A$92=Costs!$E$149)+IF(MOD(COLUMN(L$85)-2,Costs!$F150)=0,Costs!$B150,0)*($A$92=Costs!$E$150)+IF(L85=0,0,IF(MOD(COLUMN(L$85)-2,Costs!$F152)=0,Costs!$B152,0))*($A$92=Costs!$E$152)+IF(L85=0,0,IF(MOD(COLUMN(L$85)-2,Costs!$F153)=0,Costs!$B153,0))*($A$92=Costs!$E$153)++IF(L85=0,0,IF(MOD(COLUMN(L$85)-2,Costs!$F154)=0,Costs!$B154,0))*($A$92=Costs!$E$154)+IF(MOD(COLUMN(L$85)-2,Costs!$F155)=0,Costs!$B155,0)*($A$92=Costs!$E$155)+IF(MOD(COLUMN(L$85)-2,Costs!$F156)=0,Costs!$B156,0)*($A$92=Costs!$E$156)+IF(MOD(COLUMN(L$85)-2,Costs!$F158)=0,Costs!$B158,0)*($A$92=Costs!$E$158)+IF(MOD(COLUMN(L$85)-2,Costs!$F160)=0,Costs!$B160,0)*($A$92=Costs!$E$160)</f>
        <v>-13800</v>
      </c>
      <c r="M92" s="30">
        <f>IF(MOD(COLUMN(M$85)-2,Costs!$F146)=0,Costs!$B146,0)*($A$92=Costs!$E$146)+IF(MOD(COLUMN(M$85)-2,Costs!$F147)=0,Costs!$B147,0)*($A$92=Costs!$E$147)+IF(MOD(COLUMN(M$85)-2,Costs!$F149)=0,Costs!$B149,0)*($A$92=Costs!$E$149)+IF(MOD(COLUMN(M$85)-2,Costs!$F150)=0,Costs!$B150,0)*($A$92=Costs!$E$150)+IF(M85=0,0,IF(MOD(COLUMN(M$85)-2,Costs!$F152)=0,Costs!$B152,0))*($A$92=Costs!$E$152)+IF(M85=0,0,IF(MOD(COLUMN(M$85)-2,Costs!$F153)=0,Costs!$B153,0))*($A$92=Costs!$E$153)++IF(M85=0,0,IF(MOD(COLUMN(M$85)-2,Costs!$F154)=0,Costs!$B154,0))*($A$92=Costs!$E$154)+IF(MOD(COLUMN(M$85)-2,Costs!$F155)=0,Costs!$B155,0)*($A$92=Costs!$E$155)+IF(MOD(COLUMN(M$85)-2,Costs!$F156)=0,Costs!$B156,0)*($A$92=Costs!$E$156)+IF(MOD(COLUMN(M$85)-2,Costs!$F158)=0,Costs!$B158,0)*($A$92=Costs!$E$158)+IF(MOD(COLUMN(M$85)-2,Costs!$F160)=0,Costs!$B160,0)*($A$92=Costs!$E$160)</f>
        <v>-13800</v>
      </c>
      <c r="N92" s="30">
        <f>IF(MOD(COLUMN(N$85)-2,Costs!$F146)=0,Costs!$B146,0)*($A$92=Costs!$E$146)+IF(MOD(COLUMN(N$85)-2,Costs!$F147)=0,Costs!$B147,0)*($A$92=Costs!$E$147)+IF(MOD(COLUMN(N$85)-2,Costs!$F149)=0,Costs!$B149,0)*($A$92=Costs!$E$149)+IF(MOD(COLUMN(N$85)-2,Costs!$F150)=0,Costs!$B150,0)*($A$92=Costs!$E$150)+IF(N85=0,0,IF(MOD(COLUMN(N$85)-2,Costs!$F152)=0,Costs!$B152,0))*($A$92=Costs!$E$152)+IF(N85=0,0,IF(MOD(COLUMN(N$85)-2,Costs!$F153)=0,Costs!$B153,0))*($A$92=Costs!$E$153)++IF(N85=0,0,IF(MOD(COLUMN(N$85)-2,Costs!$F154)=0,Costs!$B154,0))*($A$92=Costs!$E$154)+IF(MOD(COLUMN(N$85)-2,Costs!$F155)=0,Costs!$B155,0)*($A$92=Costs!$E$155)+IF(MOD(COLUMN(N$85)-2,Costs!$F156)=0,Costs!$B156,0)*($A$92=Costs!$E$156)+IF(MOD(COLUMN(N$85)-2,Costs!$F158)=0,Costs!$B158,0)*($A$92=Costs!$E$158)+IF(MOD(COLUMN(N$85)-2,Costs!$F160)=0,Costs!$B160,0)*($A$92=Costs!$E$160)</f>
        <v>-13800</v>
      </c>
      <c r="O92" s="30">
        <f>IF(MOD(COLUMN(O$85)-2,Costs!$F146)=0,Costs!$B146,0)*($A$92=Costs!$E$146)+IF(MOD(COLUMN(O$85)-2,Costs!$F147)=0,Costs!$B147,0)*($A$92=Costs!$E$147)+IF(MOD(COLUMN(O$85)-2,Costs!$F149)=0,Costs!$B149,0)*($A$92=Costs!$E$149)+IF(MOD(COLUMN(O$85)-2,Costs!$F150)=0,Costs!$B150,0)*($A$92=Costs!$E$150)+IF(O85=0,0,IF(MOD(COLUMN(O$85)-2,Costs!$F152)=0,Costs!$B152,0))*($A$92=Costs!$E$152)+IF(O85=0,0,IF(MOD(COLUMN(O$85)-2,Costs!$F153)=0,Costs!$B153,0))*($A$92=Costs!$E$153)++IF(O85=0,0,IF(MOD(COLUMN(O$85)-2,Costs!$F154)=0,Costs!$B154,0))*($A$92=Costs!$E$154)+IF(MOD(COLUMN(O$85)-2,Costs!$F155)=0,Costs!$B155,0)*($A$92=Costs!$E$155)+IF(MOD(COLUMN(O$85)-2,Costs!$F156)=0,Costs!$B156,0)*($A$92=Costs!$E$156)+IF(MOD(COLUMN(O$85)-2,Costs!$F158)=0,Costs!$B158,0)*($A$92=Costs!$E$158)+IF(MOD(COLUMN(O$85)-2,Costs!$F160)=0,Costs!$B160,0)*($A$92=Costs!$E$160)</f>
        <v>-13800</v>
      </c>
      <c r="P92" s="30">
        <f>IF(MOD(COLUMN(P$85)-2,Costs!$F146)=0,Costs!$B146,0)*($A$92=Costs!$E$146)+IF(MOD(COLUMN(P$85)-2,Costs!$F147)=0,Costs!$B147,0)*($A$92=Costs!$E$147)+IF(MOD(COLUMN(P$85)-2,Costs!$F149)=0,Costs!$B149,0)*($A$92=Costs!$E$149)+IF(MOD(COLUMN(P$85)-2,Costs!$F150)=0,Costs!$B150,0)*($A$92=Costs!$E$150)+IF(P85=0,0,IF(MOD(COLUMN(P$85)-2,Costs!$F152)=0,Costs!$B152,0))*($A$92=Costs!$E$152)+IF(P85=0,0,IF(MOD(COLUMN(P$85)-2,Costs!$F153)=0,Costs!$B153,0))*($A$92=Costs!$E$153)++IF(P85=0,0,IF(MOD(COLUMN(P$85)-2,Costs!$F154)=0,Costs!$B154,0))*($A$92=Costs!$E$154)+IF(MOD(COLUMN(P$85)-2,Costs!$F155)=0,Costs!$B155,0)*($A$92=Costs!$E$155)+IF(MOD(COLUMN(P$85)-2,Costs!$F156)=0,Costs!$B156,0)*($A$92=Costs!$E$156)+IF(MOD(COLUMN(P$85)-2,Costs!$F158)=0,Costs!$B158,0)*($A$92=Costs!$E$158)+IF(MOD(COLUMN(P$85)-2,Costs!$F160)=0,Costs!$B160,0)*($A$92=Costs!$E$160)</f>
        <v>-13800</v>
      </c>
      <c r="Q92" s="30">
        <f>IF(MOD(COLUMN(Q$85)-2,Costs!$F146)=0,Costs!$B146,0)*($A$92=Costs!$E$146)+IF(MOD(COLUMN(Q$85)-2,Costs!$F147)=0,Costs!$B147,0)*($A$92=Costs!$E$147)+IF(MOD(COLUMN(Q$85)-2,Costs!$F149)=0,Costs!$B149,0)*($A$92=Costs!$E$149)+IF(MOD(COLUMN(Q$85)-2,Costs!$F150)=0,Costs!$B150,0)*($A$92=Costs!$E$150)+IF(Q85=0,0,IF(MOD(COLUMN(Q$85)-2,Costs!$F152)=0,Costs!$B152,0))*($A$92=Costs!$E$152)+IF(Q85=0,0,IF(MOD(COLUMN(Q$85)-2,Costs!$F153)=0,Costs!$B153,0))*($A$92=Costs!$E$153)++IF(Q85=0,0,IF(MOD(COLUMN(Q$85)-2,Costs!$F154)=0,Costs!$B154,0))*($A$92=Costs!$E$154)+IF(MOD(COLUMN(Q$85)-2,Costs!$F155)=0,Costs!$B155,0)*($A$92=Costs!$E$155)+IF(MOD(COLUMN(Q$85)-2,Costs!$F156)=0,Costs!$B156,0)*($A$92=Costs!$E$156)+IF(MOD(COLUMN(Q$85)-2,Costs!$F158)=0,Costs!$B158,0)*($A$92=Costs!$E$158)+IF(MOD(COLUMN(Q$85)-2,Costs!$F160)=0,Costs!$B160,0)*($A$92=Costs!$E$160)</f>
        <v>-13800</v>
      </c>
    </row>
    <row r="93" spans="1:19">
      <c r="A93" s="41" t="s">
        <v>102</v>
      </c>
      <c r="B93" s="30">
        <f>IF(MOD(COLUMN(B$85)-2,Costs!$F146)=0,Costs!$B146,0)*($A$93=Costs!$E$146)+IF(MOD(COLUMN(B$85)-2,Costs!$F147)=0,Costs!$B147,0)*($A$93=Costs!$E$147)+IF(MOD(COLUMN(B$85)-2,Costs!$F149)=0,Costs!$B149,0)*($A$93=Costs!$E$149)+IF(MOD(COLUMN(B$85)-2,Costs!$F150)=0,Costs!$B150,0)*($A$93=Costs!$E$150)+IF(B85=0,0,IF(MOD(COLUMN(B$85)-2,Costs!$F152)=0,Costs!$B152,0))*($A$93=Costs!$E$152)+IF(B85=0,0,IF(MOD(COLUMN(B$85)-2,Costs!$F153)=0,Costs!$B153,0))*($A$93=Costs!$E$153)+IF(B85=0,0,IF(MOD(COLUMN(B$85)-2,Costs!$F154)=0,Costs!$B154,0))*($A$93=Costs!$E$154)+IF(MOD(COLUMN(B$85)-2,Costs!$F155)=0,Costs!$B155,0)*($A$93=Costs!$E$155)+IF(MOD(COLUMN(B$85)-2,Costs!$F156)=0,Costs!$B156,0)*($A$93=Costs!$E$156)+IF(MOD(COLUMN(B$85)-2,Costs!$F158)=0,Costs!$B158,0)*($A$93=Costs!$E$158)+IF(MOD(COLUMN(B$85)-2,Costs!$F160)=0,Costs!$B160,0)*($A$93=Costs!$E$160)</f>
        <v>364965</v>
      </c>
      <c r="C93" s="30">
        <f>IF(MOD(COLUMN(C$85)-2,Costs!$F146)=0,Costs!$B146,0)*($A$93=Costs!$E$146)+IF(MOD(COLUMN(C$85)-2,Costs!$F147)=0,Costs!$B147,0)*($A$93=Costs!$E$147)+IF(MOD(COLUMN(C$85)-2,Costs!$F149)=0,Costs!$B149,0)*($A$93=Costs!$E$149)+IF(MOD(COLUMN(C$85)-2,Costs!$F150)=0,Costs!$B150,0)*($A$93=Costs!$E$150)+IF(C85=0,0,IF(MOD(COLUMN(C$85)-2,Costs!$F152)=0,Costs!$B152,0))*($A$93=Costs!$E$152)+IF(C85=0,0,IF(MOD(COLUMN(C$85)-2,Costs!$F153)=0,Costs!$B153,0))*($A$93=Costs!$E$153)+IF(C85=0,0,IF(MOD(COLUMN(C$85)-2,Costs!$F154)=0,Costs!$B154,0))*($A$93=Costs!$E$154)+IF(MOD(COLUMN(C$85)-2,Costs!$F155)=0,Costs!$B155,0)*($A$93=Costs!$E$155)+IF(MOD(COLUMN(C$85)-2,Costs!$F156)=0,Costs!$B156,0)*($A$93=Costs!$E$156)+IF(MOD(COLUMN(C$85)-2,Costs!$F158)=0,Costs!$B158,0)*($A$93=Costs!$E$158)+IF(MOD(COLUMN(C$85)-2,Costs!$F160)=0,Costs!$B160,0)*($A$93=Costs!$E$160)</f>
        <v>361765</v>
      </c>
      <c r="D93" s="30">
        <f>IF(MOD(COLUMN(D$85)-2,Costs!$F146)=0,Costs!$B146,0)*($A$93=Costs!$E$146)+IF(MOD(COLUMN(D$85)-2,Costs!$F147)=0,Costs!$B147,0)*($A$93=Costs!$E$147)+IF(MOD(COLUMN(D$85)-2,Costs!$F149)=0,Costs!$B149,0)*($A$93=Costs!$E$149)+IF(MOD(COLUMN(D$85)-2,Costs!$F150)=0,Costs!$B150,0)*($A$93=Costs!$E$150)+IF(D85=0,0,IF(MOD(COLUMN(D$85)-2,Costs!$F152)=0,Costs!$B152,0))*($A$93=Costs!$E$152)+IF(D85=0,0,IF(MOD(COLUMN(D$85)-2,Costs!$F153)=0,Costs!$B153,0))*($A$93=Costs!$E$153)+IF(D85=0,0,IF(MOD(COLUMN(D$85)-2,Costs!$F154)=0,Costs!$B154,0))*($A$93=Costs!$E$154)+IF(MOD(COLUMN(D$85)-2,Costs!$F155)=0,Costs!$B155,0)*($A$93=Costs!$E$155)+IF(MOD(COLUMN(D$85)-2,Costs!$F156)=0,Costs!$B156,0)*($A$93=Costs!$E$156)+IF(MOD(COLUMN(D$85)-2,Costs!$F158)=0,Costs!$B158,0)*($A$93=Costs!$E$158)+IF(MOD(COLUMN(D$85)-2,Costs!$F160)=0,Costs!$B160,0)*($A$93=Costs!$E$160)</f>
        <v>361765</v>
      </c>
      <c r="E93" s="30">
        <f>IF(MOD(COLUMN(E$85)-2,Costs!$F146)=0,Costs!$B146,0)*($A$93=Costs!$E$146)+IF(MOD(COLUMN(E$85)-2,Costs!$F147)=0,Costs!$B147,0)*($A$93=Costs!$E$147)+IF(MOD(COLUMN(E$85)-2,Costs!$F149)=0,Costs!$B149,0)*($A$93=Costs!$E$149)+IF(MOD(COLUMN(E$85)-2,Costs!$F150)=0,Costs!$B150,0)*($A$93=Costs!$E$150)+IF(E85=0,0,IF(MOD(COLUMN(E$85)-2,Costs!$F152)=0,Costs!$B152,0))*($A$93=Costs!$E$152)+IF(E85=0,0,IF(MOD(COLUMN(E$85)-2,Costs!$F153)=0,Costs!$B153,0))*($A$93=Costs!$E$153)+IF(E85=0,0,IF(MOD(COLUMN(E$85)-2,Costs!$F154)=0,Costs!$B154,0))*($A$93=Costs!$E$154)+IF(MOD(COLUMN(E$85)-2,Costs!$F155)=0,Costs!$B155,0)*($A$93=Costs!$E$155)+IF(MOD(COLUMN(E$85)-2,Costs!$F156)=0,Costs!$B156,0)*($A$93=Costs!$E$156)+IF(MOD(COLUMN(E$85)-2,Costs!$F158)=0,Costs!$B158,0)*($A$93=Costs!$E$158)+IF(MOD(COLUMN(E$85)-2,Costs!$F160)=0,Costs!$B160,0)*($A$93=Costs!$E$160)</f>
        <v>361765</v>
      </c>
      <c r="F93" s="30">
        <f>IF(MOD(COLUMN(F$85)-2,Costs!$F146)=0,Costs!$B146,0)*($A$93=Costs!$E$146)+IF(MOD(COLUMN(F$85)-2,Costs!$F147)=0,Costs!$B147,0)*($A$93=Costs!$E$147)+IF(MOD(COLUMN(F$85)-2,Costs!$F149)=0,Costs!$B149,0)*($A$93=Costs!$E$149)+IF(MOD(COLUMN(F$85)-2,Costs!$F150)=0,Costs!$B150,0)*($A$93=Costs!$E$150)+IF(F85=0,0,IF(MOD(COLUMN(F$85)-2,Costs!$F152)=0,Costs!$B152,0))*($A$93=Costs!$E$152)+IF(F85=0,0,IF(MOD(COLUMN(F$85)-2,Costs!$F153)=0,Costs!$B153,0))*($A$93=Costs!$E$153)+IF(F85=0,0,IF(MOD(COLUMN(F$85)-2,Costs!$F154)=0,Costs!$B154,0))*($A$93=Costs!$E$154)+IF(MOD(COLUMN(F$85)-2,Costs!$F155)=0,Costs!$B155,0)*($A$93=Costs!$E$155)+IF(MOD(COLUMN(F$85)-2,Costs!$F156)=0,Costs!$B156,0)*($A$93=Costs!$E$156)+IF(MOD(COLUMN(F$85)-2,Costs!$F158)=0,Costs!$B158,0)*($A$93=Costs!$E$158)+IF(MOD(COLUMN(F$85)-2,Costs!$F160)=0,Costs!$B160,0)*($A$93=Costs!$E$160)</f>
        <v>361765</v>
      </c>
      <c r="G93" s="30">
        <f>IF(MOD(COLUMN(G$85)-2,Costs!$F146)=0,Costs!$B146,0)*($A$93=Costs!$E$146)+IF(MOD(COLUMN(G$85)-2,Costs!$F147)=0,Costs!$B147,0)*($A$93=Costs!$E$147)+IF(MOD(COLUMN(G$85)-2,Costs!$F149)=0,Costs!$B149,0)*($A$93=Costs!$E$149)+IF(MOD(COLUMN(G$85)-2,Costs!$F150)=0,Costs!$B150,0)*($A$93=Costs!$E$150)+IF(G85=0,0,IF(MOD(COLUMN(G$85)-2,Costs!$F152)=0,Costs!$B152,0))*($A$93=Costs!$E$152)+IF(G85=0,0,IF(MOD(COLUMN(G$85)-2,Costs!$F153)=0,Costs!$B153,0))*($A$93=Costs!$E$153)+IF(G85=0,0,IF(MOD(COLUMN(G$85)-2,Costs!$F154)=0,Costs!$B154,0))*($A$93=Costs!$E$154)+IF(MOD(COLUMN(G$85)-2,Costs!$F155)=0,Costs!$B155,0)*($A$93=Costs!$E$155)+IF(MOD(COLUMN(G$85)-2,Costs!$F156)=0,Costs!$B156,0)*($A$93=Costs!$E$156)+IF(MOD(COLUMN(G$85)-2,Costs!$F158)=0,Costs!$B158,0)*($A$93=Costs!$E$158)+IF(MOD(COLUMN(G$85)-2,Costs!$F160)=0,Costs!$B160,0)*($A$93=Costs!$E$160)</f>
        <v>378765</v>
      </c>
      <c r="H93" s="30">
        <f>IF(MOD(COLUMN(H$85)-2,Costs!$F146)=0,Costs!$B146,0)*($A$93=Costs!$E$146)+IF(MOD(COLUMN(H$85)-2,Costs!$F147)=0,Costs!$B147,0)*($A$93=Costs!$E$147)+IF(MOD(COLUMN(H$85)-2,Costs!$F149)=0,Costs!$B149,0)*($A$93=Costs!$E$149)+IF(MOD(COLUMN(H$85)-2,Costs!$F150)=0,Costs!$B150,0)*($A$93=Costs!$E$150)+IF(H85=0,0,IF(MOD(COLUMN(H$85)-2,Costs!$F152)=0,Costs!$B152,0))*($A$93=Costs!$E$152)+IF(H85=0,0,IF(MOD(COLUMN(H$85)-2,Costs!$F153)=0,Costs!$B153,0))*($A$93=Costs!$E$153)+IF(H85=0,0,IF(MOD(COLUMN(H$85)-2,Costs!$F154)=0,Costs!$B154,0))*($A$93=Costs!$E$154)+IF(MOD(COLUMN(H$85)-2,Costs!$F155)=0,Costs!$B155,0)*($A$93=Costs!$E$155)+IF(MOD(COLUMN(H$85)-2,Costs!$F156)=0,Costs!$B156,0)*($A$93=Costs!$E$156)+IF(MOD(COLUMN(H$85)-2,Costs!$F158)=0,Costs!$B158,0)*($A$93=Costs!$E$158)+IF(MOD(COLUMN(H$85)-2,Costs!$F160)=0,Costs!$B160,0)*($A$93=Costs!$E$160)</f>
        <v>361765</v>
      </c>
      <c r="I93" s="30">
        <f>IF(MOD(COLUMN(I$85)-2,Costs!$F146)=0,Costs!$B146,0)*($A$93=Costs!$E$146)+IF(MOD(COLUMN(I$85)-2,Costs!$F147)=0,Costs!$B147,0)*($A$93=Costs!$E$147)+IF(MOD(COLUMN(I$85)-2,Costs!$F149)=0,Costs!$B149,0)*($A$93=Costs!$E$149)+IF(MOD(COLUMN(I$85)-2,Costs!$F150)=0,Costs!$B150,0)*($A$93=Costs!$E$150)+IF(I85=0,0,IF(MOD(COLUMN(I$85)-2,Costs!$F152)=0,Costs!$B152,0))*($A$93=Costs!$E$152)+IF(I85=0,0,IF(MOD(COLUMN(I$85)-2,Costs!$F153)=0,Costs!$B153,0))*($A$93=Costs!$E$153)+IF(I85=0,0,IF(MOD(COLUMN(I$85)-2,Costs!$F154)=0,Costs!$B154,0))*($A$93=Costs!$E$154)+IF(MOD(COLUMN(I$85)-2,Costs!$F155)=0,Costs!$B155,0)*($A$93=Costs!$E$155)+IF(MOD(COLUMN(I$85)-2,Costs!$F156)=0,Costs!$B156,0)*($A$93=Costs!$E$156)+IF(MOD(COLUMN(I$85)-2,Costs!$F158)=0,Costs!$B158,0)*($A$93=Costs!$E$158)+IF(MOD(COLUMN(I$85)-2,Costs!$F160)=0,Costs!$B160,0)*($A$93=Costs!$E$160)</f>
        <v>361765</v>
      </c>
      <c r="J93" s="30">
        <f>IF(MOD(COLUMN(J$85)-2,Costs!$F146)=0,Costs!$B146,0)*($A$93=Costs!$E$146)+IF(MOD(COLUMN(J$85)-2,Costs!$F147)=0,Costs!$B147,0)*($A$93=Costs!$E$147)+IF(MOD(COLUMN(J$85)-2,Costs!$F149)=0,Costs!$B149,0)*($A$93=Costs!$E$149)+IF(MOD(COLUMN(J$85)-2,Costs!$F150)=0,Costs!$B150,0)*($A$93=Costs!$E$150)+IF(J85=0,0,IF(MOD(COLUMN(J$85)-2,Costs!$F152)=0,Costs!$B152,0))*($A$93=Costs!$E$152)+IF(J85=0,0,IF(MOD(COLUMN(J$85)-2,Costs!$F153)=0,Costs!$B153,0))*($A$93=Costs!$E$153)+IF(J85=0,0,IF(MOD(COLUMN(J$85)-2,Costs!$F154)=0,Costs!$B154,0))*($A$93=Costs!$E$154)+IF(MOD(COLUMN(J$85)-2,Costs!$F155)=0,Costs!$B155,0)*($A$93=Costs!$E$155)+IF(MOD(COLUMN(J$85)-2,Costs!$F156)=0,Costs!$B156,0)*($A$93=Costs!$E$156)+IF(MOD(COLUMN(J$85)-2,Costs!$F158)=0,Costs!$B158,0)*($A$93=Costs!$E$158)+IF(MOD(COLUMN(J$85)-2,Costs!$F160)=0,Costs!$B160,0)*($A$93=Costs!$E$160)</f>
        <v>361765</v>
      </c>
      <c r="K93" s="30">
        <f>IF(MOD(COLUMN(K$85)-2,Costs!$F146)=0,Costs!$B146,0)*($A$93=Costs!$E$146)+IF(MOD(COLUMN(K$85)-2,Costs!$F147)=0,Costs!$B147,0)*($A$93=Costs!$E$147)+IF(MOD(COLUMN(K$85)-2,Costs!$F149)=0,Costs!$B149,0)*($A$93=Costs!$E$149)+IF(MOD(COLUMN(K$85)-2,Costs!$F150)=0,Costs!$B150,0)*($A$93=Costs!$E$150)+IF(K85=0,0,IF(MOD(COLUMN(K$85)-2,Costs!$F152)=0,Costs!$B152,0))*($A$93=Costs!$E$152)+IF(K85=0,0,IF(MOD(COLUMN(K$85)-2,Costs!$F153)=0,Costs!$B153,0))*($A$93=Costs!$E$153)+IF(K85=0,0,IF(MOD(COLUMN(K$85)-2,Costs!$F154)=0,Costs!$B154,0))*($A$93=Costs!$E$154)+IF(MOD(COLUMN(K$85)-2,Costs!$F155)=0,Costs!$B155,0)*($A$93=Costs!$E$155)+IF(MOD(COLUMN(K$85)-2,Costs!$F156)=0,Costs!$B156,0)*($A$93=Costs!$E$156)+IF(MOD(COLUMN(K$85)-2,Costs!$F158)=0,Costs!$B158,0)*($A$93=Costs!$E$158)+IF(MOD(COLUMN(K$85)-2,Costs!$F160)=0,Costs!$B160,0)*($A$93=Costs!$E$160)</f>
        <v>361765</v>
      </c>
      <c r="L93" s="30">
        <f>IF(MOD(COLUMN(L$85)-2,Costs!$F146)=0,Costs!$B146,0)*($A$93=Costs!$E$146)+IF(MOD(COLUMN(L$85)-2,Costs!$F147)=0,Costs!$B147,0)*($A$93=Costs!$E$147)+IF(MOD(COLUMN(L$85)-2,Costs!$F149)=0,Costs!$B149,0)*($A$93=Costs!$E$149)+IF(MOD(COLUMN(L$85)-2,Costs!$F150)=0,Costs!$B150,0)*($A$93=Costs!$E$150)+IF(L85=0,0,IF(MOD(COLUMN(L$85)-2,Costs!$F152)=0,Costs!$B152,0))*($A$93=Costs!$E$152)+IF(L85=0,0,IF(MOD(COLUMN(L$85)-2,Costs!$F153)=0,Costs!$B153,0))*($A$93=Costs!$E$153)+IF(L85=0,0,IF(MOD(COLUMN(L$85)-2,Costs!$F154)=0,Costs!$B154,0))*($A$93=Costs!$E$154)+IF(MOD(COLUMN(L$85)-2,Costs!$F155)=0,Costs!$B155,0)*($A$93=Costs!$E$155)+IF(MOD(COLUMN(L$85)-2,Costs!$F156)=0,Costs!$B156,0)*($A$93=Costs!$E$156)+IF(MOD(COLUMN(L$85)-2,Costs!$F158)=0,Costs!$B158,0)*($A$93=Costs!$E$158)+IF(MOD(COLUMN(L$85)-2,Costs!$F160)=0,Costs!$B160,0)*($A$93=Costs!$E$160)</f>
        <v>378765</v>
      </c>
      <c r="M93" s="30">
        <f>IF(MOD(COLUMN(M$85)-2,Costs!$F146)=0,Costs!$B146,0)*($A$93=Costs!$E$146)+IF(MOD(COLUMN(M$85)-2,Costs!$F147)=0,Costs!$B147,0)*($A$93=Costs!$E$147)+IF(MOD(COLUMN(M$85)-2,Costs!$F149)=0,Costs!$B149,0)*($A$93=Costs!$E$149)+IF(MOD(COLUMN(M$85)-2,Costs!$F150)=0,Costs!$B150,0)*($A$93=Costs!$E$150)+IF(M85=0,0,IF(MOD(COLUMN(M$85)-2,Costs!$F152)=0,Costs!$B152,0))*($A$93=Costs!$E$152)+IF(M85=0,0,IF(MOD(COLUMN(M$85)-2,Costs!$F153)=0,Costs!$B153,0))*($A$93=Costs!$E$153)+IF(M85=0,0,IF(MOD(COLUMN(M$85)-2,Costs!$F154)=0,Costs!$B154,0))*($A$93=Costs!$E$154)+IF(MOD(COLUMN(M$85)-2,Costs!$F155)=0,Costs!$B155,0)*($A$93=Costs!$E$155)+IF(MOD(COLUMN(M$85)-2,Costs!$F156)=0,Costs!$B156,0)*($A$93=Costs!$E$156)+IF(MOD(COLUMN(M$85)-2,Costs!$F158)=0,Costs!$B158,0)*($A$93=Costs!$E$158)+IF(MOD(COLUMN(M$85)-2,Costs!$F160)=0,Costs!$B160,0)*($A$93=Costs!$E$160)</f>
        <v>361765</v>
      </c>
      <c r="N93" s="30">
        <f>IF(MOD(COLUMN(N$85)-2,Costs!$F146)=0,Costs!$B146,0)*($A$93=Costs!$E$146)+IF(MOD(COLUMN(N$85)-2,Costs!$F147)=0,Costs!$B147,0)*($A$93=Costs!$E$147)+IF(MOD(COLUMN(N$85)-2,Costs!$F149)=0,Costs!$B149,0)*($A$93=Costs!$E$149)+IF(MOD(COLUMN(N$85)-2,Costs!$F150)=0,Costs!$B150,0)*($A$93=Costs!$E$150)+IF(N85=0,0,IF(MOD(COLUMN(N$85)-2,Costs!$F152)=0,Costs!$B152,0))*($A$93=Costs!$E$152)+IF(N85=0,0,IF(MOD(COLUMN(N$85)-2,Costs!$F153)=0,Costs!$B153,0))*($A$93=Costs!$E$153)+IF(N85=0,0,IF(MOD(COLUMN(N$85)-2,Costs!$F154)=0,Costs!$B154,0))*($A$93=Costs!$E$154)+IF(MOD(COLUMN(N$85)-2,Costs!$F155)=0,Costs!$B155,0)*($A$93=Costs!$E$155)+IF(MOD(COLUMN(N$85)-2,Costs!$F156)=0,Costs!$B156,0)*($A$93=Costs!$E$156)+IF(MOD(COLUMN(N$85)-2,Costs!$F158)=0,Costs!$B158,0)*($A$93=Costs!$E$158)+IF(MOD(COLUMN(N$85)-2,Costs!$F160)=0,Costs!$B160,0)*($A$93=Costs!$E$160)</f>
        <v>361765</v>
      </c>
      <c r="O93" s="30">
        <f>IF(MOD(COLUMN(O$85)-2,Costs!$F146)=0,Costs!$B146,0)*($A$93=Costs!$E$146)+IF(MOD(COLUMN(O$85)-2,Costs!$F147)=0,Costs!$B147,0)*($A$93=Costs!$E$147)+IF(MOD(COLUMN(O$85)-2,Costs!$F149)=0,Costs!$B149,0)*($A$93=Costs!$E$149)+IF(MOD(COLUMN(O$85)-2,Costs!$F150)=0,Costs!$B150,0)*($A$93=Costs!$E$150)+IF(O85=0,0,IF(MOD(COLUMN(O$85)-2,Costs!$F152)=0,Costs!$B152,0))*($A$93=Costs!$E$152)+IF(O85=0,0,IF(MOD(COLUMN(O$85)-2,Costs!$F153)=0,Costs!$B153,0))*($A$93=Costs!$E$153)+IF(O85=0,0,IF(MOD(COLUMN(O$85)-2,Costs!$F154)=0,Costs!$B154,0))*($A$93=Costs!$E$154)+IF(MOD(COLUMN(O$85)-2,Costs!$F155)=0,Costs!$B155,0)*($A$93=Costs!$E$155)+IF(MOD(COLUMN(O$85)-2,Costs!$F156)=0,Costs!$B156,0)*($A$93=Costs!$E$156)+IF(MOD(COLUMN(O$85)-2,Costs!$F158)=0,Costs!$B158,0)*($A$93=Costs!$E$158)+IF(MOD(COLUMN(O$85)-2,Costs!$F160)=0,Costs!$B160,0)*($A$93=Costs!$E$160)</f>
        <v>361765</v>
      </c>
      <c r="P93" s="30">
        <f>IF(MOD(COLUMN(P$85)-2,Costs!$F146)=0,Costs!$B146,0)*($A$93=Costs!$E$146)+IF(MOD(COLUMN(P$85)-2,Costs!$F147)=0,Costs!$B147,0)*($A$93=Costs!$E$147)+IF(MOD(COLUMN(P$85)-2,Costs!$F149)=0,Costs!$B149,0)*($A$93=Costs!$E$149)+IF(MOD(COLUMN(P$85)-2,Costs!$F150)=0,Costs!$B150,0)*($A$93=Costs!$E$150)+IF(P85=0,0,IF(MOD(COLUMN(P$85)-2,Costs!$F152)=0,Costs!$B152,0))*($A$93=Costs!$E$152)+IF(P85=0,0,IF(MOD(COLUMN(P$85)-2,Costs!$F153)=0,Costs!$B153,0))*($A$93=Costs!$E$153)+IF(P85=0,0,IF(MOD(COLUMN(P$85)-2,Costs!$F154)=0,Costs!$B154,0))*($A$93=Costs!$E$154)+IF(MOD(COLUMN(P$85)-2,Costs!$F155)=0,Costs!$B155,0)*($A$93=Costs!$E$155)+IF(MOD(COLUMN(P$85)-2,Costs!$F156)=0,Costs!$B156,0)*($A$93=Costs!$E$156)+IF(MOD(COLUMN(P$85)-2,Costs!$F158)=0,Costs!$B158,0)*($A$93=Costs!$E$158)+IF(MOD(COLUMN(P$85)-2,Costs!$F160)=0,Costs!$B160,0)*($A$93=Costs!$E$160)</f>
        <v>361765</v>
      </c>
      <c r="Q93" s="30">
        <f>IF(MOD(COLUMN(Q$85)-2,Costs!$F146)=0,Costs!$B146,0)*($A$93=Costs!$E$146)+IF(MOD(COLUMN(Q$85)-2,Costs!$F147)=0,Costs!$B147,0)*($A$93=Costs!$E$147)+IF(MOD(COLUMN(Q$85)-2,Costs!$F149)=0,Costs!$B149,0)*($A$93=Costs!$E$149)+IF(MOD(COLUMN(Q$85)-2,Costs!$F150)=0,Costs!$B150,0)*($A$93=Costs!$E$150)+IF(Q85=0,0,IF(MOD(COLUMN(Q$85)-2,Costs!$F152)=0,Costs!$B152,0))*($A$93=Costs!$E$152)+IF(Q85=0,0,IF(MOD(COLUMN(Q$85)-2,Costs!$F153)=0,Costs!$B153,0))*($A$93=Costs!$E$153)+IF(Q85=0,0,IF(MOD(COLUMN(Q$85)-2,Costs!$F154)=0,Costs!$B154,0))*($A$93=Costs!$E$154)+IF(MOD(COLUMN(Q$85)-2,Costs!$F155)=0,Costs!$B155,0)*($A$93=Costs!$E$155)+IF(MOD(COLUMN(Q$85)-2,Costs!$F156)=0,Costs!$B156,0)*($A$93=Costs!$E$156)+IF(MOD(COLUMN(Q$85)-2,Costs!$F158)=0,Costs!$B158,0)*($A$93=Costs!$E$158)+IF(MOD(COLUMN(Q$85)-2,Costs!$F160)=0,Costs!$B160,0)*($A$93=Costs!$E$160)</f>
        <v>378765</v>
      </c>
    </row>
    <row r="94" spans="1:19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9" s="65" customFormat="1">
      <c r="A95" s="64" t="s">
        <v>104</v>
      </c>
    </row>
    <row r="96" spans="1:19">
      <c r="A96" s="1" t="s">
        <v>99</v>
      </c>
      <c r="B96" s="1">
        <f t="shared" ref="B96:Q96" si="16">B85</f>
        <v>0</v>
      </c>
      <c r="C96" s="1">
        <f t="shared" si="16"/>
        <v>1</v>
      </c>
      <c r="D96" s="1">
        <f t="shared" si="16"/>
        <v>2</v>
      </c>
      <c r="E96" s="1">
        <f t="shared" si="16"/>
        <v>3</v>
      </c>
      <c r="F96" s="1">
        <f t="shared" si="16"/>
        <v>4</v>
      </c>
      <c r="G96" s="1">
        <f t="shared" si="16"/>
        <v>5</v>
      </c>
      <c r="H96" s="1">
        <f t="shared" si="16"/>
        <v>6</v>
      </c>
      <c r="I96" s="1">
        <f t="shared" si="16"/>
        <v>7</v>
      </c>
      <c r="J96" s="1">
        <f t="shared" si="16"/>
        <v>8</v>
      </c>
      <c r="K96" s="1">
        <f t="shared" si="16"/>
        <v>9</v>
      </c>
      <c r="L96" s="1">
        <f t="shared" si="16"/>
        <v>10</v>
      </c>
      <c r="M96" s="1">
        <f t="shared" si="16"/>
        <v>11</v>
      </c>
      <c r="N96" s="1">
        <f t="shared" si="16"/>
        <v>12</v>
      </c>
      <c r="O96" s="1">
        <f t="shared" si="16"/>
        <v>13</v>
      </c>
      <c r="P96" s="1">
        <f t="shared" si="16"/>
        <v>14</v>
      </c>
      <c r="Q96" s="1">
        <f t="shared" si="16"/>
        <v>15</v>
      </c>
    </row>
    <row r="97" spans="1:19">
      <c r="A97" s="1" t="s">
        <v>105</v>
      </c>
      <c r="B97" s="34">
        <f>IF($B$54="Yes",1/(1+'General assumptions'!$D$40)^B96,1)</f>
        <v>1</v>
      </c>
      <c r="C97" s="34">
        <f>IF($B$54="Yes",1/(1+'General assumptions'!$D$40)^C96,1)</f>
        <v>1</v>
      </c>
      <c r="D97" s="34">
        <f>IF($B$54="Yes",1/(1+'General assumptions'!$D$40)^D96,1)</f>
        <v>1</v>
      </c>
      <c r="E97" s="34">
        <f>IF($B$54="Yes",1/(1+'General assumptions'!$D$40)^E96,1)</f>
        <v>1</v>
      </c>
      <c r="F97" s="34">
        <f>IF($B$54="Yes",1/(1+'General assumptions'!$D$40)^F96,1)</f>
        <v>1</v>
      </c>
      <c r="G97" s="34">
        <f>IF($B$54="Yes",1/(1+'General assumptions'!$D$40)^G96,1)</f>
        <v>1</v>
      </c>
      <c r="H97" s="34">
        <f>IF($B$54="Yes",1/(1+'General assumptions'!$D$40)^H96,1)</f>
        <v>1</v>
      </c>
      <c r="I97" s="34">
        <f>IF($B$54="Yes",1/(1+'General assumptions'!$D$40)^I96,1)</f>
        <v>1</v>
      </c>
      <c r="J97" s="34">
        <f>IF($B$54="Yes",1/(1+'General assumptions'!$D$40)^J96,1)</f>
        <v>1</v>
      </c>
      <c r="K97" s="34">
        <f>IF($B$54="Yes",1/(1+'General assumptions'!$D$40)^K96,1)</f>
        <v>1</v>
      </c>
      <c r="L97" s="34">
        <f>IF($B$54="Yes",1/(1+'General assumptions'!$D$40)^L96,1)</f>
        <v>1</v>
      </c>
      <c r="M97" s="34">
        <f>IF($B$54="Yes",1/(1+'General assumptions'!$D$40)^M96,1)</f>
        <v>1</v>
      </c>
      <c r="N97" s="34">
        <f>IF($B$54="Yes",1/(1+'General assumptions'!$D$40)^N96,1)</f>
        <v>1</v>
      </c>
      <c r="O97" s="34">
        <f>IF($B$54="Yes",1/(1+'General assumptions'!$D$40)^O96,1)</f>
        <v>1</v>
      </c>
      <c r="P97" s="34">
        <f>IF($B$54="Yes",1/(1+'General assumptions'!$D$40)^P96,1)</f>
        <v>1</v>
      </c>
      <c r="Q97" s="34">
        <f>IF($B$54="Yes",1/(1+'General assumptions'!$D$40)^Q96,1)</f>
        <v>1</v>
      </c>
    </row>
    <row r="98" spans="1:19" s="147" customFormat="1">
      <c r="A98" s="147" t="s">
        <v>106</v>
      </c>
      <c r="B98" s="148">
        <f>-B88*B97*IF(B$96&lt;=$B$55,1,0)</f>
        <v>-281240</v>
      </c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</row>
    <row r="99" spans="1:19" s="147" customFormat="1">
      <c r="A99" s="147" t="s">
        <v>107</v>
      </c>
      <c r="B99" s="148">
        <f>-B89*B97*IF(B$96&lt;=$B$55,1,0)</f>
        <v>-367020.22727272729</v>
      </c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</row>
    <row r="100" spans="1:19" s="147" customFormat="1">
      <c r="A100" s="147" t="s">
        <v>108</v>
      </c>
      <c r="B100" s="148">
        <f>-B92*B97*IF(B$96&lt;=$B$55,1,0)</f>
        <v>0</v>
      </c>
      <c r="C100" s="148">
        <f>-C92*C97*IF(C$96&lt;=$B$55,1,0)</f>
        <v>13800</v>
      </c>
      <c r="D100" s="148">
        <f>-D92*D97*IF(D$96&lt;=$B$55,1,0)</f>
        <v>13800</v>
      </c>
      <c r="E100" s="148">
        <f>-E92*E97*IF(E$96&lt;=$B$55,1,0)</f>
        <v>13800</v>
      </c>
      <c r="F100" s="148">
        <f>-F92*F97*IF(F$96&lt;=$B$55,1,0)</f>
        <v>13800</v>
      </c>
      <c r="G100" s="148">
        <f>-G92*G97*IF(G$96&lt;=$B$55,1,0)</f>
        <v>13800</v>
      </c>
      <c r="H100" s="148">
        <f>-H92*H97*IF(H$96&lt;=$B$55,1,0)</f>
        <v>13800</v>
      </c>
      <c r="I100" s="148">
        <f>-I92*I97*IF(I$96&lt;=$B$55,1,0)</f>
        <v>13800</v>
      </c>
      <c r="J100" s="148">
        <f>-J92*J97*IF(J$96&lt;=$B$55,1,0)</f>
        <v>-55200</v>
      </c>
      <c r="K100" s="148">
        <f>-K92*K97*IF(K$96&lt;=$B$55,1,0)</f>
        <v>13800</v>
      </c>
      <c r="L100" s="148">
        <f>-L92*L97*IF(L$96&lt;=$B$55,1,0)</f>
        <v>13800</v>
      </c>
      <c r="M100" s="148">
        <f>-M92*M97*IF(M$96&lt;=$B$55,1,0)</f>
        <v>0</v>
      </c>
      <c r="N100" s="148">
        <f>-N92*N97*IF(N$96&lt;=$B$55,1,0)</f>
        <v>0</v>
      </c>
      <c r="O100" s="148">
        <f>-O92*O97*IF(O$96&lt;=$B$55,1,0)</f>
        <v>0</v>
      </c>
      <c r="P100" s="148">
        <f>-P92*P97*IF(P$96&lt;=$B$55,1,0)</f>
        <v>0</v>
      </c>
      <c r="Q100" s="148">
        <f>-Q92*Q97*IF(Q$96&lt;=$B$55,1,0)</f>
        <v>0</v>
      </c>
    </row>
    <row r="101" spans="1:19" s="147" customFormat="1">
      <c r="A101" s="147" t="s">
        <v>109</v>
      </c>
      <c r="B101" s="148">
        <f>-B93*B97*IF(B$96&lt;=$B$55,1,0)</f>
        <v>-364965</v>
      </c>
      <c r="C101" s="148">
        <f>-C93*C97*IF(C$96&lt;=$B$55,1,0)</f>
        <v>-361765</v>
      </c>
      <c r="D101" s="148">
        <f>-D93*D97*IF(D$96&lt;=$B$55,1,0)</f>
        <v>-361765</v>
      </c>
      <c r="E101" s="148">
        <f>-E93*E97*IF(E$96&lt;=$B$55,1,0)</f>
        <v>-361765</v>
      </c>
      <c r="F101" s="148">
        <f>-F93*F97*IF(F$96&lt;=$B$55,1,0)</f>
        <v>-361765</v>
      </c>
      <c r="G101" s="148">
        <f>-G93*G97*IF(G$96&lt;=$B$55,1,0)</f>
        <v>-378765</v>
      </c>
      <c r="H101" s="148">
        <f>-H93*H97*IF(H$96&lt;=$B$55,1,0)</f>
        <v>-361765</v>
      </c>
      <c r="I101" s="148">
        <f>-I93*I97*IF(I$96&lt;=$B$55,1,0)</f>
        <v>-361765</v>
      </c>
      <c r="J101" s="148">
        <f>-J93*J97*IF(J$96&lt;=$B$55,1,0)</f>
        <v>-361765</v>
      </c>
      <c r="K101" s="148">
        <f>-K93*K97*IF(K$96&lt;=$B$55,1,0)</f>
        <v>-361765</v>
      </c>
      <c r="L101" s="148">
        <f>-L93*L97*IF(L$96&lt;=$B$55,1,0)</f>
        <v>-378765</v>
      </c>
      <c r="M101" s="148">
        <f>-M93*M97*IF(M$96&lt;=$B$55,1,0)</f>
        <v>0</v>
      </c>
      <c r="N101" s="148">
        <f>-N93*N97*IF(N$96&lt;=$B$55,1,0)</f>
        <v>0</v>
      </c>
      <c r="O101" s="148">
        <f>-O93*O97*IF(O$96&lt;=$B$55,1,0)</f>
        <v>0</v>
      </c>
      <c r="P101" s="148">
        <f>-P93*P97*IF(P$96&lt;=$B$55,1,0)</f>
        <v>0</v>
      </c>
      <c r="Q101" s="148">
        <f>-Q93*Q97*IF(Q$96&lt;=$B$55,1,0)</f>
        <v>0</v>
      </c>
    </row>
    <row r="102" spans="1:19" s="147" customFormat="1">
      <c r="A102" s="147" t="s">
        <v>110</v>
      </c>
      <c r="B102" s="148">
        <f>$B$78*B97*IF(B$96&lt;=$B$55,1,0)</f>
        <v>68993.209603837808</v>
      </c>
      <c r="C102" s="148">
        <f>$B$78*C97*IF(C$96&lt;=$B$55,1,0)</f>
        <v>68993.209603837808</v>
      </c>
      <c r="D102" s="148">
        <f>$B$78*D97*IF(D$96&lt;=$B$55,1,0)</f>
        <v>68993.209603837808</v>
      </c>
      <c r="E102" s="148">
        <f>$B$78*E97*IF(E$96&lt;=$B$55,1,0)</f>
        <v>68993.209603837808</v>
      </c>
      <c r="F102" s="148">
        <f>$B$78*F97*IF(F$96&lt;=$B$55,1,0)</f>
        <v>68993.209603837808</v>
      </c>
      <c r="G102" s="148">
        <f>$B$78*G97*IF(G$96&lt;=$B$55,1,0)</f>
        <v>68993.209603837808</v>
      </c>
      <c r="H102" s="148">
        <f>$B$78*H97*IF(H$96&lt;=$B$55,1,0)</f>
        <v>68993.209603837808</v>
      </c>
      <c r="I102" s="148">
        <f>$B$78*I97*IF(I$96&lt;=$B$55,1,0)</f>
        <v>68993.209603837808</v>
      </c>
      <c r="J102" s="148">
        <f>$B$78*J97*IF(J$96&lt;=$B$55,1,0)</f>
        <v>68993.209603837808</v>
      </c>
      <c r="K102" s="148">
        <f>$B$78*K97*IF(K$96&lt;=$B$55,1,0)</f>
        <v>68993.209603837808</v>
      </c>
      <c r="L102" s="148">
        <f>$B$78*L97*IF(L$96&lt;=$B$55,1,0)</f>
        <v>68993.209603837808</v>
      </c>
      <c r="M102" s="148">
        <f>$B$78*M97*IF(M$96&lt;=$B$55,1,0)</f>
        <v>0</v>
      </c>
      <c r="N102" s="148">
        <f>$B$78*N97*IF(N$96&lt;=$B$55,1,0)</f>
        <v>0</v>
      </c>
      <c r="O102" s="148">
        <f>$B$78*O97*IF(O$96&lt;=$B$55,1,0)</f>
        <v>0</v>
      </c>
      <c r="P102" s="148">
        <f>$B$78*P97*IF(P$96&lt;=$B$55,1,0)</f>
        <v>0</v>
      </c>
      <c r="Q102" s="148">
        <f>$B$78*Q97*IF(Q$96&lt;=$B$55,1,0)</f>
        <v>0</v>
      </c>
    </row>
    <row r="103" spans="1:19" s="147" customFormat="1">
      <c r="A103" s="147" t="s">
        <v>111</v>
      </c>
      <c r="B103" s="148">
        <f>$B$79*B97*IF(B$96&lt;=$B$55,1,0)</f>
        <v>0</v>
      </c>
      <c r="C103" s="148">
        <f>$B$79*C97*IF(C$96&lt;=$B$55,1,0)</f>
        <v>0</v>
      </c>
      <c r="D103" s="148">
        <f>$B$79*D97*IF(D$96&lt;=$B$55,1,0)</f>
        <v>0</v>
      </c>
      <c r="E103" s="148">
        <f>$B$79*E97*IF(E$96&lt;=$B$55,1,0)</f>
        <v>0</v>
      </c>
      <c r="F103" s="148">
        <f>$B$79*F97*IF(F$96&lt;=$B$55,1,0)</f>
        <v>0</v>
      </c>
      <c r="G103" s="148">
        <f>$B$79*G97*IF(G$96&lt;=$B$55,1,0)</f>
        <v>0</v>
      </c>
      <c r="H103" s="148">
        <f>$B$79*H97*IF(H$96&lt;=$B$55,1,0)</f>
        <v>0</v>
      </c>
      <c r="I103" s="148">
        <f>$B$79*I97*IF(I$96&lt;=$B$55,1,0)</f>
        <v>0</v>
      </c>
      <c r="J103" s="148">
        <f>$B$79*J97*IF(J$96&lt;=$B$55,1,0)</f>
        <v>0</v>
      </c>
      <c r="K103" s="148">
        <f>$B$79*K97*IF(K$96&lt;=$B$55,1,0)</f>
        <v>0</v>
      </c>
      <c r="L103" s="148">
        <f>$B$79*L97*IF(L$96&lt;=$B$55,1,0)</f>
        <v>0</v>
      </c>
      <c r="M103" s="148">
        <f>$B$79*M97*IF(M$96&lt;=$B$55,1,0)</f>
        <v>0</v>
      </c>
      <c r="N103" s="148">
        <f>$B$79*N97*IF(N$96&lt;=$B$55,1,0)</f>
        <v>0</v>
      </c>
      <c r="O103" s="148">
        <f>$B$79*O97*IF(O$96&lt;=$B$55,1,0)</f>
        <v>0</v>
      </c>
      <c r="P103" s="148">
        <f>$B$79*P97*IF(P$96&lt;=$B$55,1,0)</f>
        <v>0</v>
      </c>
      <c r="Q103" s="148">
        <f>$B$79*Q97*IF(Q$96&lt;=$B$55,1,0)</f>
        <v>0</v>
      </c>
    </row>
    <row r="104" spans="1:19">
      <c r="A104" s="1" t="s">
        <v>112</v>
      </c>
      <c r="B104" s="30">
        <f>$B$80*B97*IF(B$96&lt;=$B$55,1,0)</f>
        <v>39835.84193608215</v>
      </c>
      <c r="C104" s="30">
        <f>$B$80*C97*IF(C$96&lt;=$B$55,1,0)</f>
        <v>39835.84193608215</v>
      </c>
      <c r="D104" s="30">
        <f>$B$80*D97*IF(D$96&lt;=$B$55,1,0)</f>
        <v>39835.84193608215</v>
      </c>
      <c r="E104" s="30">
        <f>$B$80*E97*IF(E$96&lt;=$B$55,1,0)</f>
        <v>39835.84193608215</v>
      </c>
      <c r="F104" s="30">
        <f>$B$80*F97*IF(F$96&lt;=$B$55,1,0)</f>
        <v>39835.84193608215</v>
      </c>
      <c r="G104" s="30">
        <f>$B$80*G97*IF(G$96&lt;=$B$55,1,0)</f>
        <v>39835.84193608215</v>
      </c>
      <c r="H104" s="30">
        <f>$B$80*H97*IF(H$96&lt;=$B$55,1,0)</f>
        <v>39835.84193608215</v>
      </c>
      <c r="I104" s="30">
        <f>$B$80*I97*IF(I$96&lt;=$B$55,1,0)</f>
        <v>39835.84193608215</v>
      </c>
      <c r="J104" s="30">
        <f>$B$80*J97*IF(J$96&lt;=$B$55,1,0)</f>
        <v>39835.84193608215</v>
      </c>
      <c r="K104" s="30">
        <f>$B$80*K97*IF(K$96&lt;=$B$55,1,0)</f>
        <v>39835.84193608215</v>
      </c>
      <c r="L104" s="30">
        <f>$B$80*L97*IF(L$96&lt;=$B$55,1,0)</f>
        <v>39835.84193608215</v>
      </c>
      <c r="M104" s="30">
        <f>$B$80*M97*IF(M$96&lt;=$B$55,1,0)</f>
        <v>0</v>
      </c>
      <c r="N104" s="30">
        <f>$B$80*N97*IF(N$96&lt;=$B$55,1,0)</f>
        <v>0</v>
      </c>
      <c r="O104" s="30">
        <f>$B$80*O97*IF(O$96&lt;=$B$55,1,0)</f>
        <v>0</v>
      </c>
      <c r="P104" s="30">
        <f>$B$80*P97*IF(P$96&lt;=$B$55,1,0)</f>
        <v>0</v>
      </c>
      <c r="Q104" s="30">
        <f>$B$80*Q97*IF(Q$96&lt;=$B$55,1,0)</f>
        <v>0</v>
      </c>
    </row>
    <row r="105" spans="1:19">
      <c r="A105" s="1" t="s">
        <v>113</v>
      </c>
      <c r="B105" s="30">
        <f>$B$77*B97*IF(B$96&lt;=$B$55,1,0)</f>
        <v>28564.489857398676</v>
      </c>
      <c r="C105" s="30">
        <f>$B$77*C97*IF(C$96&lt;=$B$55,1,0)</f>
        <v>28564.489857398676</v>
      </c>
      <c r="D105" s="30">
        <f>$B$77*D97*IF(D$96&lt;=$B$55,1,0)</f>
        <v>28564.489857398676</v>
      </c>
      <c r="E105" s="30">
        <f>$B$77*E97*IF(E$96&lt;=$B$55,1,0)</f>
        <v>28564.489857398676</v>
      </c>
      <c r="F105" s="30">
        <f>$B$77*F97*IF(F$96&lt;=$B$55,1,0)</f>
        <v>28564.489857398676</v>
      </c>
      <c r="G105" s="30">
        <f>$B$77*G97*IF(G$96&lt;=$B$55,1,0)</f>
        <v>28564.489857398676</v>
      </c>
      <c r="H105" s="30">
        <f>$B$77*H97*IF(H$96&lt;=$B$55,1,0)</f>
        <v>28564.489857398676</v>
      </c>
      <c r="I105" s="30">
        <f>$B$77*I97*IF(I$96&lt;=$B$55,1,0)</f>
        <v>28564.489857398676</v>
      </c>
      <c r="J105" s="30">
        <f>$B$77*J97*IF(J$96&lt;=$B$55,1,0)</f>
        <v>28564.489857398676</v>
      </c>
      <c r="K105" s="30">
        <f>$B$77*K97*IF(K$96&lt;=$B$55,1,0)</f>
        <v>28564.489857398676</v>
      </c>
      <c r="L105" s="30">
        <f>$B$77*L97*IF(L$96&lt;=$B$55,1,0)</f>
        <v>28564.489857398676</v>
      </c>
      <c r="M105" s="30">
        <f>$B$77*M97*IF(M$96&lt;=$B$55,1,0)</f>
        <v>0</v>
      </c>
      <c r="N105" s="30">
        <f>$B$77*N97*IF(N$96&lt;=$B$55,1,0)</f>
        <v>0</v>
      </c>
      <c r="O105" s="30">
        <f>$B$77*O97*IF(O$96&lt;=$B$55,1,0)</f>
        <v>0</v>
      </c>
      <c r="P105" s="30">
        <f>$B$77*P97*IF(P$96&lt;=$B$55,1,0)</f>
        <v>0</v>
      </c>
      <c r="Q105" s="30">
        <f>$B$77*Q97*IF(Q$96&lt;=$B$55,1,0)</f>
        <v>0</v>
      </c>
    </row>
    <row r="106" spans="1:19">
      <c r="A106" s="1" t="s">
        <v>114</v>
      </c>
      <c r="B106" s="30">
        <f>$B$81*B97*IF(B$96&lt;=$B$55,1,0)</f>
        <v>643659.20235546026</v>
      </c>
      <c r="C106" s="30">
        <f>$B$81*C97*IF(C$96&lt;=$B$55,1,0)</f>
        <v>643659.20235546026</v>
      </c>
      <c r="D106" s="30">
        <f>$B$81*D97*IF(D$96&lt;=$B$55,1,0)</f>
        <v>643659.20235546026</v>
      </c>
      <c r="E106" s="30">
        <f>$B$81*E97*IF(E$96&lt;=$B$55,1,0)</f>
        <v>643659.20235546026</v>
      </c>
      <c r="F106" s="30">
        <f>$B$81*F97*IF(F$96&lt;=$B$55,1,0)</f>
        <v>643659.20235546026</v>
      </c>
      <c r="G106" s="30">
        <f>$B$81*G97*IF(G$96&lt;=$B$55,1,0)</f>
        <v>643659.20235546026</v>
      </c>
      <c r="H106" s="30">
        <f>$B$81*H97*IF(H$96&lt;=$B$55,1,0)</f>
        <v>643659.20235546026</v>
      </c>
      <c r="I106" s="30">
        <f>$B$81*I97*IF(I$96&lt;=$B$55,1,0)</f>
        <v>643659.20235546026</v>
      </c>
      <c r="J106" s="30">
        <f>$B$81*J97*IF(J$96&lt;=$B$55,1,0)</f>
        <v>643659.20235546026</v>
      </c>
      <c r="K106" s="30">
        <f>$B$81*K97*IF(K$96&lt;=$B$55,1,0)</f>
        <v>643659.20235546026</v>
      </c>
      <c r="L106" s="30">
        <f>$B$81*L97*IF(L$96&lt;=$B$55,1,0)</f>
        <v>643659.20235546026</v>
      </c>
      <c r="M106" s="30">
        <f>$B$81*M97*IF(M$96&lt;=$B$55,1,0)</f>
        <v>0</v>
      </c>
      <c r="N106" s="30">
        <f>$B$81*N97*IF(N$96&lt;=$B$55,1,0)</f>
        <v>0</v>
      </c>
      <c r="O106" s="30">
        <f>$B$81*O97*IF(O$96&lt;=$B$55,1,0)</f>
        <v>0</v>
      </c>
      <c r="P106" s="30">
        <f>$B$81*P97*IF(P$96&lt;=$B$55,1,0)</f>
        <v>0</v>
      </c>
      <c r="Q106" s="30">
        <f>$B$81*Q97*IF(Q$96&lt;=$B$55,1,0)</f>
        <v>0</v>
      </c>
    </row>
    <row r="107" spans="1:19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1:19" s="10" customFormat="1">
      <c r="A108" s="10" t="s">
        <v>115</v>
      </c>
      <c r="B108" s="103">
        <f>B98+B100+B102+B103</f>
        <v>-212246.79039616219</v>
      </c>
      <c r="C108" s="103">
        <f t="shared" ref="C108:Q108" si="17">C98+C100+C102+C103</f>
        <v>82793.209603837808</v>
      </c>
      <c r="D108" s="103">
        <f t="shared" si="17"/>
        <v>82793.209603837808</v>
      </c>
      <c r="E108" s="103">
        <f t="shared" si="17"/>
        <v>82793.209603837808</v>
      </c>
      <c r="F108" s="103">
        <f t="shared" si="17"/>
        <v>82793.209603837808</v>
      </c>
      <c r="G108" s="103">
        <f t="shared" si="17"/>
        <v>82793.209603837808</v>
      </c>
      <c r="H108" s="103">
        <f t="shared" si="17"/>
        <v>82793.209603837808</v>
      </c>
      <c r="I108" s="103">
        <f t="shared" si="17"/>
        <v>82793.209603837808</v>
      </c>
      <c r="J108" s="103">
        <f t="shared" si="17"/>
        <v>13793.209603837808</v>
      </c>
      <c r="K108" s="103">
        <f t="shared" si="17"/>
        <v>82793.209603837808</v>
      </c>
      <c r="L108" s="103">
        <f t="shared" si="17"/>
        <v>82793.209603837808</v>
      </c>
      <c r="M108" s="103">
        <f t="shared" si="17"/>
        <v>0</v>
      </c>
      <c r="N108" s="103">
        <f t="shared" si="17"/>
        <v>0</v>
      </c>
      <c r="O108" s="103">
        <f t="shared" si="17"/>
        <v>0</v>
      </c>
      <c r="P108" s="103">
        <f t="shared" si="17"/>
        <v>0</v>
      </c>
      <c r="Q108" s="103">
        <f t="shared" si="17"/>
        <v>0</v>
      </c>
      <c r="S108" s="2"/>
    </row>
    <row r="109" spans="1:19" s="10" customFormat="1">
      <c r="A109" s="10" t="s">
        <v>116</v>
      </c>
      <c r="B109" s="103">
        <f>B99+B101</f>
        <v>-731985.22727272729</v>
      </c>
      <c r="C109" s="103">
        <f t="shared" ref="C109:Q109" si="18">C99+C101</f>
        <v>-361765</v>
      </c>
      <c r="D109" s="103">
        <f t="shared" si="18"/>
        <v>-361765</v>
      </c>
      <c r="E109" s="103">
        <f t="shared" si="18"/>
        <v>-361765</v>
      </c>
      <c r="F109" s="103">
        <f t="shared" si="18"/>
        <v>-361765</v>
      </c>
      <c r="G109" s="103">
        <f t="shared" si="18"/>
        <v>-378765</v>
      </c>
      <c r="H109" s="103">
        <f t="shared" si="18"/>
        <v>-361765</v>
      </c>
      <c r="I109" s="103">
        <f t="shared" si="18"/>
        <v>-361765</v>
      </c>
      <c r="J109" s="103">
        <f t="shared" si="18"/>
        <v>-361765</v>
      </c>
      <c r="K109" s="103">
        <f t="shared" si="18"/>
        <v>-361765</v>
      </c>
      <c r="L109" s="103">
        <f t="shared" si="18"/>
        <v>-378765</v>
      </c>
      <c r="M109" s="103">
        <f t="shared" si="18"/>
        <v>0</v>
      </c>
      <c r="N109" s="103">
        <f t="shared" si="18"/>
        <v>0</v>
      </c>
      <c r="O109" s="103">
        <f t="shared" si="18"/>
        <v>0</v>
      </c>
      <c r="P109" s="103">
        <f t="shared" si="18"/>
        <v>0</v>
      </c>
      <c r="Q109" s="103">
        <f t="shared" si="18"/>
        <v>0</v>
      </c>
      <c r="S109" s="2"/>
    </row>
    <row r="110" spans="1:19">
      <c r="A110" s="10" t="s">
        <v>117</v>
      </c>
      <c r="B110" s="103">
        <f t="shared" ref="B110:Q110" si="19">SUM(B105:B106)</f>
        <v>672223.69221285894</v>
      </c>
      <c r="C110" s="103">
        <f t="shared" si="19"/>
        <v>672223.69221285894</v>
      </c>
      <c r="D110" s="103">
        <f t="shared" si="19"/>
        <v>672223.69221285894</v>
      </c>
      <c r="E110" s="103">
        <f t="shared" si="19"/>
        <v>672223.69221285894</v>
      </c>
      <c r="F110" s="103">
        <f t="shared" si="19"/>
        <v>672223.69221285894</v>
      </c>
      <c r="G110" s="103">
        <f t="shared" si="19"/>
        <v>672223.69221285894</v>
      </c>
      <c r="H110" s="103">
        <f t="shared" si="19"/>
        <v>672223.69221285894</v>
      </c>
      <c r="I110" s="103">
        <f t="shared" si="19"/>
        <v>672223.69221285894</v>
      </c>
      <c r="J110" s="103">
        <f t="shared" si="19"/>
        <v>672223.69221285894</v>
      </c>
      <c r="K110" s="103">
        <f t="shared" si="19"/>
        <v>672223.69221285894</v>
      </c>
      <c r="L110" s="103">
        <f t="shared" si="19"/>
        <v>672223.69221285894</v>
      </c>
      <c r="M110" s="103">
        <f t="shared" si="19"/>
        <v>0</v>
      </c>
      <c r="N110" s="103">
        <f t="shared" si="19"/>
        <v>0</v>
      </c>
      <c r="O110" s="103">
        <f t="shared" si="19"/>
        <v>0</v>
      </c>
      <c r="P110" s="103">
        <f t="shared" si="19"/>
        <v>0</v>
      </c>
      <c r="Q110" s="103">
        <f t="shared" si="19"/>
        <v>0</v>
      </c>
    </row>
    <row r="112" spans="1:19">
      <c r="A112" s="10" t="s">
        <v>118</v>
      </c>
      <c r="B112" s="39">
        <f>SUM(B108:Q108)</f>
        <v>546685.30564221588</v>
      </c>
    </row>
    <row r="113" spans="1:19">
      <c r="A113" s="10" t="s">
        <v>119</v>
      </c>
      <c r="B113" s="39">
        <f>SUM(B109:Q109)</f>
        <v>-4383635.2272727275</v>
      </c>
      <c r="S113" s="1"/>
    </row>
    <row r="114" spans="1:19">
      <c r="A114" s="10" t="s">
        <v>120</v>
      </c>
      <c r="B114" s="39">
        <f>SUM(B110:Q110)</f>
        <v>7394460.6143414499</v>
      </c>
      <c r="S114" s="1"/>
    </row>
    <row r="116" spans="1:19">
      <c r="A116" s="10" t="s">
        <v>121</v>
      </c>
      <c r="B116" s="31">
        <f>SUM($B$108:B108)</f>
        <v>-212246.79039616219</v>
      </c>
      <c r="C116" s="31">
        <f>SUM($B$108:C108)</f>
        <v>-129453.58079232438</v>
      </c>
      <c r="D116" s="31">
        <f>SUM($B$108:D108)</f>
        <v>-46660.371188486577</v>
      </c>
      <c r="E116" s="31">
        <f>SUM($B$108:E108)</f>
        <v>36132.838415351231</v>
      </c>
      <c r="F116" s="31">
        <f>SUM($B$108:F108)</f>
        <v>118926.04801918904</v>
      </c>
      <c r="G116" s="31">
        <f>SUM($B$108:G108)</f>
        <v>201719.25762302685</v>
      </c>
      <c r="H116" s="31">
        <f>SUM($B$108:H108)</f>
        <v>284512.46722686465</v>
      </c>
      <c r="I116" s="31">
        <f>SUM($B$108:I108)</f>
        <v>367305.67683070246</v>
      </c>
      <c r="J116" s="31">
        <f>SUM($B$108:J108)</f>
        <v>381098.88643454027</v>
      </c>
      <c r="K116" s="31">
        <f>SUM($B$108:K108)</f>
        <v>463892.09603837808</v>
      </c>
      <c r="L116" s="31">
        <f>SUM($B$108:L108)</f>
        <v>546685.30564221588</v>
      </c>
      <c r="M116" s="31">
        <f>SUM($B$108:M108)</f>
        <v>546685.30564221588</v>
      </c>
      <c r="N116" s="31">
        <f>SUM($B$108:N108)</f>
        <v>546685.30564221588</v>
      </c>
      <c r="O116" s="31">
        <f>SUM($B$108:O108)</f>
        <v>546685.30564221588</v>
      </c>
      <c r="P116" s="31">
        <f>SUM($B$108:P108)</f>
        <v>546685.30564221588</v>
      </c>
      <c r="Q116" s="31">
        <f>SUM($B$108:Q108)</f>
        <v>546685.30564221588</v>
      </c>
      <c r="S116" s="1"/>
    </row>
    <row r="117" spans="1:19">
      <c r="A117" s="10" t="s">
        <v>122</v>
      </c>
      <c r="B117" s="31">
        <f>SUM($B$109:B109)</f>
        <v>-731985.22727272729</v>
      </c>
      <c r="C117" s="31">
        <f>SUM($B$109:C109)</f>
        <v>-1093750.2272727273</v>
      </c>
      <c r="D117" s="31">
        <f>SUM($B$109:D109)</f>
        <v>-1455515.2272727273</v>
      </c>
      <c r="E117" s="31">
        <f>SUM($B$109:E109)</f>
        <v>-1817280.2272727273</v>
      </c>
      <c r="F117" s="31">
        <f>SUM($B$109:F109)</f>
        <v>-2179045.2272727275</v>
      </c>
      <c r="G117" s="31">
        <f>SUM($B$109:G109)</f>
        <v>-2557810.2272727275</v>
      </c>
      <c r="H117" s="31">
        <f>SUM($B$109:H109)</f>
        <v>-2919575.2272727275</v>
      </c>
      <c r="I117" s="31">
        <f>SUM($B$109:I109)</f>
        <v>-3281340.2272727275</v>
      </c>
      <c r="J117" s="31">
        <f>SUM($B$109:J109)</f>
        <v>-3643105.2272727275</v>
      </c>
      <c r="K117" s="31">
        <f>SUM($B$109:K109)</f>
        <v>-4004870.2272727275</v>
      </c>
      <c r="L117" s="31">
        <f>SUM($B$109:L109)</f>
        <v>-4383635.2272727275</v>
      </c>
      <c r="M117" s="31">
        <f>SUM($B$109:M109)</f>
        <v>-4383635.2272727275</v>
      </c>
      <c r="N117" s="31">
        <f>SUM($B$109:N109)</f>
        <v>-4383635.2272727275</v>
      </c>
      <c r="O117" s="31">
        <f>SUM($B$109:O109)</f>
        <v>-4383635.2272727275</v>
      </c>
      <c r="P117" s="31">
        <f>SUM($B$109:P109)</f>
        <v>-4383635.2272727275</v>
      </c>
      <c r="Q117" s="31">
        <f>SUM($B$109:Q109)</f>
        <v>-4383635.2272727275</v>
      </c>
      <c r="S117" s="1"/>
    </row>
    <row r="118" spans="1:19">
      <c r="A118" s="10" t="s">
        <v>123</v>
      </c>
      <c r="B118" s="31">
        <f>SUM($B$110:B110)</f>
        <v>672223.69221285894</v>
      </c>
      <c r="C118" s="31">
        <f>SUM($B$110:C110)</f>
        <v>1344447.3844257179</v>
      </c>
      <c r="D118" s="31">
        <f>SUM($B$110:D110)</f>
        <v>2016671.0766385768</v>
      </c>
      <c r="E118" s="31">
        <f>SUM($B$110:E110)</f>
        <v>2688894.7688514357</v>
      </c>
      <c r="F118" s="31">
        <f>SUM($B$110:F110)</f>
        <v>3361118.4610642949</v>
      </c>
      <c r="G118" s="31">
        <f>SUM($B$110:G110)</f>
        <v>4033342.1532771541</v>
      </c>
      <c r="H118" s="31">
        <f>SUM($B$110:H110)</f>
        <v>4705565.8454900132</v>
      </c>
      <c r="I118" s="31">
        <f>SUM($B$110:I110)</f>
        <v>5377789.5377028724</v>
      </c>
      <c r="J118" s="31">
        <f>SUM($B$110:J110)</f>
        <v>6050013.2299157316</v>
      </c>
      <c r="K118" s="31">
        <f>SUM($B$110:K110)</f>
        <v>6722236.9221285908</v>
      </c>
      <c r="L118" s="31">
        <f>SUM($B$110:L110)</f>
        <v>7394460.6143414499</v>
      </c>
      <c r="M118" s="31">
        <f>SUM($B$110:M110)</f>
        <v>7394460.6143414499</v>
      </c>
      <c r="N118" s="31">
        <f>SUM($B$110:N110)</f>
        <v>7394460.6143414499</v>
      </c>
      <c r="O118" s="31">
        <f>SUM($B$110:O110)</f>
        <v>7394460.6143414499</v>
      </c>
      <c r="P118" s="31">
        <f>SUM($B$110:P110)</f>
        <v>7394460.6143414499</v>
      </c>
      <c r="Q118" s="31">
        <f>SUM($B$110:Q110)</f>
        <v>7394460.6143414499</v>
      </c>
      <c r="S118" s="1"/>
    </row>
  </sheetData>
  <dataValidations count="9">
    <dataValidation type="list" allowBlank="1" showInputMessage="1" showErrorMessage="1" sqref="B12:B13" xr:uid="{7BAE67A0-388D-425B-9A6E-B58CB2AD5AD4}">
      <formula1>"High, Average, Low"</formula1>
    </dataValidation>
    <dataValidation type="list" allowBlank="1" showInputMessage="1" showErrorMessage="1" sqref="B12" xr:uid="{09034952-8F74-49D9-A6CB-DFB5264F1613}">
      <formula1>"High, Pilot, Low"</formula1>
    </dataValidation>
    <dataValidation type="list" allowBlank="1" showInputMessage="1" showErrorMessage="1" sqref="B55" xr:uid="{2C3B057E-4CAD-41D8-A9AF-D07F6105DAEB}">
      <formula1>"1, 2, 3, 4, 5, 6, 7, 8, 9, 10, 11, 12, 13, 14, 15"</formula1>
    </dataValidation>
    <dataValidation type="list" allowBlank="1" showInputMessage="1" showErrorMessage="1" sqref="B54 B34" xr:uid="{D8CE5FC6-A06D-4586-B1E2-82169CDFFC36}">
      <formula1>"Yes, No"</formula1>
    </dataValidation>
    <dataValidation type="list" allowBlank="1" showInputMessage="1" showErrorMessage="1" sqref="B25" xr:uid="{E2AAB686-01DD-4BD0-952F-F2F3BE772011}">
      <formula1>"240, 360, 660, 1100, 1280"</formula1>
    </dataValidation>
    <dataValidation type="list" allowBlank="1" showInputMessage="1" showErrorMessage="1" sqref="B17 B48 B44" xr:uid="{025C294E-523E-41C0-AB70-FB00085EE774}">
      <formula1>"Default, User input"</formula1>
    </dataValidation>
    <dataValidation type="list" allowBlank="1" showInputMessage="1" showErrorMessage="1" sqref="B5 B33 B35:B41" xr:uid="{F0E41389-7E12-4E18-8C0C-18916D38F9C2}">
      <formula1>"London Borough, Housing provider"</formula1>
    </dataValidation>
    <dataValidation type="list" allowBlank="1" showInputMessage="1" showErrorMessage="1" sqref="B29" xr:uid="{00DCF803-2EF7-4E12-A66E-894FA65270CC}">
      <formula1>"Energy from Waste (EfW), Landfill, Mix (London average)"</formula1>
    </dataValidation>
    <dataValidation type="list" allowBlank="1" showInputMessage="1" showErrorMessage="1" sqref="B8:B9" xr:uid="{BDD7D84C-70A1-48B6-9BC4-6928CDDE8622}">
      <formula1>"High, Medium-high, Average, Medium-low, Low"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2FB408-A760-499A-909F-D23A78243216}">
          <x14:formula1>
            <xm:f>'London Boroughs specific'!$B$2:$B$34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5BF6-9E25-48E5-9BBC-5EDB7A660CDD}">
  <sheetPr>
    <tabColor theme="9" tint="-0.499984740745262"/>
  </sheetPr>
  <dimension ref="A1:H129"/>
  <sheetViews>
    <sheetView workbookViewId="0"/>
  </sheetViews>
  <sheetFormatPr defaultColWidth="9.140625" defaultRowHeight="11.25"/>
  <cols>
    <col min="1" max="1" width="38.5703125" style="1" customWidth="1"/>
    <col min="2" max="2" width="9.140625" style="1"/>
    <col min="3" max="3" width="11.7109375" style="1" bestFit="1" customWidth="1"/>
    <col min="4" max="4" width="9.140625" style="1"/>
    <col min="5" max="5" width="18.28515625" style="1" bestFit="1" customWidth="1"/>
    <col min="6" max="16384" width="9.140625" style="1"/>
  </cols>
  <sheetData>
    <row r="1" spans="1:8">
      <c r="A1" s="10" t="s">
        <v>124</v>
      </c>
      <c r="B1" s="126" t="s">
        <v>20</v>
      </c>
      <c r="C1" s="126" t="s">
        <v>11</v>
      </c>
      <c r="D1" s="126" t="s">
        <v>16</v>
      </c>
      <c r="E1" s="10" t="s">
        <v>125</v>
      </c>
      <c r="F1" s="10"/>
    </row>
    <row r="2" spans="1:8">
      <c r="A2" s="1" t="s">
        <v>126</v>
      </c>
      <c r="B2" s="4">
        <f>'Cost assumptions'!C9</f>
        <v>18.899999999999999</v>
      </c>
      <c r="C2" s="4">
        <f>'Cost assumptions'!E9</f>
        <v>18.899999999999999</v>
      </c>
      <c r="D2" s="4">
        <f>'Cost assumptions'!G9</f>
        <v>18.899999999999999</v>
      </c>
      <c r="E2" s="1" t="s">
        <v>127</v>
      </c>
    </row>
    <row r="3" spans="1:8">
      <c r="A3" s="1" t="s">
        <v>128</v>
      </c>
      <c r="B3" s="4">
        <f>'Cost assumptions'!C10</f>
        <v>31.86</v>
      </c>
      <c r="C3" s="4">
        <f>'Cost assumptions'!E10</f>
        <v>31.86</v>
      </c>
      <c r="D3" s="4">
        <f>'Cost assumptions'!G10</f>
        <v>31.86</v>
      </c>
      <c r="E3" s="1" t="s">
        <v>127</v>
      </c>
    </row>
    <row r="4" spans="1:8">
      <c r="A4" s="1" t="s">
        <v>129</v>
      </c>
      <c r="B4" s="4">
        <f>'Cost assumptions'!C11</f>
        <v>231.08</v>
      </c>
      <c r="C4" s="4">
        <f>'Cost assumptions'!E11</f>
        <v>231.08</v>
      </c>
      <c r="D4" s="4">
        <f>'Cost assumptions'!G11</f>
        <v>69</v>
      </c>
      <c r="E4" s="1" t="s">
        <v>127</v>
      </c>
    </row>
    <row r="5" spans="1:8">
      <c r="A5" s="1" t="s">
        <v>130</v>
      </c>
      <c r="B5" s="4">
        <f>'Cost assumptions'!C12</f>
        <v>245.24</v>
      </c>
      <c r="C5" s="4">
        <f>'Cost assumptions'!E12</f>
        <v>245.24</v>
      </c>
      <c r="D5" s="4">
        <f>'Cost assumptions'!G12</f>
        <v>69</v>
      </c>
      <c r="E5" s="1" t="s">
        <v>127</v>
      </c>
    </row>
    <row r="6" spans="1:8">
      <c r="A6" s="1" t="s">
        <v>131</v>
      </c>
      <c r="B6" s="4">
        <f>'Cost assumptions'!C13</f>
        <v>308</v>
      </c>
      <c r="C6" s="4">
        <f>'Cost assumptions'!E13</f>
        <v>308</v>
      </c>
      <c r="D6" s="4">
        <f>'Cost assumptions'!G13</f>
        <v>69</v>
      </c>
      <c r="E6" s="1" t="s">
        <v>127</v>
      </c>
    </row>
    <row r="7" spans="1:8">
      <c r="A7" s="1" t="s">
        <v>132</v>
      </c>
      <c r="B7" s="4">
        <f>'Cost assumptions'!C15</f>
        <v>18.899999999999999</v>
      </c>
      <c r="C7" s="4">
        <f>'Cost assumptions'!E15</f>
        <v>18.899999999999999</v>
      </c>
      <c r="D7" s="4">
        <f>'Cost assumptions'!G15</f>
        <v>18.899999999999999</v>
      </c>
      <c r="E7" s="1" t="s">
        <v>127</v>
      </c>
    </row>
    <row r="8" spans="1:8">
      <c r="A8" s="1" t="s">
        <v>133</v>
      </c>
      <c r="B8" s="4">
        <f>'Cost assumptions'!C16</f>
        <v>31.86</v>
      </c>
      <c r="C8" s="4">
        <f>'Cost assumptions'!E16</f>
        <v>31.86</v>
      </c>
      <c r="D8" s="4">
        <f>'Cost assumptions'!G16</f>
        <v>31.86</v>
      </c>
      <c r="E8" s="1" t="s">
        <v>127</v>
      </c>
    </row>
    <row r="9" spans="1:8">
      <c r="A9" s="1" t="s">
        <v>134</v>
      </c>
      <c r="B9" s="4">
        <f>'Cost assumptions'!C17</f>
        <v>69</v>
      </c>
      <c r="C9" s="4">
        <f>'Cost assumptions'!E17</f>
        <v>69</v>
      </c>
      <c r="D9" s="4">
        <f>'Cost assumptions'!G17</f>
        <v>69</v>
      </c>
      <c r="E9" s="1" t="s">
        <v>127</v>
      </c>
    </row>
    <row r="10" spans="1:8">
      <c r="A10" s="1" t="s">
        <v>135</v>
      </c>
      <c r="B10" s="4">
        <f>'Cost assumptions'!C18</f>
        <v>69</v>
      </c>
      <c r="C10" s="4">
        <f>'Cost assumptions'!E18</f>
        <v>69</v>
      </c>
      <c r="D10" s="4">
        <f>'Cost assumptions'!G18</f>
        <v>69</v>
      </c>
      <c r="E10" s="1" t="s">
        <v>127</v>
      </c>
    </row>
    <row r="11" spans="1:8">
      <c r="A11" s="1" t="s">
        <v>136</v>
      </c>
      <c r="B11" s="4">
        <f>'Cost assumptions'!C19</f>
        <v>69</v>
      </c>
      <c r="C11" s="4">
        <f>'Cost assumptions'!E19</f>
        <v>69</v>
      </c>
      <c r="D11" s="4">
        <f>'Cost assumptions'!G19</f>
        <v>69</v>
      </c>
      <c r="E11" s="1" t="s">
        <v>127</v>
      </c>
    </row>
    <row r="12" spans="1:8">
      <c r="A12" s="1" t="s">
        <v>137</v>
      </c>
      <c r="B12" s="1">
        <f>'Cost assumptions'!C20</f>
        <v>20</v>
      </c>
      <c r="C12" s="1">
        <f>'Cost assumptions'!E20</f>
        <v>20</v>
      </c>
      <c r="D12" s="1">
        <f>'Cost assumptions'!G20</f>
        <v>20</v>
      </c>
      <c r="E12" s="1" t="s">
        <v>127</v>
      </c>
    </row>
    <row r="13" spans="1:8">
      <c r="A13" s="1" t="s">
        <v>138</v>
      </c>
      <c r="B13" s="1">
        <f>'Cost assumptions'!C21</f>
        <v>16</v>
      </c>
      <c r="C13" s="1">
        <f>'Cost assumptions'!E21</f>
        <v>16</v>
      </c>
      <c r="D13" s="1">
        <f>'Cost assumptions'!G21</f>
        <v>10</v>
      </c>
      <c r="E13" s="1" t="s">
        <v>127</v>
      </c>
    </row>
    <row r="14" spans="1:8">
      <c r="A14" s="1" t="s">
        <v>139</v>
      </c>
      <c r="B14" s="4">
        <f>'Cost assumptions'!C29</f>
        <v>16.787500000000001</v>
      </c>
      <c r="C14" s="4">
        <f>'Cost assumptions'!E29</f>
        <v>13.43</v>
      </c>
      <c r="D14" s="4">
        <f>'Cost assumptions'!G29</f>
        <v>10.0725</v>
      </c>
      <c r="E14" s="1" t="s">
        <v>127</v>
      </c>
    </row>
    <row r="15" spans="1:8">
      <c r="A15" s="38" t="s">
        <v>140</v>
      </c>
      <c r="B15" s="38">
        <f>'Cost assumptions'!C30</f>
        <v>1</v>
      </c>
      <c r="C15" s="38">
        <f>'Cost assumptions'!E30</f>
        <v>1</v>
      </c>
      <c r="D15" s="38">
        <f>'Cost assumptions'!G30</f>
        <v>1</v>
      </c>
      <c r="E15" s="1" t="s">
        <v>127</v>
      </c>
      <c r="F15" s="38"/>
      <c r="G15" s="38"/>
      <c r="H15" s="38"/>
    </row>
    <row r="16" spans="1:8">
      <c r="A16" s="1" t="s">
        <v>141</v>
      </c>
      <c r="B16" s="1">
        <f>'Cost assumptions'!C32</f>
        <v>500</v>
      </c>
      <c r="C16" s="1">
        <f>'Cost assumptions'!E32</f>
        <v>300</v>
      </c>
      <c r="D16" s="1">
        <f>'Cost assumptions'!G32</f>
        <v>0</v>
      </c>
      <c r="E16" s="1" t="s">
        <v>127</v>
      </c>
    </row>
    <row r="17" spans="1:5">
      <c r="A17" s="1" t="s">
        <v>142</v>
      </c>
      <c r="B17" s="1">
        <f>'Cost assumptions'!C33</f>
        <v>237.625</v>
      </c>
      <c r="C17" s="1">
        <f>'Cost assumptions'!E33</f>
        <v>121.5</v>
      </c>
      <c r="D17" s="1">
        <f>'Cost assumptions'!G33</f>
        <v>0</v>
      </c>
      <c r="E17" s="1" t="s">
        <v>127</v>
      </c>
    </row>
    <row r="18" spans="1:5">
      <c r="A18" s="1" t="s">
        <v>143</v>
      </c>
      <c r="B18" s="1">
        <f>'Cost assumptions'!C34</f>
        <v>75.25</v>
      </c>
      <c r="C18" s="1">
        <f>'Cost assumptions'!E34</f>
        <v>37.625</v>
      </c>
      <c r="D18" s="1">
        <f>'Cost assumptions'!G34</f>
        <v>0</v>
      </c>
      <c r="E18" s="1" t="s">
        <v>127</v>
      </c>
    </row>
    <row r="19" spans="1:5">
      <c r="A19" s="1" t="s">
        <v>144</v>
      </c>
      <c r="B19" s="1">
        <f>'Cost assumptions'!C35</f>
        <v>5</v>
      </c>
      <c r="C19" s="1">
        <f>'Cost assumptions'!E35</f>
        <v>5</v>
      </c>
      <c r="D19" s="1">
        <f>'Cost assumptions'!G35</f>
        <v>5</v>
      </c>
      <c r="E19" s="1" t="s">
        <v>127</v>
      </c>
    </row>
    <row r="20" spans="1:5">
      <c r="A20" s="1" t="s">
        <v>145</v>
      </c>
      <c r="B20" s="1">
        <f>'Cost assumptions'!C36</f>
        <v>20</v>
      </c>
      <c r="C20" s="1">
        <f>'Cost assumptions'!E36</f>
        <v>20</v>
      </c>
      <c r="D20" s="1">
        <f>'Cost assumptions'!G36</f>
        <v>20</v>
      </c>
      <c r="E20" s="1" t="s">
        <v>127</v>
      </c>
    </row>
    <row r="21" spans="1:5">
      <c r="A21" s="1" t="s">
        <v>146</v>
      </c>
      <c r="B21" s="1">
        <f>'Cost assumptions'!C38</f>
        <v>6.5</v>
      </c>
      <c r="C21" s="1">
        <f>'Cost assumptions'!E38</f>
        <v>6.5</v>
      </c>
      <c r="D21" s="1">
        <f>'Cost assumptions'!G38</f>
        <v>6.5</v>
      </c>
      <c r="E21" s="1" t="s">
        <v>127</v>
      </c>
    </row>
    <row r="22" spans="1:5">
      <c r="A22" s="1" t="s">
        <v>147</v>
      </c>
      <c r="B22" s="1">
        <f>'Cost assumptions'!C39</f>
        <v>60</v>
      </c>
      <c r="C22" s="1">
        <f>'Cost assumptions'!E39</f>
        <v>60</v>
      </c>
      <c r="D22" s="1">
        <f>'Cost assumptions'!G39</f>
        <v>60</v>
      </c>
      <c r="E22" s="1" t="s">
        <v>127</v>
      </c>
    </row>
    <row r="23" spans="1:5">
      <c r="A23" s="1" t="s">
        <v>148</v>
      </c>
      <c r="B23" s="1">
        <f>'Cost assumptions'!C40</f>
        <v>3</v>
      </c>
      <c r="C23" s="1">
        <f>'Cost assumptions'!E40</f>
        <v>3</v>
      </c>
      <c r="D23" s="1">
        <f>'Cost assumptions'!G40</f>
        <v>3</v>
      </c>
      <c r="E23" s="1" t="s">
        <v>127</v>
      </c>
    </row>
    <row r="24" spans="1:5">
      <c r="A24" s="1" t="s">
        <v>149</v>
      </c>
      <c r="B24" s="1">
        <f>'Cost assumptions'!C41</f>
        <v>20</v>
      </c>
      <c r="C24" s="1">
        <f>'Cost assumptions'!E41</f>
        <v>20</v>
      </c>
      <c r="D24" s="1">
        <f>'Cost assumptions'!G41</f>
        <v>20</v>
      </c>
      <c r="E24" s="1" t="s">
        <v>127</v>
      </c>
    </row>
    <row r="25" spans="1:5">
      <c r="A25" s="1" t="s">
        <v>150</v>
      </c>
      <c r="B25" s="1">
        <f>'Cost assumptions'!C42</f>
        <v>50</v>
      </c>
      <c r="C25" s="1">
        <f>'Cost assumptions'!E42</f>
        <v>50</v>
      </c>
      <c r="D25" s="1">
        <f>'Cost assumptions'!G42</f>
        <v>50</v>
      </c>
      <c r="E25" s="1" t="s">
        <v>127</v>
      </c>
    </row>
    <row r="26" spans="1:5">
      <c r="A26" s="1" t="s">
        <v>151</v>
      </c>
      <c r="B26" s="1">
        <f>'Cost assumptions'!C43</f>
        <v>50</v>
      </c>
      <c r="C26" s="1">
        <f>'Cost assumptions'!E43</f>
        <v>50</v>
      </c>
      <c r="D26" s="1">
        <f>'Cost assumptions'!G43</f>
        <v>50</v>
      </c>
      <c r="E26" s="1" t="s">
        <v>127</v>
      </c>
    </row>
    <row r="27" spans="1:5">
      <c r="A27" s="1" t="s">
        <v>152</v>
      </c>
      <c r="B27" s="1">
        <f>'Cost assumptions'!C44</f>
        <v>60</v>
      </c>
      <c r="C27" s="1">
        <f>'Cost assumptions'!E44</f>
        <v>60</v>
      </c>
      <c r="D27" s="1">
        <f>'Cost assumptions'!G44</f>
        <v>60</v>
      </c>
      <c r="E27" s="1" t="s">
        <v>127</v>
      </c>
    </row>
    <row r="28" spans="1:5">
      <c r="A28" s="1" t="s">
        <v>153</v>
      </c>
      <c r="B28" s="1">
        <f>'Cost assumptions'!C46</f>
        <v>5</v>
      </c>
      <c r="C28" s="1">
        <f>'Cost assumptions'!E46</f>
        <v>5</v>
      </c>
      <c r="D28" s="1">
        <f>'Cost assumptions'!G46</f>
        <v>5</v>
      </c>
      <c r="E28" s="1" t="s">
        <v>127</v>
      </c>
    </row>
    <row r="29" spans="1:5">
      <c r="A29" s="1" t="s">
        <v>154</v>
      </c>
      <c r="B29" s="1">
        <f>'Cost assumptions'!C47</f>
        <v>60</v>
      </c>
      <c r="C29" s="1">
        <f>'Cost assumptions'!E47</f>
        <v>60</v>
      </c>
      <c r="D29" s="1">
        <f>'Cost assumptions'!G47</f>
        <v>60</v>
      </c>
      <c r="E29" s="1" t="s">
        <v>127</v>
      </c>
    </row>
    <row r="30" spans="1:5">
      <c r="A30" s="1" t="s">
        <v>155</v>
      </c>
      <c r="B30" s="1">
        <f>'Cost assumptions'!C48</f>
        <v>55</v>
      </c>
      <c r="C30" s="1">
        <f>'Cost assumptions'!E48</f>
        <v>55</v>
      </c>
      <c r="D30" s="1">
        <f>'Cost assumptions'!G48</f>
        <v>55</v>
      </c>
      <c r="E30" s="1" t="s">
        <v>127</v>
      </c>
    </row>
    <row r="31" spans="1:5">
      <c r="A31" s="1" t="s">
        <v>156</v>
      </c>
      <c r="B31" s="1">
        <f>'Cost assumptions'!C49</f>
        <v>55</v>
      </c>
      <c r="C31" s="1">
        <f>'Cost assumptions'!E49</f>
        <v>55</v>
      </c>
      <c r="D31" s="1">
        <f>'Cost assumptions'!G49</f>
        <v>55</v>
      </c>
      <c r="E31" s="1" t="s">
        <v>127</v>
      </c>
    </row>
    <row r="32" spans="1:5">
      <c r="A32" s="1" t="s">
        <v>152</v>
      </c>
      <c r="B32" s="1">
        <f>'Cost assumptions'!C50</f>
        <v>60</v>
      </c>
      <c r="C32" s="1">
        <f>'Cost assumptions'!E50</f>
        <v>60</v>
      </c>
      <c r="D32" s="1">
        <f>'Cost assumptions'!G50</f>
        <v>60</v>
      </c>
      <c r="E32" s="1" t="s">
        <v>127</v>
      </c>
    </row>
    <row r="33" spans="1:6">
      <c r="A33" s="1" t="s">
        <v>157</v>
      </c>
      <c r="B33" s="1">
        <f>'Cost assumptions'!C51</f>
        <v>3.5</v>
      </c>
      <c r="C33" s="1">
        <f>'Cost assumptions'!E51</f>
        <v>3.5</v>
      </c>
      <c r="D33" s="1">
        <f>'Cost assumptions'!G51</f>
        <v>3.5</v>
      </c>
      <c r="E33" s="1" t="s">
        <v>127</v>
      </c>
    </row>
    <row r="34" spans="1:6">
      <c r="A34" s="1" t="s">
        <v>158</v>
      </c>
      <c r="B34" s="1">
        <f>'Cost assumptions'!C52</f>
        <v>20</v>
      </c>
      <c r="C34" s="1">
        <f>'Cost assumptions'!E52</f>
        <v>20</v>
      </c>
      <c r="D34" s="1">
        <f>'Cost assumptions'!G52</f>
        <v>20</v>
      </c>
      <c r="E34" s="1" t="s">
        <v>127</v>
      </c>
    </row>
    <row r="35" spans="1:6">
      <c r="A35" s="1" t="s">
        <v>159</v>
      </c>
      <c r="B35" s="34">
        <f>'Cost assumptions'!C54</f>
        <v>1</v>
      </c>
      <c r="C35" s="34">
        <f>'Cost assumptions'!E54</f>
        <v>1</v>
      </c>
      <c r="D35" s="34">
        <f>'Cost assumptions'!G54</f>
        <v>1</v>
      </c>
      <c r="E35" s="1" t="s">
        <v>127</v>
      </c>
    </row>
    <row r="36" spans="1:6">
      <c r="A36" s="1" t="s">
        <v>160</v>
      </c>
      <c r="B36" s="34">
        <f>'Cost assumptions'!C55</f>
        <v>0.27</v>
      </c>
      <c r="C36" s="34">
        <f>'Cost assumptions'!E55</f>
        <v>0.27</v>
      </c>
      <c r="D36" s="34">
        <f>'Cost assumptions'!G55</f>
        <v>0.27</v>
      </c>
      <c r="E36" s="1" t="s">
        <v>127</v>
      </c>
    </row>
    <row r="37" spans="1:6">
      <c r="A37" s="1" t="s">
        <v>161</v>
      </c>
      <c r="B37" s="34">
        <f>'Cost assumptions'!C56</f>
        <v>0.35</v>
      </c>
      <c r="C37" s="34">
        <f>'Cost assumptions'!E56</f>
        <v>0.35</v>
      </c>
      <c r="D37" s="34">
        <f>'Cost assumptions'!G56</f>
        <v>0.35</v>
      </c>
      <c r="E37" s="1" t="s">
        <v>127</v>
      </c>
    </row>
    <row r="38" spans="1:6" ht="10.5" customHeight="1">
      <c r="A38" s="1" t="s">
        <v>162</v>
      </c>
      <c r="B38" s="34">
        <f>'Cost assumptions'!C57</f>
        <v>250</v>
      </c>
      <c r="C38" s="34">
        <f>'Cost assumptions'!E57</f>
        <v>250</v>
      </c>
      <c r="D38" s="34">
        <f>'Cost assumptions'!G57</f>
        <v>250</v>
      </c>
      <c r="E38" s="1" t="s">
        <v>127</v>
      </c>
    </row>
    <row r="39" spans="1:6">
      <c r="A39" s="1" t="s">
        <v>163</v>
      </c>
      <c r="B39" s="1">
        <f>'Cost assumptions'!C59</f>
        <v>16.260000000000002</v>
      </c>
      <c r="C39" s="1">
        <f>'Cost assumptions'!E59</f>
        <v>16.260000000000002</v>
      </c>
      <c r="D39" s="1">
        <f>'Cost assumptions'!G59</f>
        <v>16.260000000000002</v>
      </c>
      <c r="E39" s="1" t="s">
        <v>127</v>
      </c>
    </row>
    <row r="40" spans="1:6">
      <c r="A40" s="38" t="s">
        <v>164</v>
      </c>
      <c r="B40" s="38">
        <f>'Cost assumptions'!C62</f>
        <v>0.75</v>
      </c>
      <c r="C40" s="38">
        <f>'Cost assumptions'!E62</f>
        <v>0.5</v>
      </c>
      <c r="D40" s="38">
        <f>'Cost assumptions'!G62</f>
        <v>0.375</v>
      </c>
      <c r="E40" s="1" t="s">
        <v>127</v>
      </c>
    </row>
    <row r="41" spans="1:6">
      <c r="A41" s="38" t="s">
        <v>165</v>
      </c>
      <c r="B41" s="38">
        <f>'Cost assumptions'!C63</f>
        <v>0.75</v>
      </c>
      <c r="C41" s="38">
        <f>'Cost assumptions'!E63</f>
        <v>0.5</v>
      </c>
      <c r="D41" s="38">
        <f>'Cost assumptions'!G63</f>
        <v>0.375</v>
      </c>
      <c r="E41" s="1" t="s">
        <v>127</v>
      </c>
    </row>
    <row r="42" spans="1:6">
      <c r="A42" s="38" t="s">
        <v>166</v>
      </c>
      <c r="B42" s="38">
        <f>'Cost assumptions'!C64</f>
        <v>0.30000000000000004</v>
      </c>
      <c r="C42" s="38">
        <f>'Cost assumptions'!E64</f>
        <v>0.2</v>
      </c>
      <c r="D42" s="38">
        <f>'Cost assumptions'!G64</f>
        <v>0.15000000000000002</v>
      </c>
      <c r="E42" s="1" t="s">
        <v>127</v>
      </c>
    </row>
    <row r="43" spans="1:6">
      <c r="A43" s="38" t="s">
        <v>167</v>
      </c>
      <c r="B43" s="38">
        <f>'Cost assumptions'!C65</f>
        <v>0.30000000000000004</v>
      </c>
      <c r="C43" s="38">
        <f>'Cost assumptions'!E65</f>
        <v>0.2</v>
      </c>
      <c r="D43" s="38">
        <f>'Cost assumptions'!G65</f>
        <v>0.15000000000000002</v>
      </c>
      <c r="E43" s="1" t="s">
        <v>127</v>
      </c>
    </row>
    <row r="44" spans="1:6">
      <c r="A44" s="38" t="s">
        <v>168</v>
      </c>
      <c r="B44" s="38">
        <f>'Cost assumptions'!C66</f>
        <v>0.75</v>
      </c>
      <c r="C44" s="38">
        <f>'Cost assumptions'!E66</f>
        <v>0.5</v>
      </c>
      <c r="D44" s="38">
        <f>'Cost assumptions'!G66</f>
        <v>0.375</v>
      </c>
      <c r="E44" s="1" t="s">
        <v>127</v>
      </c>
    </row>
    <row r="45" spans="1:6">
      <c r="A45" s="38" t="s">
        <v>169</v>
      </c>
      <c r="B45" s="38">
        <f>'Cost assumptions'!C67</f>
        <v>0.75</v>
      </c>
      <c r="C45" s="38">
        <f>'Cost assumptions'!E67</f>
        <v>0.5</v>
      </c>
      <c r="D45" s="38">
        <f>'Cost assumptions'!G67</f>
        <v>0.375</v>
      </c>
      <c r="E45" s="1" t="s">
        <v>127</v>
      </c>
    </row>
    <row r="46" spans="1:6">
      <c r="A46" s="1" t="s">
        <v>170</v>
      </c>
      <c r="B46" s="94">
        <v>113.63636363636364</v>
      </c>
      <c r="C46" s="94">
        <v>113.63636363636364</v>
      </c>
      <c r="D46" s="94">
        <v>113.63636363636364</v>
      </c>
      <c r="E46" s="1" t="s">
        <v>127</v>
      </c>
    </row>
    <row r="47" spans="1:6">
      <c r="A47" s="1" t="s">
        <v>171</v>
      </c>
      <c r="B47" s="1">
        <f>'Cost assumptions'!C70</f>
        <v>13.43</v>
      </c>
      <c r="C47" s="1">
        <f>'Cost assumptions'!E70</f>
        <v>13.43</v>
      </c>
      <c r="D47" s="1">
        <f>'Cost assumptions'!G70</f>
        <v>13.43</v>
      </c>
      <c r="E47" s="1" t="s">
        <v>127</v>
      </c>
    </row>
    <row r="48" spans="1:6">
      <c r="A48" s="8" t="s">
        <v>172</v>
      </c>
      <c r="B48" s="8"/>
      <c r="C48" s="8"/>
      <c r="D48" s="8"/>
      <c r="E48" s="8" t="s">
        <v>127</v>
      </c>
      <c r="F48" s="38"/>
    </row>
    <row r="49" spans="1:6">
      <c r="A49" s="8" t="s">
        <v>173</v>
      </c>
      <c r="B49" s="8"/>
      <c r="C49" s="8"/>
      <c r="D49" s="8"/>
      <c r="E49" s="8" t="s">
        <v>127</v>
      </c>
      <c r="F49" s="38"/>
    </row>
    <row r="50" spans="1:6">
      <c r="A50" s="8" t="s">
        <v>174</v>
      </c>
      <c r="B50" s="8"/>
      <c r="C50" s="8"/>
      <c r="D50" s="8"/>
      <c r="E50" s="8" t="s">
        <v>127</v>
      </c>
      <c r="F50" s="38"/>
    </row>
    <row r="51" spans="1:6">
      <c r="A51" s="8" t="s">
        <v>175</v>
      </c>
      <c r="B51" s="8"/>
      <c r="C51" s="8"/>
      <c r="D51" s="8"/>
      <c r="E51" s="8" t="s">
        <v>127</v>
      </c>
      <c r="F51" s="38"/>
    </row>
    <row r="52" spans="1:6">
      <c r="A52" s="8" t="s">
        <v>176</v>
      </c>
      <c r="B52" s="8"/>
      <c r="C52" s="8"/>
      <c r="D52" s="8"/>
      <c r="E52" s="8" t="s">
        <v>127</v>
      </c>
      <c r="F52" s="38"/>
    </row>
    <row r="53" spans="1:6">
      <c r="A53" s="8" t="s">
        <v>177</v>
      </c>
      <c r="B53" s="8"/>
      <c r="C53" s="8"/>
      <c r="D53" s="8"/>
      <c r="E53" s="8" t="s">
        <v>127</v>
      </c>
      <c r="F53" s="38"/>
    </row>
    <row r="54" spans="1:6">
      <c r="A54" s="8" t="s">
        <v>178</v>
      </c>
      <c r="B54" s="8"/>
      <c r="C54" s="8"/>
      <c r="D54" s="8"/>
      <c r="E54" s="8" t="s">
        <v>127</v>
      </c>
      <c r="F54" s="38"/>
    </row>
    <row r="55" spans="1:6">
      <c r="A55" s="1" t="s">
        <v>3</v>
      </c>
      <c r="E55" s="1" t="s">
        <v>29</v>
      </c>
    </row>
    <row r="56" spans="1:6">
      <c r="A56" s="1" t="s">
        <v>10</v>
      </c>
      <c r="E56" s="1" t="s">
        <v>29</v>
      </c>
    </row>
    <row r="57" spans="1:6">
      <c r="A57" s="1" t="s">
        <v>15</v>
      </c>
      <c r="E57" s="1" t="s">
        <v>29</v>
      </c>
    </row>
    <row r="58" spans="1:6">
      <c r="A58" s="1" t="s">
        <v>179</v>
      </c>
      <c r="E58" s="1" t="s">
        <v>29</v>
      </c>
    </row>
    <row r="59" spans="1:6">
      <c r="A59" s="1" t="s">
        <v>180</v>
      </c>
      <c r="E59" s="1" t="s">
        <v>29</v>
      </c>
    </row>
    <row r="60" spans="1:6">
      <c r="A60" s="1" t="s">
        <v>26</v>
      </c>
      <c r="E60" s="1" t="s">
        <v>29</v>
      </c>
    </row>
    <row r="61" spans="1:6">
      <c r="A61" s="1" t="s">
        <v>27</v>
      </c>
      <c r="E61" s="1" t="s">
        <v>29</v>
      </c>
    </row>
    <row r="62" spans="1:6">
      <c r="A62" s="38" t="s">
        <v>181</v>
      </c>
      <c r="E62" s="1" t="s">
        <v>29</v>
      </c>
    </row>
    <row r="63" spans="1:6">
      <c r="A63" s="100" t="s">
        <v>182</v>
      </c>
      <c r="E63" s="1" t="s">
        <v>29</v>
      </c>
    </row>
    <row r="64" spans="1:6">
      <c r="A64" s="38" t="s">
        <v>183</v>
      </c>
      <c r="E64" s="1" t="s">
        <v>29</v>
      </c>
    </row>
    <row r="65" spans="1:5">
      <c r="A65" s="38" t="s">
        <v>40</v>
      </c>
      <c r="E65" s="1" t="s">
        <v>29</v>
      </c>
    </row>
    <row r="66" spans="1:5">
      <c r="A66" s="38" t="s">
        <v>67</v>
      </c>
      <c r="E66" s="1" t="s">
        <v>29</v>
      </c>
    </row>
    <row r="67" spans="1:5">
      <c r="A67" s="38" t="s">
        <v>69</v>
      </c>
      <c r="E67" s="1" t="s">
        <v>29</v>
      </c>
    </row>
    <row r="68" spans="1:5">
      <c r="A68" s="11" t="s">
        <v>30</v>
      </c>
      <c r="C68" s="13">
        <f>'General assumptions'!D9</f>
        <v>150</v>
      </c>
      <c r="E68" s="1" t="s">
        <v>184</v>
      </c>
    </row>
    <row r="69" spans="1:5">
      <c r="A69" s="11" t="s">
        <v>32</v>
      </c>
      <c r="C69" s="13">
        <f>'General assumptions'!D10</f>
        <v>5</v>
      </c>
      <c r="E69" s="1" t="s">
        <v>184</v>
      </c>
    </row>
    <row r="70" spans="1:5">
      <c r="A70" s="11" t="s">
        <v>33</v>
      </c>
      <c r="C70" s="13">
        <f>'General assumptions'!D11</f>
        <v>1</v>
      </c>
      <c r="E70" s="1" t="s">
        <v>184</v>
      </c>
    </row>
    <row r="71" spans="1:5">
      <c r="A71" s="11" t="s">
        <v>185</v>
      </c>
      <c r="C71" s="13">
        <f>'General assumptions'!D12</f>
        <v>1</v>
      </c>
      <c r="E71" s="1" t="s">
        <v>184</v>
      </c>
    </row>
    <row r="72" spans="1:5">
      <c r="A72" s="11" t="s">
        <v>186</v>
      </c>
      <c r="C72" s="13">
        <f>'General assumptions'!D13</f>
        <v>1</v>
      </c>
      <c r="E72" s="1" t="s">
        <v>184</v>
      </c>
    </row>
    <row r="73" spans="1:5">
      <c r="A73" s="11" t="s">
        <v>34</v>
      </c>
      <c r="C73" s="13">
        <f>'General assumptions'!D14</f>
        <v>2</v>
      </c>
      <c r="E73" s="1" t="s">
        <v>184</v>
      </c>
    </row>
    <row r="74" spans="1:5">
      <c r="A74" s="11" t="s">
        <v>35</v>
      </c>
      <c r="C74" s="13">
        <f>'General assumptions'!D15</f>
        <v>3</v>
      </c>
      <c r="E74" s="1" t="s">
        <v>184</v>
      </c>
    </row>
    <row r="75" spans="1:5">
      <c r="A75" s="11" t="s">
        <v>187</v>
      </c>
      <c r="C75" s="13">
        <f>'General assumptions'!D18</f>
        <v>8.4000000000000005E-2</v>
      </c>
      <c r="E75" s="1" t="s">
        <v>188</v>
      </c>
    </row>
    <row r="76" spans="1:5">
      <c r="A76" s="11" t="s">
        <v>189</v>
      </c>
      <c r="C76" s="13">
        <f>'General assumptions'!D19</f>
        <v>0.75</v>
      </c>
      <c r="E76" s="1" t="s">
        <v>188</v>
      </c>
    </row>
    <row r="77" spans="1:5">
      <c r="A77" s="11" t="s">
        <v>190</v>
      </c>
      <c r="C77" s="129">
        <f>'General assumptions'!D20</f>
        <v>0.10422960725075529</v>
      </c>
      <c r="E77" s="1" t="s">
        <v>188</v>
      </c>
    </row>
    <row r="78" spans="1:5">
      <c r="A78" s="11" t="s">
        <v>191</v>
      </c>
      <c r="C78" s="129">
        <f>'General assumptions'!D21</f>
        <v>0.89577039274924464</v>
      </c>
      <c r="E78" s="1" t="s">
        <v>188</v>
      </c>
    </row>
    <row r="79" spans="1:5">
      <c r="A79" s="11" t="s">
        <v>192</v>
      </c>
      <c r="C79" s="13">
        <f>'General assumptions'!D22</f>
        <v>60</v>
      </c>
      <c r="E79" s="1" t="s">
        <v>188</v>
      </c>
    </row>
    <row r="80" spans="1:5">
      <c r="A80" s="11" t="s">
        <v>193</v>
      </c>
      <c r="C80" s="123">
        <f>'General assumptions'!D25</f>
        <v>1000</v>
      </c>
      <c r="E80" s="1" t="s">
        <v>194</v>
      </c>
    </row>
    <row r="81" spans="1:5">
      <c r="A81" s="11" t="s">
        <v>195</v>
      </c>
      <c r="C81" s="123">
        <f>'General assumptions'!D26</f>
        <v>1000</v>
      </c>
      <c r="E81" s="1" t="s">
        <v>194</v>
      </c>
    </row>
    <row r="82" spans="1:5">
      <c r="A82" s="11" t="s">
        <v>196</v>
      </c>
      <c r="C82" s="123">
        <f>'General assumptions'!D27</f>
        <v>60</v>
      </c>
      <c r="E82" s="1" t="s">
        <v>194</v>
      </c>
    </row>
    <row r="83" spans="1:5">
      <c r="A83" s="11" t="s">
        <v>197</v>
      </c>
      <c r="C83" s="123">
        <f>'General assumptions'!D28</f>
        <v>7</v>
      </c>
      <c r="E83" s="1" t="s">
        <v>194</v>
      </c>
    </row>
    <row r="84" spans="1:5">
      <c r="A84" s="11" t="s">
        <v>198</v>
      </c>
      <c r="C84" s="123">
        <f>'General assumptions'!D29</f>
        <v>52</v>
      </c>
      <c r="E84" s="1" t="s">
        <v>194</v>
      </c>
    </row>
    <row r="85" spans="1:5">
      <c r="A85" s="11" t="s">
        <v>199</v>
      </c>
      <c r="C85" s="123">
        <f>'General assumptions'!D30</f>
        <v>12</v>
      </c>
      <c r="E85" s="1" t="s">
        <v>194</v>
      </c>
    </row>
    <row r="86" spans="1:5">
      <c r="A86" s="11" t="s">
        <v>200</v>
      </c>
      <c r="C86" s="123">
        <f>'General assumptions'!D33</f>
        <v>7</v>
      </c>
      <c r="E86" s="1" t="s">
        <v>201</v>
      </c>
    </row>
    <row r="87" spans="1:5">
      <c r="A87" s="11" t="s">
        <v>202</v>
      </c>
      <c r="C87" s="123">
        <f>'General assumptions'!D34</f>
        <v>35</v>
      </c>
      <c r="E87" s="1" t="s">
        <v>201</v>
      </c>
    </row>
    <row r="88" spans="1:5">
      <c r="A88" s="11" t="s">
        <v>198</v>
      </c>
      <c r="C88" s="123">
        <f>'General assumptions'!D35</f>
        <v>52</v>
      </c>
      <c r="E88" s="1" t="s">
        <v>201</v>
      </c>
    </row>
    <row r="89" spans="1:5">
      <c r="A89" s="11" t="s">
        <v>203</v>
      </c>
      <c r="C89" s="123">
        <f>'General assumptions'!D36</f>
        <v>220</v>
      </c>
      <c r="E89" s="1" t="s">
        <v>201</v>
      </c>
    </row>
    <row r="90" spans="1:5">
      <c r="A90" s="11" t="s">
        <v>204</v>
      </c>
      <c r="C90" s="123">
        <f>'General assumptions'!D37</f>
        <v>10.75</v>
      </c>
      <c r="E90" s="1" t="s">
        <v>201</v>
      </c>
    </row>
    <row r="91" spans="1:5">
      <c r="A91" s="1" t="s">
        <v>205</v>
      </c>
      <c r="C91" s="70">
        <f>'General assumptions'!D40</f>
        <v>3.5000000000000003E-2</v>
      </c>
      <c r="E91" s="1" t="s">
        <v>206</v>
      </c>
    </row>
    <row r="92" spans="1:5">
      <c r="A92" s="1" t="s">
        <v>207</v>
      </c>
      <c r="C92" s="70">
        <f>'General assumptions'!D41</f>
        <v>0.02</v>
      </c>
      <c r="E92" s="1" t="s">
        <v>206</v>
      </c>
    </row>
    <row r="93" spans="1:5">
      <c r="A93" s="38" t="s">
        <v>208</v>
      </c>
      <c r="B93" s="1" t="e">
        <f>'General assumptions'!#REF!</f>
        <v>#REF!</v>
      </c>
      <c r="C93" s="1" t="e">
        <f>'General assumptions'!#REF!</f>
        <v>#REF!</v>
      </c>
      <c r="D93" s="1" t="e">
        <f>'General assumptions'!#REF!</f>
        <v>#REF!</v>
      </c>
      <c r="E93" s="1" t="s">
        <v>209</v>
      </c>
    </row>
    <row r="94" spans="1:5">
      <c r="A94" s="38" t="s">
        <v>210</v>
      </c>
      <c r="B94" s="70">
        <f>'General assumptions'!C46</f>
        <v>0.3</v>
      </c>
      <c r="C94" s="70">
        <f>'General assumptions'!D46</f>
        <v>0.2</v>
      </c>
      <c r="D94" s="70">
        <f>'General assumptions'!E46</f>
        <v>0.1</v>
      </c>
      <c r="E94" s="1" t="s">
        <v>209</v>
      </c>
    </row>
    <row r="95" spans="1:5">
      <c r="A95" s="38" t="s">
        <v>211</v>
      </c>
      <c r="B95" s="70">
        <f>'General assumptions'!C47</f>
        <v>0.24199999999999999</v>
      </c>
      <c r="C95" s="70">
        <f>'General assumptions'!D47</f>
        <v>7.5999999999999998E-2</v>
      </c>
      <c r="D95" s="70">
        <f>'General assumptions'!E47</f>
        <v>0</v>
      </c>
      <c r="E95" s="1" t="s">
        <v>209</v>
      </c>
    </row>
    <row r="96" spans="1:5">
      <c r="A96" s="1" t="s">
        <v>212</v>
      </c>
      <c r="C96" s="94">
        <f>'General assumptions'!D50</f>
        <v>69.278660000000002</v>
      </c>
      <c r="E96" s="1" t="s">
        <v>213</v>
      </c>
    </row>
    <row r="97" spans="1:5">
      <c r="A97" s="1" t="s">
        <v>214</v>
      </c>
      <c r="C97" s="94">
        <f>'General assumptions'!D51</f>
        <v>386</v>
      </c>
      <c r="E97" s="1" t="s">
        <v>213</v>
      </c>
    </row>
    <row r="98" spans="1:5">
      <c r="A98" s="1" t="s">
        <v>215</v>
      </c>
      <c r="C98" s="94">
        <f>'General assumptions'!D52</f>
        <v>586</v>
      </c>
      <c r="E98" s="1" t="s">
        <v>213</v>
      </c>
    </row>
    <row r="99" spans="1:5">
      <c r="A99" s="1" t="s">
        <v>216</v>
      </c>
      <c r="C99" s="94">
        <f>'General assumptions'!D54</f>
        <v>21.38</v>
      </c>
      <c r="E99" s="1" t="s">
        <v>213</v>
      </c>
    </row>
    <row r="100" spans="1:5">
      <c r="A100" s="1" t="s">
        <v>217</v>
      </c>
      <c r="C100" s="1">
        <f>'General assumptions'!D57</f>
        <v>113</v>
      </c>
      <c r="E100" s="1" t="s">
        <v>218</v>
      </c>
    </row>
    <row r="101" spans="1:5">
      <c r="A101" s="1" t="s">
        <v>219</v>
      </c>
      <c r="C101" s="1">
        <f>'General assumptions'!D58</f>
        <v>89</v>
      </c>
      <c r="E101" s="1" t="s">
        <v>218</v>
      </c>
    </row>
    <row r="102" spans="1:5">
      <c r="A102" s="1" t="s">
        <v>220</v>
      </c>
      <c r="C102" s="1">
        <f>'General assumptions'!D60</f>
        <v>27</v>
      </c>
      <c r="E102" s="1" t="s">
        <v>218</v>
      </c>
    </row>
    <row r="103" spans="1:5">
      <c r="A103" s="1" t="s">
        <v>221</v>
      </c>
      <c r="C103" s="1">
        <f>'General assumptions'!D63</f>
        <v>385</v>
      </c>
      <c r="E103" s="1" t="s">
        <v>222</v>
      </c>
    </row>
    <row r="104" spans="1:5">
      <c r="A104" s="1" t="s">
        <v>223</v>
      </c>
      <c r="C104" s="1">
        <f>'General assumptions'!D64</f>
        <v>10.5</v>
      </c>
      <c r="E104" s="1" t="s">
        <v>222</v>
      </c>
    </row>
    <row r="105" spans="1:5">
      <c r="A105" s="1" t="s">
        <v>224</v>
      </c>
      <c r="C105" s="1">
        <f>'General assumptions'!D65</f>
        <v>275</v>
      </c>
      <c r="E105" s="1" t="s">
        <v>222</v>
      </c>
    </row>
    <row r="106" spans="1:5">
      <c r="A106" s="1" t="s">
        <v>225</v>
      </c>
      <c r="C106" s="1">
        <f>'General assumptions'!D66</f>
        <v>10</v>
      </c>
      <c r="E106" s="1" t="s">
        <v>222</v>
      </c>
    </row>
    <row r="107" spans="1:5">
      <c r="A107" s="1" t="s">
        <v>226</v>
      </c>
      <c r="C107" s="1">
        <f>'General assumptions'!D67</f>
        <v>60</v>
      </c>
      <c r="E107" s="1" t="s">
        <v>222</v>
      </c>
    </row>
    <row r="108" spans="1:5">
      <c r="A108" s="1" t="s">
        <v>227</v>
      </c>
      <c r="C108" s="1">
        <f>'General assumptions'!D68</f>
        <v>115</v>
      </c>
      <c r="E108" s="1" t="s">
        <v>222</v>
      </c>
    </row>
    <row r="109" spans="1:5">
      <c r="A109" s="1" t="s">
        <v>228</v>
      </c>
      <c r="C109" s="58">
        <f>'General assumptions'!D71</f>
        <v>2.9000000000000001E-2</v>
      </c>
      <c r="E109" s="1" t="s">
        <v>229</v>
      </c>
    </row>
    <row r="110" spans="1:5">
      <c r="A110" s="1" t="s">
        <v>230</v>
      </c>
      <c r="C110" s="58">
        <f>'General assumptions'!D72</f>
        <v>0.224</v>
      </c>
      <c r="E110" s="1" t="s">
        <v>229</v>
      </c>
    </row>
    <row r="111" spans="1:5">
      <c r="A111" s="1" t="s">
        <v>231</v>
      </c>
      <c r="C111" s="58">
        <f>'General assumptions'!D73</f>
        <v>8.9999999999999993E-3</v>
      </c>
      <c r="E111" s="1" t="s">
        <v>229</v>
      </c>
    </row>
    <row r="112" spans="1:5">
      <c r="A112" s="1" t="s">
        <v>232</v>
      </c>
      <c r="C112" s="58">
        <f>'General assumptions'!D74</f>
        <v>0.23100000000000001</v>
      </c>
      <c r="E112" s="1" t="s">
        <v>229</v>
      </c>
    </row>
    <row r="113" spans="1:5">
      <c r="A113" s="1" t="s">
        <v>233</v>
      </c>
      <c r="C113" s="58">
        <f>'General assumptions'!D75</f>
        <v>0.17</v>
      </c>
      <c r="E113" s="1" t="s">
        <v>229</v>
      </c>
    </row>
    <row r="114" spans="1:5">
      <c r="A114" s="1" t="s">
        <v>234</v>
      </c>
      <c r="C114" s="58">
        <f>'General assumptions'!D76</f>
        <v>7.5999999999999998E-2</v>
      </c>
      <c r="E114" s="1" t="s">
        <v>229</v>
      </c>
    </row>
    <row r="115" spans="1:5">
      <c r="A115" s="1" t="s">
        <v>235</v>
      </c>
      <c r="C115" s="1">
        <f>'General assumptions'!D79</f>
        <v>3.577</v>
      </c>
      <c r="E115" s="1" t="s">
        <v>236</v>
      </c>
    </row>
    <row r="116" spans="1:5">
      <c r="A116" s="1" t="s">
        <v>237</v>
      </c>
      <c r="C116" s="1">
        <f>'General assumptions'!D80</f>
        <v>0.314</v>
      </c>
      <c r="E116" s="1" t="s">
        <v>236</v>
      </c>
    </row>
    <row r="117" spans="1:5">
      <c r="A117" s="1" t="s">
        <v>238</v>
      </c>
      <c r="C117" s="1">
        <f>'General assumptions'!D81</f>
        <v>0.45200000000000001</v>
      </c>
      <c r="E117" s="1" t="s">
        <v>236</v>
      </c>
    </row>
    <row r="118" spans="1:5">
      <c r="A118" s="1" t="s">
        <v>239</v>
      </c>
      <c r="C118" s="1">
        <f>'General assumptions'!D82</f>
        <v>0.45900000000000002</v>
      </c>
      <c r="E118" s="1" t="s">
        <v>236</v>
      </c>
    </row>
    <row r="119" spans="1:5">
      <c r="A119" s="1" t="s">
        <v>240</v>
      </c>
      <c r="C119" s="1">
        <f>'General assumptions'!D83</f>
        <v>0.12</v>
      </c>
      <c r="E119" s="1" t="s">
        <v>236</v>
      </c>
    </row>
    <row r="120" spans="1:5">
      <c r="A120" s="1" t="s">
        <v>241</v>
      </c>
      <c r="C120" s="1">
        <f>'General assumptions'!D84</f>
        <v>1.024</v>
      </c>
      <c r="E120" s="1" t="s">
        <v>236</v>
      </c>
    </row>
    <row r="121" spans="1:5">
      <c r="A121" s="1" t="s">
        <v>242</v>
      </c>
      <c r="C121" s="1">
        <f>'General assumptions'!D87</f>
        <v>10.1</v>
      </c>
      <c r="E121" s="1" t="s">
        <v>243</v>
      </c>
    </row>
    <row r="122" spans="1:5">
      <c r="A122" s="1" t="s">
        <v>244</v>
      </c>
      <c r="C122" s="1">
        <f>'General assumptions'!D88</f>
        <v>1</v>
      </c>
      <c r="E122" s="1" t="s">
        <v>243</v>
      </c>
    </row>
    <row r="123" spans="1:5">
      <c r="A123" s="1" t="s">
        <v>245</v>
      </c>
      <c r="C123" s="1">
        <f>'General assumptions'!D89</f>
        <v>1</v>
      </c>
      <c r="E123" s="1" t="s">
        <v>243</v>
      </c>
    </row>
    <row r="124" spans="1:5">
      <c r="A124" s="1" t="s">
        <v>246</v>
      </c>
      <c r="C124" s="4">
        <f>'General assumptions'!D90</f>
        <v>0.98104925053533176</v>
      </c>
      <c r="E124" s="1" t="s">
        <v>243</v>
      </c>
    </row>
    <row r="125" spans="1:5">
      <c r="A125" s="1" t="s">
        <v>247</v>
      </c>
      <c r="C125" s="4">
        <f>'General assumptions'!D91</f>
        <v>11.253211991434688</v>
      </c>
      <c r="E125" s="1" t="s">
        <v>243</v>
      </c>
    </row>
    <row r="126" spans="1:5">
      <c r="A126" s="1" t="s">
        <v>248</v>
      </c>
      <c r="C126" s="70">
        <f>'General assumptions'!D92</f>
        <v>0.1</v>
      </c>
      <c r="E126" s="1" t="s">
        <v>243</v>
      </c>
    </row>
    <row r="127" spans="1:5">
      <c r="A127" s="38" t="s">
        <v>249</v>
      </c>
      <c r="E127" s="1" t="s">
        <v>250</v>
      </c>
    </row>
    <row r="128" spans="1:5">
      <c r="A128" s="38" t="s">
        <v>251</v>
      </c>
      <c r="E128" s="1" t="s">
        <v>250</v>
      </c>
    </row>
    <row r="129" spans="1:5">
      <c r="A129" s="38" t="s">
        <v>252</v>
      </c>
      <c r="E129" s="1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4C7E-9EC0-4550-8790-78371C5BFBCD}">
  <sheetPr>
    <tabColor theme="1"/>
  </sheetPr>
  <dimension ref="A1"/>
  <sheetViews>
    <sheetView workbookViewId="0"/>
  </sheetViews>
  <sheetFormatPr defaultColWidth="9.140625" defaultRowHeight="15"/>
  <cols>
    <col min="1" max="16384" width="9.140625" style="43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404B-CB15-42FF-B807-B121B1D205F1}">
  <sheetPr>
    <tabColor theme="7" tint="0.79998168889431442"/>
  </sheetPr>
  <dimension ref="A1:F100"/>
  <sheetViews>
    <sheetView zoomScaleNormal="100" workbookViewId="0">
      <selection activeCell="B13" sqref="B13"/>
    </sheetView>
  </sheetViews>
  <sheetFormatPr defaultColWidth="9.140625" defaultRowHeight="11.25"/>
  <cols>
    <col min="1" max="1" width="48.42578125" style="1" customWidth="1"/>
    <col min="2" max="2" width="19.85546875" style="1" customWidth="1"/>
    <col min="3" max="3" width="9.85546875" style="1" bestFit="1" customWidth="1"/>
    <col min="4" max="16384" width="9.140625" style="1"/>
  </cols>
  <sheetData>
    <row r="1" spans="1:5" s="27" customFormat="1">
      <c r="A1" s="26" t="s">
        <v>253</v>
      </c>
    </row>
    <row r="3" spans="1:5">
      <c r="A3" s="1" t="s">
        <v>254</v>
      </c>
      <c r="B3" s="24"/>
    </row>
    <row r="4" spans="1:5">
      <c r="A4" s="1" t="s">
        <v>255</v>
      </c>
      <c r="B4" s="29"/>
    </row>
    <row r="5" spans="1:5">
      <c r="B5" s="38"/>
    </row>
    <row r="6" spans="1:5" s="27" customFormat="1">
      <c r="A6" s="26" t="s">
        <v>256</v>
      </c>
    </row>
    <row r="7" spans="1:5" s="38" customFormat="1">
      <c r="A7" s="60"/>
    </row>
    <row r="8" spans="1:5" s="38" customFormat="1">
      <c r="A8" s="33" t="s">
        <v>3</v>
      </c>
      <c r="B8" s="29" t="str">
        <f>Simplified!B4</f>
        <v>Hackney</v>
      </c>
      <c r="C8" s="120"/>
    </row>
    <row r="9" spans="1:5">
      <c r="A9" s="10"/>
      <c r="D9" s="1" t="s">
        <v>20</v>
      </c>
      <c r="E9" s="1" t="s">
        <v>257</v>
      </c>
    </row>
    <row r="10" spans="1:5">
      <c r="A10" s="33" t="s">
        <v>179</v>
      </c>
      <c r="B10" s="116" t="str">
        <f>Simplified!B12</f>
        <v>High</v>
      </c>
      <c r="D10" s="1" t="s">
        <v>258</v>
      </c>
      <c r="E10" s="1" t="s">
        <v>259</v>
      </c>
    </row>
    <row r="11" spans="1:5">
      <c r="A11" s="10"/>
      <c r="D11" s="1" t="s">
        <v>16</v>
      </c>
      <c r="E11" s="1" t="s">
        <v>260</v>
      </c>
    </row>
    <row r="12" spans="1:5">
      <c r="A12" s="1" t="s">
        <v>261</v>
      </c>
      <c r="B12" s="30">
        <f>Costs!B9</f>
        <v>15000</v>
      </c>
    </row>
    <row r="13" spans="1:5">
      <c r="A13" s="1" t="s">
        <v>262</v>
      </c>
      <c r="B13" s="30">
        <f>INDEX('London Boroughs specific'!$T$2:$T$34,MATCH($B$8,'London Boroughs specific'!$B$2:$B$34,0))*'General assumptions'!D26</f>
        <v>131.56805640711215</v>
      </c>
    </row>
    <row r="14" spans="1:5">
      <c r="A14" s="38" t="s">
        <v>263</v>
      </c>
      <c r="B14" s="70">
        <f>INDEX('General assumptions'!$C$46:$E$46,MATCH($B$10,'General assumptions'!$C$45:$E$45,0))</f>
        <v>0.3</v>
      </c>
    </row>
    <row r="15" spans="1:5">
      <c r="A15" s="1" t="s">
        <v>264</v>
      </c>
      <c r="B15" s="30">
        <f>B13*B14</f>
        <v>39.470416922133644</v>
      </c>
    </row>
    <row r="16" spans="1:5">
      <c r="A16" s="33" t="s">
        <v>265</v>
      </c>
      <c r="B16" s="57">
        <f>B12*B15/'General assumptions'!D26</f>
        <v>592.05625383200459</v>
      </c>
    </row>
    <row r="17" spans="1:5" s="38" customFormat="1">
      <c r="A17" s="60"/>
      <c r="B17" s="72"/>
    </row>
    <row r="18" spans="1:5" s="38" customFormat="1">
      <c r="A18" s="60"/>
      <c r="B18" s="72"/>
      <c r="D18" s="1" t="s">
        <v>20</v>
      </c>
      <c r="E18" s="38" t="s">
        <v>266</v>
      </c>
    </row>
    <row r="19" spans="1:5" s="38" customFormat="1">
      <c r="A19" s="33" t="s">
        <v>180</v>
      </c>
      <c r="B19" s="116" t="str">
        <f>Simplified!B13</f>
        <v>High</v>
      </c>
      <c r="D19" s="1" t="s">
        <v>258</v>
      </c>
      <c r="E19" s="38" t="s">
        <v>267</v>
      </c>
    </row>
    <row r="20" spans="1:5" s="38" customFormat="1">
      <c r="A20" s="60"/>
      <c r="B20" s="72"/>
      <c r="D20" s="1" t="s">
        <v>16</v>
      </c>
      <c r="E20" s="38" t="s">
        <v>268</v>
      </c>
    </row>
    <row r="21" spans="1:5" s="38" customFormat="1">
      <c r="A21" s="38" t="s">
        <v>269</v>
      </c>
      <c r="B21" s="76" cm="1">
        <f t="array" ref="B21">INDEX('General assumptions'!$C$47:$E$47,,MATCH(Benefits!$B$19,'General assumptions'!$C$45:$E$45,0))</f>
        <v>0.24199999999999999</v>
      </c>
    </row>
    <row r="22" spans="1:5" s="38" customFormat="1">
      <c r="A22" s="38" t="s">
        <v>270</v>
      </c>
      <c r="B22" s="115">
        <f>INDEX('London Boroughs specific'!$T$2:$T$34,MATCH($B$8,'London Boroughs specific'!$B$2:$B$34,0))*'General assumptions'!D26</f>
        <v>131.56805640711215</v>
      </c>
    </row>
    <row r="23" spans="1:5" s="38" customFormat="1">
      <c r="A23" s="38" t="s">
        <v>271</v>
      </c>
      <c r="B23" s="74">
        <f>B21*B22</f>
        <v>31.839469650521139</v>
      </c>
    </row>
    <row r="24" spans="1:5" s="38" customFormat="1">
      <c r="A24" s="33" t="s">
        <v>272</v>
      </c>
      <c r="B24" s="57">
        <f>B23*B12/'General assumptions'!D26</f>
        <v>477.59204475781706</v>
      </c>
    </row>
    <row r="25" spans="1:5" s="38" customFormat="1">
      <c r="A25" s="60"/>
      <c r="B25" s="61"/>
    </row>
    <row r="26" spans="1:5" s="27" customFormat="1">
      <c r="A26" s="26" t="s">
        <v>273</v>
      </c>
    </row>
    <row r="27" spans="1:5">
      <c r="A27" s="10"/>
    </row>
    <row r="28" spans="1:5" s="65" customFormat="1">
      <c r="A28" s="64" t="s">
        <v>274</v>
      </c>
      <c r="D28" s="65" t="s">
        <v>275</v>
      </c>
    </row>
    <row r="29" spans="1:5">
      <c r="A29" s="38" t="s">
        <v>276</v>
      </c>
      <c r="B29" s="55">
        <f>B16</f>
        <v>592.05625383200459</v>
      </c>
    </row>
    <row r="30" spans="1:5">
      <c r="A30" s="38" t="s">
        <v>277</v>
      </c>
      <c r="B30" s="55">
        <f>B24</f>
        <v>477.59204475781706</v>
      </c>
    </row>
    <row r="31" spans="1:5">
      <c r="A31" s="24" t="s">
        <v>41</v>
      </c>
      <c r="B31" s="118" t="str">
        <f>Simplified!B29</f>
        <v>Mix (London average)</v>
      </c>
    </row>
    <row r="32" spans="1:5">
      <c r="A32" s="91" t="s">
        <v>278</v>
      </c>
      <c r="B32" s="144">
        <f>INDEX('General assumptions'!$D$51:$D$53,MATCH(Benefits!$B$31,'General assumptions'!$A$51:$A$53,0))</f>
        <v>406.84592145015102</v>
      </c>
    </row>
    <row r="33" spans="1:4">
      <c r="A33" s="91" t="s">
        <v>279</v>
      </c>
      <c r="B33" s="92">
        <f>'General assumptions'!D54</f>
        <v>21.38</v>
      </c>
    </row>
    <row r="34" spans="1:4">
      <c r="A34" s="91" t="s">
        <v>280</v>
      </c>
      <c r="B34" s="145">
        <f>SUM($B$29:$B$30)*B32</f>
        <v>435182.04766736232</v>
      </c>
    </row>
    <row r="35" spans="1:4">
      <c r="A35" s="38" t="s">
        <v>281</v>
      </c>
      <c r="B35" s="146">
        <f>SUM(B29:B30)*B33</f>
        <v>22869.080623850386</v>
      </c>
      <c r="C35" s="1" t="s">
        <v>282</v>
      </c>
    </row>
    <row r="36" spans="1:4">
      <c r="A36" s="38" t="s">
        <v>283</v>
      </c>
      <c r="B36" s="93">
        <f>'General assumptions'!D50/'General assumptions'!D26</f>
        <v>6.9278660000000006E-2</v>
      </c>
    </row>
    <row r="37" spans="1:4">
      <c r="A37" s="33" t="s">
        <v>87</v>
      </c>
      <c r="B37" s="56">
        <f>(B34-B35)*B36</f>
        <v>28564.489857398668</v>
      </c>
    </row>
    <row r="39" spans="1:4">
      <c r="A39" s="60" t="s">
        <v>284</v>
      </c>
      <c r="B39" s="38"/>
      <c r="C39" s="38"/>
      <c r="D39" s="38"/>
    </row>
    <row r="40" spans="1:4">
      <c r="A40" s="38" t="s">
        <v>276</v>
      </c>
      <c r="B40" s="55">
        <f>B16</f>
        <v>592.05625383200459</v>
      </c>
      <c r="C40" s="38"/>
      <c r="D40" s="38"/>
    </row>
    <row r="41" spans="1:4">
      <c r="A41" s="38" t="s">
        <v>277</v>
      </c>
      <c r="B41" s="55">
        <f>B24</f>
        <v>477.59204475781706</v>
      </c>
      <c r="C41" s="38"/>
      <c r="D41" s="38"/>
    </row>
    <row r="42" spans="1:4">
      <c r="A42" s="38" t="s">
        <v>285</v>
      </c>
      <c r="B42" s="38"/>
      <c r="C42" s="38" t="s">
        <v>286</v>
      </c>
      <c r="D42" s="38" t="s">
        <v>287</v>
      </c>
    </row>
    <row r="43" spans="1:4">
      <c r="A43" s="38" t="s">
        <v>288</v>
      </c>
      <c r="B43" s="55">
        <f>($B$40+$B$41)*C43</f>
        <v>31.019800659104831</v>
      </c>
      <c r="C43" s="89">
        <f>'General assumptions'!D71</f>
        <v>2.9000000000000001E-2</v>
      </c>
      <c r="D43" s="131">
        <f>'General assumptions'!D79</f>
        <v>3.577</v>
      </c>
    </row>
    <row r="44" spans="1:4">
      <c r="A44" s="38" t="s">
        <v>289</v>
      </c>
      <c r="B44" s="55">
        <f t="shared" ref="B44:B48" si="0">($B$40+$B$41)*C44</f>
        <v>239.60121888412007</v>
      </c>
      <c r="C44" s="89">
        <f>'General assumptions'!D72</f>
        <v>0.224</v>
      </c>
      <c r="D44" s="131">
        <f>'General assumptions'!D80</f>
        <v>0.314</v>
      </c>
    </row>
    <row r="45" spans="1:4">
      <c r="A45" s="38" t="s">
        <v>290</v>
      </c>
      <c r="B45" s="55">
        <f>($B$40+$B$41)*C45</f>
        <v>9.6268346873083939</v>
      </c>
      <c r="C45" s="89">
        <f>'General assumptions'!D73</f>
        <v>8.9999999999999993E-3</v>
      </c>
      <c r="D45" s="131">
        <f>'General assumptions'!D81</f>
        <v>0.45200000000000001</v>
      </c>
    </row>
    <row r="46" spans="1:4">
      <c r="A46" s="38" t="s">
        <v>291</v>
      </c>
      <c r="B46" s="55">
        <f t="shared" si="0"/>
        <v>247.08875697424884</v>
      </c>
      <c r="C46" s="89">
        <f>'General assumptions'!D74</f>
        <v>0.23100000000000001</v>
      </c>
      <c r="D46" s="131">
        <f>'General assumptions'!D82</f>
        <v>0.45900000000000002</v>
      </c>
    </row>
    <row r="47" spans="1:4">
      <c r="A47" s="38" t="s">
        <v>292</v>
      </c>
      <c r="B47" s="55">
        <f t="shared" si="0"/>
        <v>181.84021076026971</v>
      </c>
      <c r="C47" s="89">
        <f>'General assumptions'!D75</f>
        <v>0.17</v>
      </c>
      <c r="D47" s="131">
        <f>'General assumptions'!D83</f>
        <v>0.12</v>
      </c>
    </row>
    <row r="48" spans="1:4">
      <c r="A48" s="38" t="s">
        <v>293</v>
      </c>
      <c r="B48" s="55">
        <f t="shared" si="0"/>
        <v>81.293270692826454</v>
      </c>
      <c r="C48" s="89">
        <f>'General assumptions'!D76</f>
        <v>7.5999999999999998E-2</v>
      </c>
      <c r="D48" s="131">
        <f>'General assumptions'!D84</f>
        <v>1.024</v>
      </c>
    </row>
    <row r="49" spans="1:6">
      <c r="A49" s="38"/>
      <c r="B49" s="55"/>
      <c r="C49" s="89"/>
      <c r="D49" s="131"/>
    </row>
    <row r="50" spans="1:6">
      <c r="A50" s="38" t="s">
        <v>294</v>
      </c>
      <c r="B50" s="55">
        <f>SUMPRODUCT($B$43:$B$48,$D$43:$D$48)</f>
        <v>409.02281289776192</v>
      </c>
      <c r="C50" s="89"/>
      <c r="D50" s="38"/>
    </row>
    <row r="51" spans="1:6">
      <c r="A51" s="38" t="s">
        <v>283</v>
      </c>
      <c r="B51" s="90">
        <f>'General assumptions'!D50/'General assumptions'!D26</f>
        <v>6.9278660000000006E-2</v>
      </c>
      <c r="C51" s="89"/>
      <c r="D51" s="38"/>
    </row>
    <row r="52" spans="1:6">
      <c r="A52" s="33" t="s">
        <v>87</v>
      </c>
      <c r="B52" s="56">
        <f>B50*B51*1000</f>
        <v>28336.552386987667</v>
      </c>
      <c r="C52" s="8" t="s">
        <v>295</v>
      </c>
      <c r="D52" s="38"/>
    </row>
    <row r="54" spans="1:6" s="65" customFormat="1">
      <c r="A54" s="64" t="s">
        <v>296</v>
      </c>
    </row>
    <row r="55" spans="1:6">
      <c r="A55" s="1" t="s">
        <v>276</v>
      </c>
      <c r="B55" s="55">
        <f>B16</f>
        <v>592.05625383200459</v>
      </c>
    </row>
    <row r="56" spans="1:6">
      <c r="A56" s="1" t="s">
        <v>277</v>
      </c>
      <c r="B56" s="55">
        <f>B24</f>
        <v>477.59204475781706</v>
      </c>
    </row>
    <row r="57" spans="1:6">
      <c r="A57" s="21" t="s">
        <v>101</v>
      </c>
      <c r="B57" s="22"/>
    </row>
    <row r="58" spans="1:6">
      <c r="A58" s="21" t="s">
        <v>297</v>
      </c>
      <c r="B58" s="23">
        <f>(B55+B56)*'General assumptions'!D20</f>
        <v>111.48902205845575</v>
      </c>
    </row>
    <row r="59" spans="1:6">
      <c r="A59" s="21" t="s">
        <v>298</v>
      </c>
      <c r="B59" s="23">
        <f>(B55+B56)*'General assumptions'!D21</f>
        <v>958.15927653136589</v>
      </c>
    </row>
    <row r="60" spans="1:6">
      <c r="A60" s="1" t="s">
        <v>299</v>
      </c>
      <c r="B60" s="25">
        <f>B58*'General assumptions'!D57</f>
        <v>12598.259492605499</v>
      </c>
    </row>
    <row r="61" spans="1:6">
      <c r="A61" s="1" t="s">
        <v>300</v>
      </c>
      <c r="B61" s="25">
        <f>B59*'General assumptions'!D58</f>
        <v>85276.175611291561</v>
      </c>
    </row>
    <row r="62" spans="1:6">
      <c r="A62" s="1" t="s">
        <v>301</v>
      </c>
      <c r="B62" s="25"/>
    </row>
    <row r="63" spans="1:6">
      <c r="A63" s="1" t="s">
        <v>302</v>
      </c>
      <c r="B63" s="25">
        <f>SUM(B55:B56)*'General assumptions'!D60</f>
        <v>28880.504061925185</v>
      </c>
    </row>
    <row r="64" spans="1:6">
      <c r="A64" s="33" t="s">
        <v>303</v>
      </c>
      <c r="B64" s="57">
        <f>B60+B61-B63</f>
        <v>68993.931041971882</v>
      </c>
      <c r="C64" s="38"/>
      <c r="D64" s="38"/>
      <c r="E64" s="38"/>
      <c r="F64" s="38"/>
    </row>
    <row r="66" spans="1:5" s="65" customFormat="1">
      <c r="A66" s="64" t="s">
        <v>112</v>
      </c>
    </row>
    <row r="67" spans="1:5">
      <c r="A67" s="1" t="s">
        <v>276</v>
      </c>
      <c r="B67" s="55">
        <f>B16</f>
        <v>592.05625383200459</v>
      </c>
    </row>
    <row r="68" spans="1:5">
      <c r="A68" s="1" t="s">
        <v>277</v>
      </c>
      <c r="B68" s="55">
        <f>B24</f>
        <v>477.59204475781706</v>
      </c>
    </row>
    <row r="69" spans="1:5">
      <c r="A69" s="1" t="s">
        <v>101</v>
      </c>
      <c r="C69" s="1" t="s">
        <v>304</v>
      </c>
      <c r="D69" s="1" t="s">
        <v>229</v>
      </c>
    </row>
    <row r="70" spans="1:5">
      <c r="A70" s="1" t="s">
        <v>288</v>
      </c>
      <c r="B70" s="55">
        <f>($B$67+$B$68)*D70</f>
        <v>31.019800659104831</v>
      </c>
      <c r="C70" s="1">
        <f>'General assumptions'!D63</f>
        <v>385</v>
      </c>
      <c r="D70" s="59">
        <f>'General assumptions'!D71</f>
        <v>2.9000000000000001E-2</v>
      </c>
    </row>
    <row r="71" spans="1:5">
      <c r="A71" s="1" t="s">
        <v>289</v>
      </c>
      <c r="B71" s="55">
        <f t="shared" ref="B71:B75" si="1">($B$67+$B$68)*D71</f>
        <v>239.60121888412007</v>
      </c>
      <c r="C71" s="1">
        <f>'General assumptions'!D64</f>
        <v>10.5</v>
      </c>
      <c r="D71" s="59">
        <f>'General assumptions'!D72</f>
        <v>0.224</v>
      </c>
    </row>
    <row r="72" spans="1:5">
      <c r="A72" s="1" t="s">
        <v>290</v>
      </c>
      <c r="B72" s="55">
        <f t="shared" si="1"/>
        <v>9.6268346873083939</v>
      </c>
      <c r="C72" s="1">
        <f>'General assumptions'!D65</f>
        <v>275</v>
      </c>
      <c r="D72" s="59">
        <f>'General assumptions'!D73</f>
        <v>8.9999999999999993E-3</v>
      </c>
    </row>
    <row r="73" spans="1:5">
      <c r="A73" s="1" t="s">
        <v>291</v>
      </c>
      <c r="B73" s="55">
        <f t="shared" si="1"/>
        <v>247.08875697424884</v>
      </c>
      <c r="C73" s="1">
        <f>'General assumptions'!D66</f>
        <v>10</v>
      </c>
      <c r="D73" s="59">
        <f>'General assumptions'!D74</f>
        <v>0.23100000000000001</v>
      </c>
    </row>
    <row r="74" spans="1:5">
      <c r="A74" s="1" t="s">
        <v>292</v>
      </c>
      <c r="B74" s="55">
        <f t="shared" si="1"/>
        <v>181.84021076026971</v>
      </c>
      <c r="C74" s="1">
        <f>'General assumptions'!D67</f>
        <v>60</v>
      </c>
      <c r="D74" s="59">
        <f>'General assumptions'!D75</f>
        <v>0.17</v>
      </c>
    </row>
    <row r="75" spans="1:5">
      <c r="A75" s="1" t="s">
        <v>293</v>
      </c>
      <c r="B75" s="55">
        <f t="shared" si="1"/>
        <v>81.293270692826454</v>
      </c>
      <c r="C75" s="1">
        <f>'General assumptions'!D68</f>
        <v>115</v>
      </c>
      <c r="D75" s="59">
        <f>'General assumptions'!D76</f>
        <v>7.5999999999999998E-2</v>
      </c>
    </row>
    <row r="76" spans="1:5">
      <c r="A76" s="33" t="s">
        <v>305</v>
      </c>
      <c r="B76" s="56">
        <f>SUMPRODUCT(B70:B75,C70:C75)</f>
        <v>39835.841936082143</v>
      </c>
      <c r="D76" s="59">
        <f>SUM(D70:D75)</f>
        <v>0.73899999999999999</v>
      </c>
    </row>
    <row r="77" spans="1:5" ht="10.5" customHeight="1"/>
    <row r="78" spans="1:5" s="65" customFormat="1">
      <c r="A78" s="64" t="s">
        <v>306</v>
      </c>
    </row>
    <row r="79" spans="1:5">
      <c r="A79" s="8" t="s">
        <v>307</v>
      </c>
      <c r="B79" s="8"/>
      <c r="C79" s="8"/>
      <c r="D79" s="8"/>
      <c r="E79" s="8"/>
    </row>
    <row r="80" spans="1:5">
      <c r="A80" s="24" t="s">
        <v>308</v>
      </c>
      <c r="B80" s="24"/>
    </row>
    <row r="82" spans="1:3" s="65" customFormat="1">
      <c r="A82" s="64" t="s">
        <v>114</v>
      </c>
    </row>
    <row r="83" spans="1:3">
      <c r="A83" s="1" t="s">
        <v>309</v>
      </c>
      <c r="B83" s="4">
        <f>'General assumptions'!D88*'General assumptions'!D90*'General assumptions'!D30</f>
        <v>11.772591006423982</v>
      </c>
    </row>
    <row r="84" spans="1:3">
      <c r="A84" s="1" t="s">
        <v>310</v>
      </c>
      <c r="B84" s="4">
        <f>'General assumptions'!D89*'General assumptions'!D91*'General assumptions'!D30</f>
        <v>135.03854389721624</v>
      </c>
    </row>
    <row r="85" spans="1:3">
      <c r="A85" s="1" t="s">
        <v>311</v>
      </c>
      <c r="B85" s="30">
        <f>B12</f>
        <v>15000</v>
      </c>
      <c r="C85" s="1" t="s">
        <v>312</v>
      </c>
    </row>
    <row r="86" spans="1:3">
      <c r="A86" s="1" t="s">
        <v>313</v>
      </c>
      <c r="B86" s="70">
        <f>'General assumptions'!D92</f>
        <v>0.1</v>
      </c>
    </row>
    <row r="87" spans="1:3">
      <c r="A87" s="1" t="s">
        <v>314</v>
      </c>
      <c r="B87" s="30">
        <f>B83*B85*B86</f>
        <v>17658.886509635973</v>
      </c>
    </row>
    <row r="88" spans="1:3">
      <c r="A88" s="1" t="s">
        <v>315</v>
      </c>
      <c r="B88" s="30">
        <f>B84*B85*B86</f>
        <v>202557.81584582437</v>
      </c>
    </row>
    <row r="90" spans="1:3">
      <c r="A90" s="33" t="s">
        <v>95</v>
      </c>
      <c r="B90" s="63">
        <f>SUM(B87:B88)</f>
        <v>220216.70235546035</v>
      </c>
    </row>
    <row r="92" spans="1:3" s="65" customFormat="1">
      <c r="A92" s="64" t="s">
        <v>316</v>
      </c>
    </row>
    <row r="93" spans="1:3">
      <c r="A93" s="1" t="s">
        <v>317</v>
      </c>
      <c r="B93" s="34">
        <f>'General assumptions'!D87/'General assumptions'!D27</f>
        <v>0.16833333333333333</v>
      </c>
      <c r="C93" s="1" t="s">
        <v>318</v>
      </c>
    </row>
    <row r="94" spans="1:3">
      <c r="A94" s="38" t="s">
        <v>263</v>
      </c>
      <c r="B94" s="70">
        <f>B14</f>
        <v>0.3</v>
      </c>
    </row>
    <row r="95" spans="1:3">
      <c r="A95" s="1" t="s">
        <v>319</v>
      </c>
      <c r="B95" s="123">
        <f>'General assumptions'!D37</f>
        <v>10.75</v>
      </c>
    </row>
    <row r="96" spans="1:3">
      <c r="A96" s="1" t="s">
        <v>320</v>
      </c>
      <c r="B96" s="1">
        <f>Costs!B9</f>
        <v>15000</v>
      </c>
    </row>
    <row r="97" spans="1:2">
      <c r="B97" s="30"/>
    </row>
    <row r="98" spans="1:2">
      <c r="A98" s="33" t="s">
        <v>321</v>
      </c>
      <c r="B98" s="63">
        <f>B93*B94*B95*B96*'General assumptions'!D29</f>
        <v>423442.5</v>
      </c>
    </row>
    <row r="100" spans="1:2">
      <c r="A100" s="33" t="s">
        <v>322</v>
      </c>
      <c r="B100" s="57">
        <f>B37+B64+B76+B80+B90+B98</f>
        <v>781053.46519091306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1D88-B782-4799-AB8C-F366856B763E}">
  <sheetPr>
    <tabColor theme="7" tint="0.79998168889431442"/>
  </sheetPr>
  <dimension ref="A1:J191"/>
  <sheetViews>
    <sheetView topLeftCell="A143" zoomScale="130" zoomScaleNormal="130" workbookViewId="0">
      <selection activeCell="B160" sqref="B160"/>
    </sheetView>
  </sheetViews>
  <sheetFormatPr defaultColWidth="9.140625" defaultRowHeight="11.25"/>
  <cols>
    <col min="1" max="1" width="43.85546875" style="1" bestFit="1" customWidth="1"/>
    <col min="2" max="2" width="12.7109375" style="1" customWidth="1"/>
    <col min="3" max="3" width="12.28515625" style="1" customWidth="1"/>
    <col min="4" max="4" width="30.85546875" style="1" customWidth="1"/>
    <col min="5" max="5" width="18.140625" style="1" customWidth="1"/>
    <col min="6" max="13" width="12.28515625" style="1" customWidth="1"/>
    <col min="14" max="16384" width="9.140625" style="1"/>
  </cols>
  <sheetData>
    <row r="1" spans="1:8" s="27" customFormat="1">
      <c r="A1" s="26" t="s">
        <v>323</v>
      </c>
    </row>
    <row r="3" spans="1:8">
      <c r="A3" s="1" t="s">
        <v>254</v>
      </c>
      <c r="B3" s="24"/>
      <c r="D3" s="8" t="s">
        <v>324</v>
      </c>
      <c r="E3" s="8"/>
      <c r="F3" s="8"/>
      <c r="G3" s="8"/>
      <c r="H3" s="8"/>
    </row>
    <row r="4" spans="1:8">
      <c r="A4" s="1" t="s">
        <v>255</v>
      </c>
      <c r="B4" s="29"/>
    </row>
    <row r="6" spans="1:8">
      <c r="A6" s="2" t="s">
        <v>256</v>
      </c>
      <c r="B6" s="3"/>
      <c r="C6" s="3"/>
      <c r="D6" s="3"/>
      <c r="E6" s="3"/>
      <c r="F6" s="3"/>
      <c r="G6" s="3"/>
    </row>
    <row r="7" spans="1:8">
      <c r="A7" s="24" t="s">
        <v>26</v>
      </c>
      <c r="B7" s="29">
        <f>Simplified!B16</f>
        <v>100</v>
      </c>
    </row>
    <row r="8" spans="1:8">
      <c r="A8" s="24" t="s">
        <v>30</v>
      </c>
      <c r="B8" s="29">
        <f>Simplified!B18</f>
        <v>150</v>
      </c>
    </row>
    <row r="9" spans="1:8">
      <c r="A9" s="41" t="s">
        <v>325</v>
      </c>
      <c r="B9" s="1">
        <f>B7*B8</f>
        <v>15000</v>
      </c>
    </row>
    <row r="10" spans="1:8">
      <c r="A10" s="24" t="s">
        <v>32</v>
      </c>
      <c r="B10" s="29">
        <f>Simplified!B19</f>
        <v>5</v>
      </c>
    </row>
    <row r="11" spans="1:8" s="38" customFormat="1">
      <c r="A11" s="42" t="s">
        <v>326</v>
      </c>
      <c r="B11" s="38">
        <f>B10*B7</f>
        <v>500</v>
      </c>
    </row>
    <row r="12" spans="1:8">
      <c r="A12" s="24" t="s">
        <v>33</v>
      </c>
      <c r="B12" s="29">
        <f>Simplified!B20</f>
        <v>1</v>
      </c>
    </row>
    <row r="13" spans="1:8">
      <c r="A13" s="41" t="s">
        <v>327</v>
      </c>
      <c r="B13" s="1">
        <f>B12*B10*B7</f>
        <v>500</v>
      </c>
    </row>
    <row r="14" spans="1:8">
      <c r="A14" s="24" t="s">
        <v>34</v>
      </c>
      <c r="B14" s="29">
        <f>Simplified!B21</f>
        <v>2</v>
      </c>
    </row>
    <row r="15" spans="1:8">
      <c r="A15" s="41" t="s">
        <v>328</v>
      </c>
      <c r="B15" s="1">
        <f>B14*B13</f>
        <v>1000</v>
      </c>
    </row>
    <row r="16" spans="1:8">
      <c r="A16" s="44" t="s">
        <v>35</v>
      </c>
      <c r="B16" s="29">
        <f>Simplified!B22</f>
        <v>3</v>
      </c>
    </row>
    <row r="17" spans="1:3">
      <c r="A17" s="41" t="s">
        <v>329</v>
      </c>
      <c r="B17" s="1">
        <f>B16*B13</f>
        <v>1500</v>
      </c>
    </row>
    <row r="18" spans="1:3" s="38" customFormat="1">
      <c r="A18" s="42"/>
    </row>
    <row r="19" spans="1:3" s="38" customFormat="1">
      <c r="A19" s="44" t="s">
        <v>330</v>
      </c>
      <c r="B19" s="29">
        <f>Simplified!B26</f>
        <v>1</v>
      </c>
    </row>
    <row r="21" spans="1:3">
      <c r="A21" s="9" t="s">
        <v>331</v>
      </c>
    </row>
    <row r="22" spans="1:3">
      <c r="A22" s="24" t="s">
        <v>10</v>
      </c>
      <c r="B22" s="117" t="str">
        <f>Simplified!B8</f>
        <v>Average</v>
      </c>
    </row>
    <row r="23" spans="1:3">
      <c r="A23" s="24" t="s">
        <v>15</v>
      </c>
      <c r="B23" s="117" t="str">
        <f>Simplified!B9</f>
        <v>Low</v>
      </c>
    </row>
    <row r="25" spans="1:3">
      <c r="A25" s="9" t="s">
        <v>332</v>
      </c>
    </row>
    <row r="26" spans="1:3">
      <c r="A26" s="24" t="s">
        <v>181</v>
      </c>
      <c r="B26" s="116">
        <f>Simplified!B25</f>
        <v>1100</v>
      </c>
    </row>
    <row r="27" spans="1:3">
      <c r="A27" s="24" t="s">
        <v>333</v>
      </c>
      <c r="B27" s="116">
        <f>Simplified!B27</f>
        <v>1</v>
      </c>
    </row>
    <row r="28" spans="1:3">
      <c r="A28" s="24" t="s">
        <v>40</v>
      </c>
      <c r="B28" s="121">
        <f>Simplified!B28</f>
        <v>1</v>
      </c>
    </row>
    <row r="29" spans="1:3">
      <c r="A29" s="1" t="s">
        <v>334</v>
      </c>
      <c r="B29" s="30">
        <f>B26*B15*B27</f>
        <v>1100000</v>
      </c>
    </row>
    <row r="30" spans="1:3">
      <c r="A30" s="24" t="s">
        <v>335</v>
      </c>
      <c r="B30" s="37">
        <f>B29/B9</f>
        <v>73.333333333333329</v>
      </c>
      <c r="C30" s="38"/>
    </row>
    <row r="31" spans="1:3" s="38" customFormat="1">
      <c r="B31" s="55"/>
    </row>
    <row r="32" spans="1:3" s="38" customFormat="1">
      <c r="A32" s="150" t="s">
        <v>45</v>
      </c>
      <c r="B32" s="138"/>
    </row>
    <row r="33" spans="1:7" s="38" customFormat="1">
      <c r="A33" s="135" t="s">
        <v>46</v>
      </c>
      <c r="B33" s="117" t="str">
        <f>Simplified!B33</f>
        <v>London Borough</v>
      </c>
    </row>
    <row r="34" spans="1:7" s="38" customFormat="1">
      <c r="A34" s="135" t="s">
        <v>48</v>
      </c>
      <c r="B34" s="117" t="str">
        <f>Simplified!B34</f>
        <v>Yes</v>
      </c>
    </row>
    <row r="35" spans="1:7" s="38" customFormat="1">
      <c r="A35" s="135" t="s">
        <v>50</v>
      </c>
      <c r="B35" s="117" t="str">
        <f>Simplified!B35</f>
        <v>Housing provider</v>
      </c>
    </row>
    <row r="36" spans="1:7" s="38" customFormat="1">
      <c r="A36" s="135" t="s">
        <v>51</v>
      </c>
      <c r="B36" s="117" t="str">
        <f>Simplified!B36</f>
        <v>Housing provider</v>
      </c>
    </row>
    <row r="37" spans="1:7" s="38" customFormat="1">
      <c r="A37" s="142" t="s">
        <v>52</v>
      </c>
      <c r="B37" s="117" t="str">
        <f>Simplified!B37</f>
        <v>Housing provider</v>
      </c>
    </row>
    <row r="38" spans="1:7" s="38" customFormat="1">
      <c r="A38" s="135" t="s">
        <v>53</v>
      </c>
      <c r="B38" s="117" t="str">
        <f>Simplified!B38</f>
        <v>Housing provider</v>
      </c>
    </row>
    <row r="39" spans="1:7" s="38" customFormat="1">
      <c r="A39" s="135" t="s">
        <v>54</v>
      </c>
      <c r="B39" s="117" t="str">
        <f>Simplified!B39</f>
        <v>Housing provider</v>
      </c>
    </row>
    <row r="40" spans="1:7" s="38" customFormat="1">
      <c r="A40" s="135" t="s">
        <v>55</v>
      </c>
      <c r="B40" s="117" t="str">
        <f>Simplified!B40</f>
        <v>Housing provider</v>
      </c>
    </row>
    <row r="41" spans="1:7" s="38" customFormat="1">
      <c r="A41" s="135" t="s">
        <v>56</v>
      </c>
      <c r="B41" s="117" t="str">
        <f>Simplified!B41</f>
        <v>Housing provider</v>
      </c>
    </row>
    <row r="43" spans="1:7">
      <c r="A43" s="2" t="s">
        <v>336</v>
      </c>
      <c r="B43" s="78" t="s">
        <v>337</v>
      </c>
      <c r="C43" s="78" t="s">
        <v>338</v>
      </c>
      <c r="D43" s="78" t="s">
        <v>339</v>
      </c>
      <c r="E43" s="78" t="s">
        <v>45</v>
      </c>
      <c r="F43" s="2"/>
      <c r="G43" s="3"/>
    </row>
    <row r="44" spans="1:7">
      <c r="A44" s="10" t="s">
        <v>340</v>
      </c>
    </row>
    <row r="45" spans="1:7">
      <c r="A45" s="9" t="s">
        <v>341</v>
      </c>
    </row>
    <row r="46" spans="1:7">
      <c r="A46" s="9" t="s">
        <v>342</v>
      </c>
      <c r="D46" s="38"/>
      <c r="E46" s="38"/>
      <c r="F46" s="38"/>
    </row>
    <row r="47" spans="1:7" ht="10.5" customHeight="1">
      <c r="A47" s="1" t="s">
        <v>343</v>
      </c>
      <c r="B47" s="20">
        <f>INDEX('Cost assumptions'!C9:G13,MATCH(B26,'Cost assumptions'!A9:A13,0),MATCH($B$22,'Cost assumptions'!$C$6:$G$6,0))</f>
        <v>245.24</v>
      </c>
      <c r="C47" s="1" t="s">
        <v>344</v>
      </c>
      <c r="D47" s="38"/>
      <c r="E47" s="38"/>
      <c r="F47" s="38"/>
    </row>
    <row r="48" spans="1:7" ht="10.5" customHeight="1">
      <c r="A48" s="38" t="s">
        <v>345</v>
      </c>
      <c r="B48" s="90" cm="1">
        <f t="array" ref="B48">INDEX('Cost assumptions'!$C$20:$G$20,,MATCH(Costs!$B$22,'Cost assumptions'!$C$6:$G$6,0))</f>
        <v>20</v>
      </c>
      <c r="C48" s="38" t="s">
        <v>344</v>
      </c>
      <c r="D48" s="38"/>
      <c r="E48" s="38"/>
      <c r="F48" s="38"/>
    </row>
    <row r="49" spans="1:6" ht="10.5" customHeight="1">
      <c r="A49" s="38" t="s">
        <v>346</v>
      </c>
      <c r="B49" s="90" cm="1">
        <f t="array" ref="B49">INDEX('Cost assumptions'!$C$21:$G$21,,MATCH(Costs!$B$22,'Cost assumptions'!$C$6:$G$6,0))</f>
        <v>16</v>
      </c>
      <c r="C49" s="38" t="s">
        <v>344</v>
      </c>
      <c r="D49" s="38"/>
      <c r="E49" s="38"/>
      <c r="F49" s="38"/>
    </row>
    <row r="50" spans="1:6" ht="10.5" customHeight="1">
      <c r="A50" s="9" t="s">
        <v>347</v>
      </c>
      <c r="B50" s="20"/>
      <c r="D50" s="38"/>
      <c r="E50" s="38"/>
      <c r="F50" s="38"/>
    </row>
    <row r="51" spans="1:6">
      <c r="A51" s="1" t="s">
        <v>141</v>
      </c>
      <c r="B51" s="20" cm="1">
        <f t="array" ref="B51">INDEX('Cost assumptions'!$C$32:$G$32,,MATCH(Costs!$B$22,'Cost assumptions'!$C$6:$G$6,0))</f>
        <v>300</v>
      </c>
      <c r="C51" s="1" t="s">
        <v>348</v>
      </c>
      <c r="D51" s="38"/>
      <c r="E51" s="38"/>
      <c r="F51" s="38"/>
    </row>
    <row r="52" spans="1:6">
      <c r="A52" s="1" t="s">
        <v>142</v>
      </c>
      <c r="B52" s="20" cm="1">
        <f t="array" ref="B52">INDEX('Cost assumptions'!$C$33:$G$33,,MATCH(Costs!$B$22,'Cost assumptions'!$C$6:$G$6,0))</f>
        <v>121.5</v>
      </c>
      <c r="C52" s="1" t="s">
        <v>348</v>
      </c>
      <c r="D52" s="38"/>
      <c r="E52" s="38"/>
      <c r="F52" s="38"/>
    </row>
    <row r="53" spans="1:6">
      <c r="A53" s="1" t="s">
        <v>143</v>
      </c>
      <c r="B53" s="20" cm="1">
        <f t="array" ref="B53">INDEX('Cost assumptions'!$C$34:$G$34,,MATCH(Costs!$B$22,'Cost assumptions'!$C$6:$G$6,0))</f>
        <v>37.625</v>
      </c>
      <c r="C53" s="1" t="s">
        <v>348</v>
      </c>
      <c r="D53" s="38"/>
      <c r="E53" s="38"/>
      <c r="F53" s="38"/>
    </row>
    <row r="54" spans="1:6">
      <c r="A54" s="1" t="s">
        <v>349</v>
      </c>
      <c r="B54" s="20" cm="1">
        <f t="array" ref="B54">INDEX('Cost assumptions'!$C$35:$G$35,,MATCH(Costs!$B$22,'Cost assumptions'!$C$6:$G$6,0))</f>
        <v>5</v>
      </c>
      <c r="C54" s="1" t="s">
        <v>348</v>
      </c>
      <c r="D54" s="38"/>
      <c r="E54" s="38"/>
    </row>
    <row r="55" spans="1:6">
      <c r="A55" s="1" t="s">
        <v>350</v>
      </c>
      <c r="B55" s="20" cm="1">
        <f t="array" ref="B55">INDEX('Cost assumptions'!$C$42:$G$42,,MATCH(Costs!$B$22,'Cost assumptions'!$C$6:$G$6,0))</f>
        <v>50</v>
      </c>
      <c r="C55" s="1" t="s">
        <v>348</v>
      </c>
      <c r="D55" s="38"/>
      <c r="E55" s="38"/>
    </row>
    <row r="56" spans="1:6">
      <c r="A56" s="1" t="s">
        <v>351</v>
      </c>
      <c r="B56" s="20" cm="1">
        <f t="array" ref="B56">INDEX('Cost assumptions'!$C$43:$G$43,,MATCH(Costs!$B$22,'Cost assumptions'!$C$6:$G$6,0))</f>
        <v>50</v>
      </c>
      <c r="C56" s="1" t="s">
        <v>348</v>
      </c>
      <c r="D56" s="38"/>
      <c r="E56" s="38"/>
    </row>
    <row r="57" spans="1:6">
      <c r="A57" s="1" t="s">
        <v>352</v>
      </c>
      <c r="B57" s="20" cm="1">
        <f t="array" ref="B57">INDEX('Cost assumptions'!$C$48:$G$48,,MATCH(Costs!$B$22,'Cost assumptions'!$C$6:$G$6,0))</f>
        <v>55</v>
      </c>
      <c r="C57" s="1" t="s">
        <v>348</v>
      </c>
      <c r="D57" s="38"/>
      <c r="E57" s="38"/>
    </row>
    <row r="58" spans="1:6">
      <c r="A58" s="1" t="s">
        <v>353</v>
      </c>
      <c r="B58" s="20" cm="1">
        <f t="array" ref="B58">INDEX('Cost assumptions'!$C$49:$G$49,,MATCH(Costs!$B$22,'Cost assumptions'!$C$6:$G$6,0))</f>
        <v>55</v>
      </c>
      <c r="C58" s="1" t="s">
        <v>348</v>
      </c>
      <c r="D58" s="38"/>
      <c r="E58" s="38"/>
    </row>
    <row r="59" spans="1:6">
      <c r="A59" s="9" t="s">
        <v>354</v>
      </c>
      <c r="B59" s="20"/>
      <c r="D59" s="38"/>
      <c r="E59" s="38"/>
    </row>
    <row r="60" spans="1:6">
      <c r="A60" s="1" t="s">
        <v>159</v>
      </c>
      <c r="B60" s="20" cm="1">
        <f t="array" ref="B60">INDEX('Cost assumptions'!$C$54:$G$54,,MATCH(Costs!$B$22,'Cost assumptions'!$C$6:$G$6,0))</f>
        <v>1</v>
      </c>
      <c r="C60" s="1" t="s">
        <v>355</v>
      </c>
    </row>
    <row r="61" spans="1:6">
      <c r="A61" s="1" t="s">
        <v>160</v>
      </c>
      <c r="B61" s="20" cm="1">
        <f t="array" ref="B61">INDEX('Cost assumptions'!$C$55:$G$55,,MATCH(Costs!$B$22,'Cost assumptions'!$C$6:$G$6,0))</f>
        <v>0.27</v>
      </c>
      <c r="C61" s="1" t="s">
        <v>355</v>
      </c>
    </row>
    <row r="62" spans="1:6">
      <c r="A62" s="1" t="s">
        <v>356</v>
      </c>
      <c r="B62" s="20" cm="1">
        <f t="array" ref="B62">INDEX('Cost assumptions'!$C$51:$G$51,,MATCH(Costs!$B$22,'Cost assumptions'!$C$6:$G$6,0))</f>
        <v>3.5</v>
      </c>
      <c r="C62" s="1" t="s">
        <v>357</v>
      </c>
    </row>
    <row r="63" spans="1:6">
      <c r="A63" s="9" t="s">
        <v>358</v>
      </c>
      <c r="B63" s="20"/>
    </row>
    <row r="64" spans="1:6">
      <c r="A64" s="9" t="s">
        <v>359</v>
      </c>
      <c r="B64" s="20"/>
    </row>
    <row r="65" spans="1:3">
      <c r="A65" s="1" t="s">
        <v>145</v>
      </c>
      <c r="B65" s="20" cm="1">
        <f t="array" ref="B65">INDEX('Cost assumptions'!$C$36:$G$36,,MATCH(Costs!$B$22,'Cost assumptions'!$C$6:$G$6,0))</f>
        <v>20</v>
      </c>
      <c r="C65" s="1" t="s">
        <v>360</v>
      </c>
    </row>
    <row r="66" spans="1:3">
      <c r="A66" s="1" t="s">
        <v>147</v>
      </c>
      <c r="B66" s="20" cm="1">
        <f t="array" ref="B66">INDEX('Cost assumptions'!$C$39:$G$39,,MATCH(Costs!$B$22,'Cost assumptions'!$C$6:$G$6,0))</f>
        <v>60</v>
      </c>
      <c r="C66" s="1" t="s">
        <v>360</v>
      </c>
    </row>
    <row r="67" spans="1:3">
      <c r="A67" s="1" t="s">
        <v>149</v>
      </c>
      <c r="B67" s="20" cm="1">
        <f t="array" ref="B67">INDEX('Cost assumptions'!$C$41:$G$41,,MATCH(Costs!$B$22,'Cost assumptions'!$C$6:$G$6,0))</f>
        <v>20</v>
      </c>
      <c r="C67" s="1" t="s">
        <v>360</v>
      </c>
    </row>
    <row r="68" spans="1:3">
      <c r="A68" s="1" t="s">
        <v>154</v>
      </c>
      <c r="B68" s="20" cm="1">
        <f t="array" ref="B68">INDEX('Cost assumptions'!$C$47:$G$47,,MATCH(Costs!$B$22,'Cost assumptions'!$C$6:$G$6,0))</f>
        <v>60</v>
      </c>
      <c r="C68" s="1" t="s">
        <v>360</v>
      </c>
    </row>
    <row r="69" spans="1:3">
      <c r="A69" s="1" t="s">
        <v>361</v>
      </c>
      <c r="B69" s="20" cm="1">
        <f t="array" ref="B69">INDEX('Cost assumptions'!$C$44:$G$44,,MATCH(Costs!$B$22,'Cost assumptions'!$C$6:$G$6,0))</f>
        <v>60</v>
      </c>
      <c r="C69" s="1" t="s">
        <v>360</v>
      </c>
    </row>
    <row r="70" spans="1:3">
      <c r="A70" s="1" t="s">
        <v>362</v>
      </c>
      <c r="B70" s="20" cm="1">
        <f t="array" ref="B70">INDEX('Cost assumptions'!$C$50:$G$50,,MATCH(Costs!$B$22,'Cost assumptions'!$C$6:$G$6,0))</f>
        <v>60</v>
      </c>
      <c r="C70" s="1" t="s">
        <v>360</v>
      </c>
    </row>
    <row r="71" spans="1:3">
      <c r="A71" s="1" t="s">
        <v>158</v>
      </c>
      <c r="B71" s="20" cm="1">
        <f t="array" ref="B71">INDEX('Cost assumptions'!$C$52:$G$52,,MATCH(Costs!$B$22,'Cost assumptions'!$C$6:$G$6,0))</f>
        <v>20</v>
      </c>
      <c r="C71" s="1" t="s">
        <v>360</v>
      </c>
    </row>
    <row r="72" spans="1:3">
      <c r="A72" s="9" t="s">
        <v>363</v>
      </c>
      <c r="B72" s="20"/>
    </row>
    <row r="73" spans="1:3">
      <c r="A73" s="1" t="s">
        <v>164</v>
      </c>
      <c r="B73" s="20" cm="1">
        <f t="array" ref="B73">INDEX('Cost assumptions'!C62:G62,,MATCH(Costs!$B$22,'Cost assumptions'!$C$6:$G$6,0))*INDEX('Cost assumptions'!$C$68:$G$68,MATCH(Costs!$B$22,'Cost assumptions'!$C$6:$G$6,0))</f>
        <v>56.81818181818182</v>
      </c>
      <c r="C73" s="1" t="s">
        <v>364</v>
      </c>
    </row>
    <row r="74" spans="1:3">
      <c r="A74" s="1" t="s">
        <v>165</v>
      </c>
      <c r="B74" s="20" cm="1">
        <f t="array" ref="B74">INDEX('Cost assumptions'!C63:G63,,MATCH(Costs!$B$22,'Cost assumptions'!$C$6:$G$6,0))*INDEX('Cost assumptions'!$C$68:$G$68,MATCH(Costs!$B$22,'Cost assumptions'!$C$6:$G$6,0))</f>
        <v>56.81818181818182</v>
      </c>
      <c r="C74" s="1" t="s">
        <v>364</v>
      </c>
    </row>
    <row r="75" spans="1:3">
      <c r="A75" s="1" t="s">
        <v>166</v>
      </c>
      <c r="B75" s="20" cm="1">
        <f t="array" ref="B75">INDEX('Cost assumptions'!C64:G64,,MATCH(Costs!$B$22,'Cost assumptions'!$C$6:$G$6,0))*INDEX('Cost assumptions'!$C$68:$G$68,MATCH(Costs!$B$22,'Cost assumptions'!$C$6:$G$6,0))</f>
        <v>22.72727272727273</v>
      </c>
      <c r="C75" s="1" t="s">
        <v>364</v>
      </c>
    </row>
    <row r="76" spans="1:3">
      <c r="A76" s="1" t="s">
        <v>167</v>
      </c>
      <c r="B76" s="20" cm="1">
        <f t="array" ref="B76">INDEX('Cost assumptions'!C65:G65,,MATCH(Costs!$B$22,'Cost assumptions'!$C$6:$G$6,0))*INDEX('Cost assumptions'!$C$68:$G$68,MATCH(Costs!$B$22,'Cost assumptions'!$C$6:$G$6,0))</f>
        <v>22.72727272727273</v>
      </c>
      <c r="C76" s="1" t="s">
        <v>364</v>
      </c>
    </row>
    <row r="77" spans="1:3">
      <c r="A77" s="1" t="s">
        <v>168</v>
      </c>
      <c r="B77" s="20" cm="1">
        <f t="array" ref="B77">INDEX('Cost assumptions'!C66:G66,,MATCH(Costs!$B$22,'Cost assumptions'!$C$6:$G$6,0))*INDEX('Cost assumptions'!$C$68:$G$68,MATCH(Costs!$B$22,'Cost assumptions'!$C$6:$G$6,0))</f>
        <v>56.81818181818182</v>
      </c>
      <c r="C77" s="1" t="s">
        <v>364</v>
      </c>
    </row>
    <row r="78" spans="1:3">
      <c r="A78" s="1" t="s">
        <v>169</v>
      </c>
      <c r="B78" s="20" cm="1">
        <f t="array" ref="B78">INDEX('Cost assumptions'!C67:G67,,MATCH(Costs!$B$22,'Cost assumptions'!$C$6:$G$6,0))*INDEX('Cost assumptions'!$C$68:$G$68,MATCH(Costs!$B$22,'Cost assumptions'!$C$6:$G$6,0))</f>
        <v>56.81818181818182</v>
      </c>
      <c r="C78" s="1" t="s">
        <v>364</v>
      </c>
    </row>
    <row r="79" spans="1:3">
      <c r="A79" s="10"/>
      <c r="B79" s="30"/>
    </row>
    <row r="80" spans="1:3">
      <c r="A80" s="40" t="s">
        <v>365</v>
      </c>
      <c r="B80" s="35"/>
    </row>
    <row r="81" spans="1:6">
      <c r="A81" s="40" t="s">
        <v>342</v>
      </c>
      <c r="B81" s="35"/>
    </row>
    <row r="82" spans="1:6">
      <c r="A82" s="24" t="s">
        <v>366</v>
      </c>
      <c r="B82" s="36">
        <f>B47*$B$15</f>
        <v>245240</v>
      </c>
      <c r="C82" s="31"/>
      <c r="D82" s="29" t="s">
        <v>46</v>
      </c>
      <c r="E82" s="38" t="str">
        <f>INDEX($B$33:$B$41,MATCH(D82,$A$33:$A$41,0))</f>
        <v>London Borough</v>
      </c>
      <c r="F82" s="38"/>
    </row>
    <row r="83" spans="1:6">
      <c r="A83" s="24" t="s">
        <v>345</v>
      </c>
      <c r="B83" s="36">
        <f>B48*$B$15</f>
        <v>20000</v>
      </c>
      <c r="D83" s="29" t="s">
        <v>46</v>
      </c>
      <c r="E83" s="38" t="str">
        <f>INDEX($B$33:$B$41,MATCH(D83,$A$33:$A$41,0))</f>
        <v>London Borough</v>
      </c>
      <c r="F83" s="38"/>
    </row>
    <row r="84" spans="1:6">
      <c r="A84" s="24" t="s">
        <v>346</v>
      </c>
      <c r="B84" s="36">
        <f t="shared" ref="B84" si="0">B49*$B$15</f>
        <v>16000</v>
      </c>
      <c r="D84" s="29" t="s">
        <v>46</v>
      </c>
      <c r="E84" s="38" t="str">
        <f>INDEX($B$33:$B$41,MATCH(D84,$A$33:$A$41,0))</f>
        <v>London Borough</v>
      </c>
      <c r="F84" s="38"/>
    </row>
    <row r="85" spans="1:6">
      <c r="A85" s="40" t="s">
        <v>347</v>
      </c>
      <c r="B85" s="36"/>
    </row>
    <row r="86" spans="1:6">
      <c r="A86" s="24" t="s">
        <v>141</v>
      </c>
      <c r="B86" s="35">
        <f>B51*$B$13</f>
        <v>150000</v>
      </c>
      <c r="C86" s="31"/>
      <c r="D86" s="29" t="s">
        <v>51</v>
      </c>
      <c r="E86" s="38" t="str">
        <f t="shared" ref="E86:E93" si="1">INDEX($B$33:$B$41,MATCH(D86,$A$33:$A$41,0))</f>
        <v>Housing provider</v>
      </c>
      <c r="F86" s="38"/>
    </row>
    <row r="87" spans="1:6">
      <c r="A87" s="24" t="s">
        <v>142</v>
      </c>
      <c r="B87" s="35">
        <f t="shared" ref="B87:B93" si="2">B52*$B$13</f>
        <v>60750</v>
      </c>
      <c r="D87" s="29" t="s">
        <v>51</v>
      </c>
      <c r="E87" s="38" t="str">
        <f t="shared" si="1"/>
        <v>Housing provider</v>
      </c>
      <c r="F87" s="38"/>
    </row>
    <row r="88" spans="1:6">
      <c r="A88" s="24" t="s">
        <v>143</v>
      </c>
      <c r="B88" s="35">
        <f t="shared" si="2"/>
        <v>18812.5</v>
      </c>
      <c r="D88" s="29" t="s">
        <v>51</v>
      </c>
      <c r="E88" s="38" t="str">
        <f t="shared" si="1"/>
        <v>Housing provider</v>
      </c>
      <c r="F88" s="38"/>
    </row>
    <row r="89" spans="1:6">
      <c r="A89" s="24" t="s">
        <v>349</v>
      </c>
      <c r="B89" s="35">
        <f t="shared" si="2"/>
        <v>2500</v>
      </c>
      <c r="D89" s="29" t="s">
        <v>52</v>
      </c>
      <c r="E89" s="38" t="str">
        <f t="shared" si="1"/>
        <v>Housing provider</v>
      </c>
      <c r="F89" s="38"/>
    </row>
    <row r="90" spans="1:6">
      <c r="A90" s="24" t="s">
        <v>350</v>
      </c>
      <c r="B90" s="35">
        <f t="shared" si="2"/>
        <v>25000</v>
      </c>
      <c r="D90" s="29" t="s">
        <v>52</v>
      </c>
      <c r="E90" s="38" t="str">
        <f t="shared" si="1"/>
        <v>Housing provider</v>
      </c>
      <c r="F90" s="38"/>
    </row>
    <row r="91" spans="1:6">
      <c r="A91" s="24" t="s">
        <v>351</v>
      </c>
      <c r="B91" s="35">
        <f>B56*$B$13</f>
        <v>25000</v>
      </c>
      <c r="D91" s="29" t="s">
        <v>52</v>
      </c>
      <c r="E91" s="38" t="str">
        <f t="shared" si="1"/>
        <v>Housing provider</v>
      </c>
      <c r="F91" s="38"/>
    </row>
    <row r="92" spans="1:6">
      <c r="A92" s="24" t="s">
        <v>352</v>
      </c>
      <c r="B92" s="35">
        <f t="shared" si="2"/>
        <v>27500</v>
      </c>
      <c r="D92" s="29" t="s">
        <v>52</v>
      </c>
      <c r="E92" s="38" t="str">
        <f t="shared" si="1"/>
        <v>Housing provider</v>
      </c>
      <c r="F92" s="38"/>
    </row>
    <row r="93" spans="1:6">
      <c r="A93" s="24" t="s">
        <v>353</v>
      </c>
      <c r="B93" s="35">
        <f t="shared" si="2"/>
        <v>27500</v>
      </c>
      <c r="D93" s="29" t="s">
        <v>52</v>
      </c>
      <c r="E93" s="38" t="str">
        <f t="shared" si="1"/>
        <v>Housing provider</v>
      </c>
      <c r="F93" s="38"/>
    </row>
    <row r="94" spans="1:6">
      <c r="A94" s="40" t="s">
        <v>354</v>
      </c>
      <c r="B94" s="35"/>
    </row>
    <row r="95" spans="1:6">
      <c r="A95" s="24" t="s">
        <v>159</v>
      </c>
      <c r="B95" s="35">
        <f>B60*$B$11</f>
        <v>500</v>
      </c>
      <c r="C95" s="31"/>
      <c r="D95" s="29" t="s">
        <v>52</v>
      </c>
      <c r="E95" s="38" t="str">
        <f>INDEX($B$33:$B$41,MATCH(D95,$A$33:$A$41,0))</f>
        <v>Housing provider</v>
      </c>
      <c r="F95" s="38"/>
    </row>
    <row r="96" spans="1:6">
      <c r="A96" s="24" t="s">
        <v>367</v>
      </c>
      <c r="B96" s="35">
        <f>B61*$B$11</f>
        <v>135</v>
      </c>
      <c r="D96" s="29" t="s">
        <v>52</v>
      </c>
      <c r="E96" s="38" t="str">
        <f>INDEX($B$33:$B$41,MATCH(D96,$A$33:$A$41,0))</f>
        <v>Housing provider</v>
      </c>
      <c r="F96" s="38"/>
    </row>
    <row r="97" spans="1:6">
      <c r="A97" s="24" t="s">
        <v>356</v>
      </c>
      <c r="B97" s="35">
        <f>B62*$B$11</f>
        <v>1750</v>
      </c>
      <c r="D97" s="29" t="s">
        <v>52</v>
      </c>
      <c r="E97" s="38" t="str">
        <f>INDEX($B$33:$B$41,MATCH(D97,$A$33:$A$41,0))</f>
        <v>Housing provider</v>
      </c>
      <c r="F97" s="38"/>
    </row>
    <row r="98" spans="1:6">
      <c r="A98" s="40" t="s">
        <v>358</v>
      </c>
      <c r="B98" s="35"/>
    </row>
    <row r="99" spans="1:6">
      <c r="A99" s="40" t="s">
        <v>359</v>
      </c>
      <c r="B99" s="35"/>
    </row>
    <row r="100" spans="1:6">
      <c r="A100" s="24" t="s">
        <v>145</v>
      </c>
      <c r="B100" s="35">
        <f>B65</f>
        <v>20</v>
      </c>
      <c r="C100" s="31"/>
      <c r="D100" s="29" t="s">
        <v>53</v>
      </c>
      <c r="E100" s="38" t="str">
        <f t="shared" ref="E100:E106" si="3">INDEX($B$33:$B$41,MATCH(D100,$A$33:$A$41,0))</f>
        <v>Housing provider</v>
      </c>
      <c r="F100" s="38"/>
    </row>
    <row r="101" spans="1:6">
      <c r="A101" s="24" t="s">
        <v>147</v>
      </c>
      <c r="B101" s="35">
        <f t="shared" ref="B101:B106" si="4">B66</f>
        <v>60</v>
      </c>
      <c r="D101" s="29" t="s">
        <v>53</v>
      </c>
      <c r="E101" s="38" t="str">
        <f t="shared" si="3"/>
        <v>Housing provider</v>
      </c>
      <c r="F101" s="38"/>
    </row>
    <row r="102" spans="1:6">
      <c r="A102" s="24" t="s">
        <v>149</v>
      </c>
      <c r="B102" s="35">
        <f t="shared" si="4"/>
        <v>20</v>
      </c>
      <c r="D102" s="29" t="s">
        <v>53</v>
      </c>
      <c r="E102" s="38" t="str">
        <f t="shared" si="3"/>
        <v>Housing provider</v>
      </c>
      <c r="F102" s="38"/>
    </row>
    <row r="103" spans="1:6">
      <c r="A103" s="24" t="s">
        <v>154</v>
      </c>
      <c r="B103" s="35">
        <f t="shared" si="4"/>
        <v>60</v>
      </c>
      <c r="D103" s="29" t="s">
        <v>53</v>
      </c>
      <c r="E103" s="38" t="str">
        <f t="shared" si="3"/>
        <v>Housing provider</v>
      </c>
      <c r="F103" s="38"/>
    </row>
    <row r="104" spans="1:6">
      <c r="A104" s="24" t="s">
        <v>361</v>
      </c>
      <c r="B104" s="35">
        <f t="shared" si="4"/>
        <v>60</v>
      </c>
      <c r="D104" s="29" t="s">
        <v>53</v>
      </c>
      <c r="E104" s="38" t="str">
        <f t="shared" si="3"/>
        <v>Housing provider</v>
      </c>
      <c r="F104" s="38"/>
    </row>
    <row r="105" spans="1:6">
      <c r="A105" s="24" t="s">
        <v>362</v>
      </c>
      <c r="B105" s="35">
        <f t="shared" si="4"/>
        <v>60</v>
      </c>
      <c r="D105" s="29" t="s">
        <v>53</v>
      </c>
      <c r="E105" s="38" t="str">
        <f t="shared" si="3"/>
        <v>Housing provider</v>
      </c>
      <c r="F105" s="38"/>
    </row>
    <row r="106" spans="1:6">
      <c r="A106" s="24" t="s">
        <v>158</v>
      </c>
      <c r="B106" s="35">
        <f t="shared" si="4"/>
        <v>20</v>
      </c>
      <c r="D106" s="29" t="s">
        <v>53</v>
      </c>
      <c r="E106" s="38" t="str">
        <f t="shared" si="3"/>
        <v>Housing provider</v>
      </c>
      <c r="F106" s="38"/>
    </row>
    <row r="107" spans="1:6">
      <c r="A107" s="40" t="s">
        <v>363</v>
      </c>
      <c r="B107" s="35"/>
    </row>
    <row r="108" spans="1:6">
      <c r="A108" s="24" t="s">
        <v>164</v>
      </c>
      <c r="B108" s="35">
        <f>B73*$B$7</f>
        <v>5681.818181818182</v>
      </c>
      <c r="D108" s="29" t="s">
        <v>54</v>
      </c>
      <c r="E108" s="38" t="str">
        <f t="shared" ref="E108:E113" si="5">INDEX($B$33:$B$41,MATCH(D108,$A$33:$A$41,0))</f>
        <v>Housing provider</v>
      </c>
      <c r="F108" s="38"/>
    </row>
    <row r="109" spans="1:6">
      <c r="A109" s="24" t="s">
        <v>165</v>
      </c>
      <c r="B109" s="35">
        <f t="shared" ref="B109:B113" si="6">B74*$B$7</f>
        <v>5681.818181818182</v>
      </c>
      <c r="D109" s="29" t="s">
        <v>54</v>
      </c>
      <c r="E109" s="38" t="str">
        <f t="shared" si="5"/>
        <v>Housing provider</v>
      </c>
      <c r="F109" s="38"/>
    </row>
    <row r="110" spans="1:6">
      <c r="A110" s="24" t="s">
        <v>166</v>
      </c>
      <c r="B110" s="35">
        <f t="shared" si="6"/>
        <v>2272.727272727273</v>
      </c>
      <c r="D110" s="29" t="s">
        <v>54</v>
      </c>
      <c r="E110" s="38" t="str">
        <f t="shared" si="5"/>
        <v>Housing provider</v>
      </c>
      <c r="F110" s="38"/>
    </row>
    <row r="111" spans="1:6">
      <c r="A111" s="24" t="s">
        <v>167</v>
      </c>
      <c r="B111" s="35">
        <f t="shared" si="6"/>
        <v>2272.727272727273</v>
      </c>
      <c r="D111" s="29" t="s">
        <v>54</v>
      </c>
      <c r="E111" s="38" t="str">
        <f t="shared" si="5"/>
        <v>Housing provider</v>
      </c>
      <c r="F111" s="38"/>
    </row>
    <row r="112" spans="1:6">
      <c r="A112" s="24" t="s">
        <v>168</v>
      </c>
      <c r="B112" s="35">
        <f t="shared" si="6"/>
        <v>5681.818181818182</v>
      </c>
      <c r="D112" s="29" t="s">
        <v>54</v>
      </c>
      <c r="E112" s="38" t="str">
        <f t="shared" si="5"/>
        <v>Housing provider</v>
      </c>
      <c r="F112" s="38"/>
    </row>
    <row r="113" spans="1:7">
      <c r="A113" s="24" t="s">
        <v>169</v>
      </c>
      <c r="B113" s="35">
        <f t="shared" si="6"/>
        <v>5681.818181818182</v>
      </c>
      <c r="D113" s="29" t="s">
        <v>54</v>
      </c>
      <c r="E113" s="38" t="str">
        <f t="shared" si="5"/>
        <v>Housing provider</v>
      </c>
      <c r="F113" s="38"/>
    </row>
    <row r="115" spans="1:7">
      <c r="A115" s="33" t="s">
        <v>368</v>
      </c>
      <c r="B115" s="32">
        <f>SUM(B82:B113)</f>
        <v>648260.22727272753</v>
      </c>
    </row>
    <row r="116" spans="1:7" s="38" customFormat="1">
      <c r="A116" s="24" t="s">
        <v>101</v>
      </c>
      <c r="B116" s="32"/>
    </row>
    <row r="117" spans="1:7" s="38" customFormat="1">
      <c r="A117" s="33" t="s">
        <v>47</v>
      </c>
      <c r="B117" s="32">
        <f>SUMIFS($B$82:$B$113,$E$82:$E$113,A117)</f>
        <v>281240</v>
      </c>
    </row>
    <row r="118" spans="1:7">
      <c r="A118" s="33" t="s">
        <v>6</v>
      </c>
      <c r="B118" s="32">
        <f>SUMIFS($B$82:$B$113,$E$82:$E$113,A118)</f>
        <v>367020.22727272729</v>
      </c>
    </row>
    <row r="120" spans="1:7">
      <c r="A120" s="2" t="s">
        <v>369</v>
      </c>
      <c r="B120" s="78" t="s">
        <v>337</v>
      </c>
      <c r="C120" s="78" t="s">
        <v>370</v>
      </c>
      <c r="D120" s="78" t="s">
        <v>339</v>
      </c>
      <c r="E120" s="78" t="s">
        <v>45</v>
      </c>
      <c r="F120" s="2" t="s">
        <v>371</v>
      </c>
      <c r="G120" s="2"/>
    </row>
    <row r="121" spans="1:7">
      <c r="A121" s="9" t="s">
        <v>341</v>
      </c>
    </row>
    <row r="122" spans="1:7">
      <c r="A122" s="9" t="s">
        <v>372</v>
      </c>
    </row>
    <row r="123" spans="1:7">
      <c r="A123" s="9" t="s">
        <v>373</v>
      </c>
    </row>
    <row r="124" spans="1:7">
      <c r="A124" s="1" t="s">
        <v>374</v>
      </c>
      <c r="B124" s="4" cm="1">
        <f t="array" ref="B124">INDEX('Cost assumptions'!$C$29:$G$29,,MATCH(Costs!$B$23,'Cost assumptions'!$C$6:$G$6,0))/INDEX('Cost assumptions'!$C$30:$G$30,,MATCH(Costs!$B$23,'Cost assumptions'!$C$6:$G$6,0))</f>
        <v>10.0725</v>
      </c>
      <c r="C124" s="1" t="s">
        <v>375</v>
      </c>
    </row>
    <row r="125" spans="1:7">
      <c r="A125" s="1" t="s">
        <v>376</v>
      </c>
      <c r="B125" s="4" cm="1">
        <f t="array" ref="B125">INDEX('Cost assumptions'!$C$70:$G$70,,MATCH(Costs!$B$23,'Cost assumptions'!$C$6:$G$6,0))</f>
        <v>13.43</v>
      </c>
      <c r="C125" s="1" t="s">
        <v>377</v>
      </c>
    </row>
    <row r="126" spans="1:7">
      <c r="A126" s="9" t="s">
        <v>378</v>
      </c>
      <c r="B126" s="4"/>
    </row>
    <row r="127" spans="1:7">
      <c r="A127" s="1" t="s">
        <v>379</v>
      </c>
      <c r="B127" s="4" cm="1">
        <f t="array" ref="B127">INDEX('Cost assumptions'!$C$56:$G$56,,MATCH(Costs!$B$23,'Cost assumptions'!$C$6:$G$6,0))</f>
        <v>0.35</v>
      </c>
      <c r="C127" s="1" t="s">
        <v>380</v>
      </c>
    </row>
    <row r="128" spans="1:7">
      <c r="A128" s="62" t="s">
        <v>381</v>
      </c>
    </row>
    <row r="129" spans="1:10">
      <c r="A129" s="80" t="s">
        <v>382</v>
      </c>
      <c r="B129" s="81">
        <f>(B27-B19)*B28</f>
        <v>0</v>
      </c>
      <c r="D129" s="38"/>
      <c r="E129" s="38"/>
      <c r="F129" s="38"/>
      <c r="G129" s="38"/>
      <c r="H129" s="38"/>
      <c r="I129" s="38"/>
      <c r="J129" s="38"/>
    </row>
    <row r="130" spans="1:10">
      <c r="A130" s="80" t="s">
        <v>383</v>
      </c>
      <c r="B130" s="81" cm="1">
        <f t="array" ref="B130">INDEX('Cost assumptions'!$C$59:$G$59,,MATCH(Costs!$B$23,'Cost assumptions'!$C$6:$G$6,0))</f>
        <v>16.260000000000002</v>
      </c>
    </row>
    <row r="131" spans="1:10">
      <c r="A131" s="38" t="s">
        <v>384</v>
      </c>
      <c r="B131" s="79">
        <f>B130*B129</f>
        <v>0</v>
      </c>
      <c r="C131" s="1" t="s">
        <v>380</v>
      </c>
    </row>
    <row r="132" spans="1:10">
      <c r="A132" s="9" t="s">
        <v>385</v>
      </c>
      <c r="B132" s="4"/>
    </row>
    <row r="133" spans="1:10">
      <c r="A133" s="1" t="s">
        <v>386</v>
      </c>
      <c r="B133" s="77">
        <f>INDEX('Cost assumptions'!C15:G19,MATCH(B26,'Cost assumptions'!A15:A19,0),MATCH($B$22,'Cost assumptions'!$C$6:$G$6,0))</f>
        <v>69</v>
      </c>
      <c r="C133" s="1" t="s">
        <v>387</v>
      </c>
    </row>
    <row r="134" spans="1:10">
      <c r="A134" s="135" t="s">
        <v>388</v>
      </c>
      <c r="B134" s="157">
        <f>-INDEX('Cost assumptions'!$C$23:$G$27,MATCH(Costs!$B$26,'Cost assumptions'!$A$23:$A$27,0),MATCH($B$23,'Cost assumptions'!$C$6:$G$6,0))*(B34="yes")</f>
        <v>-13.8</v>
      </c>
      <c r="C134" s="1" t="s">
        <v>387</v>
      </c>
    </row>
    <row r="135" spans="1:10">
      <c r="A135" s="135" t="s">
        <v>389</v>
      </c>
      <c r="B135" s="157">
        <f>INDEX('Cost assumptions'!$C$23:$G$27,MATCH(Costs!$B$26,'Cost assumptions'!$A$23:$A$27,0),MATCH($B$23,'Cost assumptions'!$C$6:$G$6,0))*(B34="yes")</f>
        <v>13.8</v>
      </c>
      <c r="C135" s="1" t="s">
        <v>387</v>
      </c>
    </row>
    <row r="136" spans="1:10">
      <c r="A136" s="1" t="s">
        <v>146</v>
      </c>
      <c r="B136" s="77" cm="1">
        <f t="array" ref="B136">INDEX('Cost assumptions'!$C$38:$G$38,,MATCH(Costs!$B$22,'Cost assumptions'!$C$6:$G$6,0))</f>
        <v>6.5</v>
      </c>
      <c r="C136" s="1" t="s">
        <v>387</v>
      </c>
      <c r="D136" s="38"/>
      <c r="E136" s="38"/>
      <c r="F136" s="38"/>
      <c r="G136" s="38"/>
    </row>
    <row r="137" spans="1:10">
      <c r="A137" s="1" t="s">
        <v>148</v>
      </c>
      <c r="B137" s="77" cm="1">
        <f t="array" ref="B137">INDEX('Cost assumptions'!$C$40:$G$40,,MATCH(Costs!$B$22,'Cost assumptions'!$C$6:$G$6,0))</f>
        <v>3</v>
      </c>
      <c r="C137" s="1" t="s">
        <v>387</v>
      </c>
      <c r="D137" s="38"/>
      <c r="E137" s="38"/>
      <c r="F137" s="38"/>
      <c r="G137" s="38"/>
    </row>
    <row r="138" spans="1:10">
      <c r="A138" s="9" t="s">
        <v>390</v>
      </c>
      <c r="B138" s="4"/>
      <c r="D138" s="38"/>
      <c r="E138" s="38"/>
      <c r="F138" s="38"/>
      <c r="G138" s="38"/>
    </row>
    <row r="139" spans="1:10">
      <c r="A139" s="1" t="s">
        <v>153</v>
      </c>
      <c r="B139" s="20" cm="1">
        <f t="array" ref="B139">INDEX('Cost assumptions'!$C$46:$G$46,,MATCH(Costs!$B$22,'Cost assumptions'!$C$6:$G$6,0))</f>
        <v>5</v>
      </c>
      <c r="C139" s="1" t="s">
        <v>387</v>
      </c>
      <c r="D139" s="38"/>
      <c r="E139" s="38"/>
      <c r="F139" s="38"/>
      <c r="G139" s="38"/>
    </row>
    <row r="140" spans="1:10">
      <c r="A140" s="9" t="s">
        <v>391</v>
      </c>
      <c r="B140" s="20"/>
      <c r="D140" s="38"/>
      <c r="E140" s="38"/>
      <c r="F140" s="38"/>
      <c r="G140" s="38"/>
    </row>
    <row r="141" spans="1:10">
      <c r="A141" s="1" t="s">
        <v>392</v>
      </c>
      <c r="B141" s="20" cm="1">
        <f t="array" ref="B141">INDEX('Cost assumptions'!$C$57:$G$57,,MATCH(Costs!$B$23,'Cost assumptions'!$C$6:$G$6,0))</f>
        <v>250</v>
      </c>
      <c r="C141" s="1" t="s">
        <v>393</v>
      </c>
      <c r="D141" s="38"/>
      <c r="E141" s="38"/>
      <c r="F141" s="38"/>
      <c r="G141" s="38"/>
    </row>
    <row r="142" spans="1:10">
      <c r="D142" s="38"/>
      <c r="E142" s="38"/>
      <c r="F142" s="38"/>
      <c r="G142" s="38"/>
    </row>
    <row r="143" spans="1:10">
      <c r="A143" s="40" t="s">
        <v>394</v>
      </c>
      <c r="B143" s="24"/>
      <c r="E143" s="38"/>
      <c r="F143" s="38"/>
      <c r="G143" s="38"/>
    </row>
    <row r="144" spans="1:10">
      <c r="A144" s="40" t="s">
        <v>372</v>
      </c>
      <c r="B144" s="24"/>
      <c r="E144" s="38"/>
      <c r="F144" s="38"/>
      <c r="G144" s="38"/>
    </row>
    <row r="145" spans="1:9">
      <c r="A145" s="40" t="s">
        <v>347</v>
      </c>
      <c r="B145" s="24"/>
      <c r="E145" s="38"/>
      <c r="F145" s="38"/>
      <c r="G145" s="38"/>
    </row>
    <row r="146" spans="1:9">
      <c r="A146" s="24" t="s">
        <v>374</v>
      </c>
      <c r="B146" s="35">
        <f>B124*B13*'General assumptions'!D35</f>
        <v>261885</v>
      </c>
      <c r="C146" s="31"/>
      <c r="D146" s="29" t="s">
        <v>55</v>
      </c>
      <c r="E146" s="38" t="str">
        <f t="shared" ref="E146:E147" si="7">INDEX($B$33:$B$41,MATCH(D146,$A$33:$A$41,0))</f>
        <v>Housing provider</v>
      </c>
      <c r="F146" s="29">
        <v>1</v>
      </c>
      <c r="G146" s="38"/>
      <c r="H146" s="38"/>
      <c r="I146" s="38"/>
    </row>
    <row r="147" spans="1:9">
      <c r="A147" s="24" t="s">
        <v>376</v>
      </c>
      <c r="B147" s="35">
        <f>B125*B13*'General assumptions'!D30</f>
        <v>80580</v>
      </c>
      <c r="D147" s="29" t="s">
        <v>55</v>
      </c>
      <c r="E147" s="38" t="str">
        <f t="shared" si="7"/>
        <v>Housing provider</v>
      </c>
      <c r="F147" s="29">
        <v>1</v>
      </c>
      <c r="G147" s="38"/>
    </row>
    <row r="148" spans="1:9">
      <c r="A148" s="40" t="s">
        <v>378</v>
      </c>
      <c r="B148" s="35"/>
      <c r="E148" s="38"/>
      <c r="F148" s="29"/>
      <c r="G148" s="38"/>
    </row>
    <row r="149" spans="1:9">
      <c r="A149" s="24" t="s">
        <v>379</v>
      </c>
      <c r="B149" s="35">
        <f>B127*B9</f>
        <v>5250</v>
      </c>
      <c r="D149" s="29" t="s">
        <v>52</v>
      </c>
      <c r="E149" s="38" t="str">
        <f t="shared" ref="E149:E150" si="8">INDEX($B$33:$B$41,MATCH(D149,$A$33:$A$41,0))</f>
        <v>Housing provider</v>
      </c>
      <c r="F149" s="29">
        <v>1</v>
      </c>
      <c r="G149" s="38"/>
    </row>
    <row r="150" spans="1:9">
      <c r="A150" s="24" t="s">
        <v>384</v>
      </c>
      <c r="B150" s="35">
        <f>B131*B9</f>
        <v>0</v>
      </c>
      <c r="D150" s="29" t="s">
        <v>56</v>
      </c>
      <c r="E150" s="38" t="str">
        <f t="shared" si="8"/>
        <v>Housing provider</v>
      </c>
      <c r="F150" s="29">
        <v>1</v>
      </c>
      <c r="G150" s="38"/>
    </row>
    <row r="151" spans="1:9">
      <c r="A151" s="40" t="s">
        <v>385</v>
      </c>
      <c r="B151" s="35"/>
      <c r="E151" s="38"/>
      <c r="F151" s="29"/>
      <c r="G151" s="38"/>
    </row>
    <row r="152" spans="1:9">
      <c r="A152" s="24" t="s">
        <v>386</v>
      </c>
      <c r="B152" s="35">
        <f>B133*$B$15</f>
        <v>69000</v>
      </c>
      <c r="D152" s="29" t="s">
        <v>46</v>
      </c>
      <c r="E152" s="38" t="str">
        <f t="shared" ref="E152:E156" si="9">INDEX($B$33:$B$41,MATCH(D152,$A$33:$A$41,0))</f>
        <v>London Borough</v>
      </c>
      <c r="F152" s="29">
        <v>8</v>
      </c>
      <c r="G152" s="38"/>
    </row>
    <row r="153" spans="1:9">
      <c r="A153" s="135" t="s">
        <v>388</v>
      </c>
      <c r="B153" s="137">
        <f>B134*B15</f>
        <v>-13800</v>
      </c>
      <c r="D153" s="29" t="s">
        <v>46</v>
      </c>
      <c r="E153" s="38" t="str">
        <f t="shared" si="9"/>
        <v>London Borough</v>
      </c>
      <c r="F153" s="29">
        <v>1</v>
      </c>
      <c r="G153" s="8" t="s">
        <v>395</v>
      </c>
    </row>
    <row r="154" spans="1:9">
      <c r="A154" s="135" t="s">
        <v>389</v>
      </c>
      <c r="B154" s="137">
        <f>B135*B15</f>
        <v>13800</v>
      </c>
      <c r="D154" s="29" t="s">
        <v>50</v>
      </c>
      <c r="E154" s="38" t="str">
        <f t="shared" si="9"/>
        <v>Housing provider</v>
      </c>
      <c r="F154" s="29">
        <v>1</v>
      </c>
      <c r="G154" s="8" t="s">
        <v>395</v>
      </c>
    </row>
    <row r="155" spans="1:9">
      <c r="A155" s="24" t="s">
        <v>146</v>
      </c>
      <c r="B155" s="35">
        <f>B136*$B$15</f>
        <v>6500</v>
      </c>
      <c r="D155" s="29" t="s">
        <v>52</v>
      </c>
      <c r="E155" s="38" t="str">
        <f t="shared" si="9"/>
        <v>Housing provider</v>
      </c>
      <c r="F155" s="29">
        <v>5</v>
      </c>
      <c r="G155" s="38"/>
    </row>
    <row r="156" spans="1:9">
      <c r="A156" s="24" t="s">
        <v>148</v>
      </c>
      <c r="B156" s="35">
        <f>B137*$B$15</f>
        <v>3000</v>
      </c>
      <c r="D156" s="29" t="s">
        <v>52</v>
      </c>
      <c r="E156" s="38" t="str">
        <f t="shared" si="9"/>
        <v>Housing provider</v>
      </c>
      <c r="F156" s="29">
        <v>5</v>
      </c>
      <c r="G156" s="38"/>
    </row>
    <row r="157" spans="1:9">
      <c r="A157" s="40" t="s">
        <v>390</v>
      </c>
      <c r="B157" s="35"/>
      <c r="E157" s="38"/>
      <c r="F157" s="29"/>
      <c r="G157" s="38"/>
    </row>
    <row r="158" spans="1:9">
      <c r="A158" s="24" t="s">
        <v>153</v>
      </c>
      <c r="B158" s="35">
        <f>B139*$B$17</f>
        <v>7500</v>
      </c>
      <c r="D158" s="29" t="s">
        <v>52</v>
      </c>
      <c r="E158" s="38" t="str">
        <f>INDEX($B$33:$B$41,MATCH(D158,$A$33:$A$41,0))</f>
        <v>Housing provider</v>
      </c>
      <c r="F158" s="29">
        <v>5</v>
      </c>
      <c r="G158" s="38"/>
    </row>
    <row r="159" spans="1:9">
      <c r="A159" s="40" t="s">
        <v>391</v>
      </c>
      <c r="B159" s="35"/>
      <c r="E159" s="38"/>
      <c r="F159" s="29"/>
      <c r="G159" s="38"/>
    </row>
    <row r="160" spans="1:9">
      <c r="A160" s="24" t="s">
        <v>392</v>
      </c>
      <c r="B160" s="35">
        <f>B141</f>
        <v>250</v>
      </c>
      <c r="D160" s="29" t="s">
        <v>53</v>
      </c>
      <c r="E160" s="38" t="str">
        <f>INDEX($B$33:$B$41,MATCH(D160,$A$33:$A$41,0))</f>
        <v>Housing provider</v>
      </c>
      <c r="F160" s="29">
        <v>1</v>
      </c>
      <c r="G160" s="38"/>
    </row>
    <row r="161" spans="1:7">
      <c r="E161" s="38"/>
      <c r="G161" s="38"/>
    </row>
    <row r="162" spans="1:7">
      <c r="A162" s="33" t="s">
        <v>396</v>
      </c>
      <c r="B162" s="32">
        <f>SUM(B146:B160)</f>
        <v>433965</v>
      </c>
      <c r="E162" s="38"/>
      <c r="G162" s="38"/>
    </row>
    <row r="163" spans="1:7">
      <c r="A163" s="33" t="s">
        <v>368</v>
      </c>
      <c r="B163" s="32">
        <f>SUM(B126:B161)</f>
        <v>434315.11</v>
      </c>
      <c r="E163" s="38"/>
      <c r="G163" s="38"/>
    </row>
    <row r="164" spans="1:7">
      <c r="A164" s="24" t="s">
        <v>101</v>
      </c>
      <c r="B164" s="32"/>
      <c r="E164" s="38"/>
      <c r="G164" s="38"/>
    </row>
    <row r="165" spans="1:7">
      <c r="A165" s="33" t="s">
        <v>47</v>
      </c>
      <c r="B165" s="32">
        <f>SUMIFS($B$146:$B$160,$E$146:$E$160,A165)</f>
        <v>55200</v>
      </c>
      <c r="E165" s="38"/>
      <c r="G165" s="38"/>
    </row>
    <row r="166" spans="1:7">
      <c r="A166" s="33" t="s">
        <v>6</v>
      </c>
      <c r="B166" s="32">
        <f>SUMIFS($B$146:$B$160,$E$146:$E$160,A166)</f>
        <v>378765</v>
      </c>
      <c r="E166" s="38"/>
    </row>
    <row r="167" spans="1:7" s="38" customFormat="1">
      <c r="A167" s="60"/>
      <c r="B167" s="149"/>
    </row>
    <row r="168" spans="1:7" hidden="1">
      <c r="A168" s="2" t="s">
        <v>397</v>
      </c>
      <c r="B168" s="3"/>
      <c r="C168" s="3"/>
      <c r="D168" s="3"/>
      <c r="E168" s="3"/>
      <c r="F168" s="3"/>
      <c r="G168" s="3"/>
    </row>
    <row r="169" spans="1:7" s="38" customFormat="1" hidden="1">
      <c r="A169" s="130" t="s">
        <v>398</v>
      </c>
      <c r="B169" s="8"/>
    </row>
    <row r="170" spans="1:7" hidden="1">
      <c r="A170" s="8" t="s">
        <v>399</v>
      </c>
      <c r="B170" s="8"/>
    </row>
    <row r="171" spans="1:7" hidden="1">
      <c r="A171" s="8" t="s">
        <v>174</v>
      </c>
      <c r="B171" s="8"/>
    </row>
    <row r="172" spans="1:7" hidden="1">
      <c r="A172" s="8" t="s">
        <v>175</v>
      </c>
      <c r="B172" s="8"/>
    </row>
    <row r="173" spans="1:7" hidden="1">
      <c r="A173" s="8" t="s">
        <v>176</v>
      </c>
      <c r="B173" s="8"/>
    </row>
    <row r="174" spans="1:7" hidden="1">
      <c r="A174" s="8" t="s">
        <v>177</v>
      </c>
      <c r="B174" s="8"/>
    </row>
    <row r="175" spans="1:7" hidden="1">
      <c r="A175" s="8" t="s">
        <v>178</v>
      </c>
      <c r="B175" s="8"/>
    </row>
    <row r="176" spans="1:7" hidden="1"/>
    <row r="177" spans="1:7" hidden="1">
      <c r="A177" s="9" t="s">
        <v>400</v>
      </c>
    </row>
    <row r="178" spans="1:7" hidden="1">
      <c r="A178" s="24" t="s">
        <v>399</v>
      </c>
      <c r="B178" s="24"/>
    </row>
    <row r="179" spans="1:7" hidden="1">
      <c r="A179" s="24" t="s">
        <v>174</v>
      </c>
      <c r="B179" s="24"/>
    </row>
    <row r="180" spans="1:7" hidden="1">
      <c r="A180" s="24" t="s">
        <v>175</v>
      </c>
      <c r="B180" s="24"/>
    </row>
    <row r="181" spans="1:7" hidden="1">
      <c r="A181" s="24" t="s">
        <v>176</v>
      </c>
      <c r="B181" s="24"/>
    </row>
    <row r="182" spans="1:7" hidden="1">
      <c r="A182" s="24" t="s">
        <v>177</v>
      </c>
      <c r="B182" s="24"/>
    </row>
    <row r="183" spans="1:7" hidden="1">
      <c r="A183" s="24" t="s">
        <v>178</v>
      </c>
      <c r="B183" s="24"/>
    </row>
    <row r="184" spans="1:7" s="38" customFormat="1" hidden="1"/>
    <row r="185" spans="1:7" hidden="1">
      <c r="A185" s="33" t="s">
        <v>401</v>
      </c>
      <c r="B185" s="24">
        <f>SUM(B178:B183)</f>
        <v>0</v>
      </c>
    </row>
    <row r="186" spans="1:7" hidden="1"/>
    <row r="187" spans="1:7">
      <c r="A187" s="2" t="s">
        <v>402</v>
      </c>
      <c r="B187" s="3"/>
      <c r="C187" s="3"/>
      <c r="D187" s="3"/>
      <c r="E187" s="3"/>
      <c r="F187" s="3"/>
      <c r="G187" s="3"/>
    </row>
    <row r="189" spans="1:7">
      <c r="A189" s="33" t="s">
        <v>368</v>
      </c>
      <c r="B189" s="36">
        <f>B115</f>
        <v>648260.22727272753</v>
      </c>
    </row>
    <row r="190" spans="1:7">
      <c r="A190" s="33" t="s">
        <v>396</v>
      </c>
      <c r="B190" s="36">
        <f>B162</f>
        <v>433965</v>
      </c>
      <c r="C190" s="1" t="s">
        <v>403</v>
      </c>
    </row>
    <row r="191" spans="1:7">
      <c r="A191" s="33" t="s">
        <v>401</v>
      </c>
      <c r="B191" s="24">
        <f>B185</f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F66F-426C-4898-A0E6-94DB53199D0A}">
  <sheetPr>
    <tabColor theme="7" tint="0.79998168889431442"/>
  </sheetPr>
  <dimension ref="A1:C51"/>
  <sheetViews>
    <sheetView topLeftCell="A16" zoomScale="120" zoomScaleNormal="120" workbookViewId="0">
      <selection activeCell="G38" sqref="G38"/>
    </sheetView>
  </sheetViews>
  <sheetFormatPr defaultColWidth="9.140625" defaultRowHeight="11.25"/>
  <cols>
    <col min="1" max="1" width="42" style="1" bestFit="1" customWidth="1"/>
    <col min="2" max="2" width="13.140625" style="1" bestFit="1" customWidth="1"/>
    <col min="3" max="3" width="14.42578125" style="1" bestFit="1" customWidth="1"/>
    <col min="4" max="16384" width="9.140625" style="1"/>
  </cols>
  <sheetData>
    <row r="1" spans="1:3" s="27" customFormat="1">
      <c r="A1" s="26" t="s">
        <v>404</v>
      </c>
    </row>
    <row r="3" spans="1:3">
      <c r="A3" s="1" t="s">
        <v>254</v>
      </c>
      <c r="B3" s="24"/>
    </row>
    <row r="4" spans="1:3">
      <c r="A4" s="1" t="s">
        <v>405</v>
      </c>
      <c r="B4" s="29"/>
    </row>
    <row r="5" spans="1:3" s="38" customFormat="1"/>
    <row r="6" spans="1:3" s="65" customFormat="1">
      <c r="A6" s="64" t="s">
        <v>406</v>
      </c>
    </row>
    <row r="8" spans="1:3">
      <c r="A8" s="38" t="s">
        <v>249</v>
      </c>
      <c r="B8" s="20">
        <f>INDEX('London Boroughs specific'!$G$2:$G$34,MATCH(Simplified!B4,'London Boroughs specific'!$B$2:$B$34,0))</f>
        <v>23364</v>
      </c>
    </row>
    <row r="9" spans="1:3">
      <c r="A9" s="38" t="s">
        <v>251</v>
      </c>
      <c r="B9" s="20">
        <f>INDEX('London Boroughs specific'!$F$2:$F$34,MATCH(Simplified!B4,'London Boroughs specific'!$B$2:$B$34,0))</f>
        <v>83658</v>
      </c>
      <c r="C9" s="127"/>
    </row>
    <row r="10" spans="1:3">
      <c r="A10" s="24" t="s">
        <v>72</v>
      </c>
      <c r="B10" s="85">
        <f>B8/B9</f>
        <v>0.27927992541060032</v>
      </c>
    </row>
    <row r="11" spans="1:3">
      <c r="A11" s="38" t="s">
        <v>252</v>
      </c>
      <c r="B11" s="128">
        <f>INDEX('London Boroughs specific'!$T$2:$T$34,MATCH(Simplified!$B$4,'London Boroughs specific'!$B$2:$B$34,0))</f>
        <v>0.13156805640711217</v>
      </c>
    </row>
    <row r="12" spans="1:3">
      <c r="A12" s="38" t="s">
        <v>407</v>
      </c>
      <c r="B12" s="30">
        <f>Costs!B9</f>
        <v>15000</v>
      </c>
    </row>
    <row r="13" spans="1:3">
      <c r="A13" s="38" t="s">
        <v>408</v>
      </c>
      <c r="B13" s="70">
        <f>INDEX('General assumptions'!$C$46:$E$46,MATCH(Simplified!$B$12,'General assumptions'!$C$45:$E$45,0))</f>
        <v>0.3</v>
      </c>
    </row>
    <row r="14" spans="1:3">
      <c r="A14" s="38" t="s">
        <v>409</v>
      </c>
      <c r="B14" s="128">
        <f>B11*B13</f>
        <v>3.9470416922133648E-2</v>
      </c>
    </row>
    <row r="15" spans="1:3">
      <c r="A15" s="24" t="s">
        <v>74</v>
      </c>
      <c r="B15" s="85">
        <f>(B8+B14*B12)/B9</f>
        <v>0.28635702806464419</v>
      </c>
    </row>
    <row r="16" spans="1:3">
      <c r="A16" s="24" t="s">
        <v>75</v>
      </c>
      <c r="B16" s="133">
        <f>B15-B10</f>
        <v>7.0771026540438764E-3</v>
      </c>
    </row>
    <row r="18" spans="1:3" s="65" customFormat="1">
      <c r="A18" s="64" t="s">
        <v>410</v>
      </c>
    </row>
    <row r="20" spans="1:3">
      <c r="A20" s="24" t="s">
        <v>411</v>
      </c>
      <c r="B20" s="88">
        <f>INDEX('General assumptions'!$C$47:$E$47,MATCH(Simplified!$B$13,'General assumptions'!$C$45:$E$45,0))</f>
        <v>0.24199999999999999</v>
      </c>
    </row>
    <row r="22" spans="1:3" s="65" customFormat="1">
      <c r="A22" s="64" t="s">
        <v>412</v>
      </c>
    </row>
    <row r="24" spans="1:3">
      <c r="A24" s="38" t="s">
        <v>413</v>
      </c>
      <c r="B24" s="1" t="s">
        <v>414</v>
      </c>
      <c r="C24" s="30">
        <f>Benefits!B34</f>
        <v>435182.04766736232</v>
      </c>
    </row>
    <row r="25" spans="1:3">
      <c r="A25" s="38" t="s">
        <v>415</v>
      </c>
      <c r="B25" s="1" t="s">
        <v>414</v>
      </c>
      <c r="C25" s="30">
        <f>Benefits!B35</f>
        <v>22869.080623850386</v>
      </c>
    </row>
    <row r="27" spans="1:3">
      <c r="A27" s="24" t="s">
        <v>416</v>
      </c>
      <c r="B27" s="24" t="s">
        <v>417</v>
      </c>
      <c r="C27" s="151">
        <f>(C24-C25)/'General assumptions'!D26</f>
        <v>412.31296704351195</v>
      </c>
    </row>
    <row r="29" spans="1:3" s="65" customFormat="1">
      <c r="A29" s="64" t="s">
        <v>418</v>
      </c>
    </row>
    <row r="31" spans="1:3">
      <c r="A31" s="38" t="s">
        <v>181</v>
      </c>
      <c r="C31" s="1">
        <f>Simplified!B25</f>
        <v>1100</v>
      </c>
    </row>
    <row r="32" spans="1:3">
      <c r="A32" s="38" t="s">
        <v>183</v>
      </c>
      <c r="C32" s="1">
        <f>Simplified!B27</f>
        <v>1</v>
      </c>
    </row>
    <row r="33" spans="1:3">
      <c r="A33" s="1" t="s">
        <v>26</v>
      </c>
      <c r="C33" s="1">
        <f>Simplified!B16</f>
        <v>100</v>
      </c>
    </row>
    <row r="34" spans="1:3">
      <c r="A34" s="1" t="s">
        <v>32</v>
      </c>
      <c r="C34" s="1">
        <f>Simplified!B19</f>
        <v>5</v>
      </c>
    </row>
    <row r="35" spans="1:3">
      <c r="A35" s="1" t="s">
        <v>33</v>
      </c>
      <c r="C35" s="1">
        <f>Simplified!B20</f>
        <v>1</v>
      </c>
    </row>
    <row r="36" spans="1:3">
      <c r="A36" s="1" t="s">
        <v>34</v>
      </c>
      <c r="C36" s="1">
        <f>Simplified!B21</f>
        <v>2</v>
      </c>
    </row>
    <row r="37" spans="1:3">
      <c r="A37" s="1" t="s">
        <v>30</v>
      </c>
      <c r="C37" s="1">
        <f>Simplified!B18</f>
        <v>150</v>
      </c>
    </row>
    <row r="39" spans="1:3">
      <c r="A39" s="24" t="s">
        <v>419</v>
      </c>
      <c r="B39" s="24" t="s">
        <v>420</v>
      </c>
      <c r="C39" s="37">
        <f>(C31*C32*C33*C34*C35*C36)/(C33*C37)</f>
        <v>73.333333333333329</v>
      </c>
    </row>
    <row r="41" spans="1:3" s="65" customFormat="1">
      <c r="A41" s="64" t="s">
        <v>421</v>
      </c>
    </row>
    <row r="43" spans="1:3">
      <c r="A43" s="1" t="s">
        <v>422</v>
      </c>
      <c r="B43" s="30">
        <f>-SUM(NPV!$B$77:$Q$78)</f>
        <v>4595875.2272727275</v>
      </c>
    </row>
    <row r="44" spans="1:3">
      <c r="A44" s="1" t="s">
        <v>407</v>
      </c>
      <c r="B44" s="30">
        <f>Costs!B9</f>
        <v>15000</v>
      </c>
    </row>
    <row r="45" spans="1:3">
      <c r="A45" s="1" t="s">
        <v>69</v>
      </c>
      <c r="B45" s="30">
        <f>NPV!B8</f>
        <v>10</v>
      </c>
    </row>
    <row r="46" spans="1:3">
      <c r="A46" s="24" t="s">
        <v>423</v>
      </c>
      <c r="B46" s="132">
        <f>B43/(B44*B45)</f>
        <v>30.639168181818185</v>
      </c>
    </row>
    <row r="47" spans="1:3">
      <c r="A47" s="38"/>
    </row>
    <row r="48" spans="1:3">
      <c r="A48" s="1" t="s">
        <v>424</v>
      </c>
      <c r="B48" s="1">
        <f>SUM(NPV!B93:Q93)</f>
        <v>11075964.115737377</v>
      </c>
    </row>
    <row r="49" spans="1:2">
      <c r="A49" s="1" t="s">
        <v>407</v>
      </c>
      <c r="B49" s="1">
        <f>Costs!B9</f>
        <v>15000</v>
      </c>
    </row>
    <row r="50" spans="1:2">
      <c r="A50" s="1" t="s">
        <v>69</v>
      </c>
      <c r="B50" s="30">
        <f>NPV!B8</f>
        <v>10</v>
      </c>
    </row>
    <row r="51" spans="1:2">
      <c r="A51" s="24" t="s">
        <v>425</v>
      </c>
      <c r="B51" s="132">
        <f>B48/(B49*B50)</f>
        <v>73.839760771582505</v>
      </c>
    </row>
  </sheetData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9847-2869-44EC-A4C4-42150DF31198}">
  <sheetPr>
    <tabColor theme="7" tint="0.79998168889431442"/>
  </sheetPr>
  <dimension ref="A1:T109"/>
  <sheetViews>
    <sheetView topLeftCell="A49" zoomScale="80" zoomScaleNormal="80" workbookViewId="0">
      <selection activeCell="B92" sqref="B92"/>
    </sheetView>
  </sheetViews>
  <sheetFormatPr defaultRowHeight="15"/>
  <cols>
    <col min="1" max="1" width="48.42578125" bestFit="1" customWidth="1"/>
    <col min="2" max="2" width="11.7109375" bestFit="1" customWidth="1"/>
    <col min="3" max="17" width="11.7109375" customWidth="1"/>
  </cols>
  <sheetData>
    <row r="1" spans="1:20" s="27" customFormat="1" ht="11.25">
      <c r="A1" s="2" t="s">
        <v>426</v>
      </c>
    </row>
    <row r="3" spans="1:20">
      <c r="A3" s="1" t="s">
        <v>254</v>
      </c>
      <c r="B3" s="24"/>
    </row>
    <row r="4" spans="1:20">
      <c r="A4" s="1" t="s">
        <v>405</v>
      </c>
      <c r="B4" s="29"/>
    </row>
    <row r="6" spans="1:20" s="27" customFormat="1" ht="11.25">
      <c r="A6" s="2" t="s">
        <v>427</v>
      </c>
    </row>
    <row r="7" spans="1:20">
      <c r="A7" s="24" t="s">
        <v>67</v>
      </c>
      <c r="B7" s="122" t="str">
        <f>Simplified!B54</f>
        <v>No</v>
      </c>
      <c r="C7" s="1"/>
      <c r="D7" s="1"/>
      <c r="E7" s="1"/>
      <c r="F7" s="1"/>
      <c r="G7" s="1"/>
    </row>
    <row r="8" spans="1:20">
      <c r="A8" s="24" t="s">
        <v>69</v>
      </c>
      <c r="B8" s="122">
        <f>Simplified!B55</f>
        <v>10</v>
      </c>
      <c r="C8" s="1"/>
      <c r="D8" s="1"/>
      <c r="E8" s="1"/>
      <c r="F8" s="1"/>
      <c r="G8" s="1"/>
    </row>
    <row r="9" spans="1:20">
      <c r="A9" s="24" t="s">
        <v>428</v>
      </c>
      <c r="B9" s="85">
        <f>'General assumptions'!D40</f>
        <v>3.5000000000000003E-2</v>
      </c>
      <c r="C9" s="1"/>
      <c r="D9" s="1"/>
      <c r="E9" s="1"/>
      <c r="F9" s="1"/>
      <c r="G9" s="1"/>
    </row>
    <row r="10" spans="1:20" ht="14.25" customHeight="1">
      <c r="A10" s="24" t="s">
        <v>99</v>
      </c>
      <c r="B10" s="29">
        <v>2020</v>
      </c>
      <c r="C10" s="24">
        <f>B10+1</f>
        <v>2021</v>
      </c>
      <c r="D10" s="24">
        <f t="shared" ref="D10:G11" si="0">C10+1</f>
        <v>2022</v>
      </c>
      <c r="E10" s="24">
        <f t="shared" si="0"/>
        <v>2023</v>
      </c>
      <c r="F10" s="24">
        <f t="shared" si="0"/>
        <v>2024</v>
      </c>
      <c r="G10" s="24">
        <f t="shared" si="0"/>
        <v>2025</v>
      </c>
      <c r="H10" s="24">
        <f t="shared" ref="H10:H11" si="1">G10+1</f>
        <v>2026</v>
      </c>
      <c r="I10" s="24">
        <f t="shared" ref="I10:I11" si="2">H10+1</f>
        <v>2027</v>
      </c>
      <c r="J10" s="24">
        <f t="shared" ref="J10:J11" si="3">I10+1</f>
        <v>2028</v>
      </c>
      <c r="K10" s="24">
        <f t="shared" ref="K10:K11" si="4">J10+1</f>
        <v>2029</v>
      </c>
      <c r="L10" s="24">
        <f t="shared" ref="L10:L11" si="5">K10+1</f>
        <v>2030</v>
      </c>
      <c r="M10" s="24">
        <f t="shared" ref="M10:M11" si="6">L10+1</f>
        <v>2031</v>
      </c>
      <c r="N10" s="24">
        <f t="shared" ref="N10:N11" si="7">M10+1</f>
        <v>2032</v>
      </c>
      <c r="O10" s="24">
        <f t="shared" ref="O10:O11" si="8">N10+1</f>
        <v>2033</v>
      </c>
      <c r="P10" s="24">
        <f t="shared" ref="P10:P11" si="9">O10+1</f>
        <v>2034</v>
      </c>
      <c r="Q10" s="24">
        <f t="shared" ref="Q10:Q11" si="10">P10+1</f>
        <v>2035</v>
      </c>
      <c r="R10" s="24"/>
      <c r="S10" s="24"/>
      <c r="T10" s="24"/>
    </row>
    <row r="11" spans="1:20">
      <c r="A11" s="1" t="s">
        <v>99</v>
      </c>
      <c r="B11" s="29">
        <v>0</v>
      </c>
      <c r="C11" s="1">
        <f>B11+1</f>
        <v>1</v>
      </c>
      <c r="D11" s="1">
        <f t="shared" si="0"/>
        <v>2</v>
      </c>
      <c r="E11" s="1">
        <f t="shared" si="0"/>
        <v>3</v>
      </c>
      <c r="F11" s="1">
        <f t="shared" si="0"/>
        <v>4</v>
      </c>
      <c r="G11" s="1">
        <f t="shared" si="0"/>
        <v>5</v>
      </c>
      <c r="H11" s="1">
        <f t="shared" si="1"/>
        <v>6</v>
      </c>
      <c r="I11" s="1">
        <f t="shared" si="2"/>
        <v>7</v>
      </c>
      <c r="J11" s="1">
        <f t="shared" si="3"/>
        <v>8</v>
      </c>
      <c r="K11" s="1">
        <f t="shared" si="4"/>
        <v>9</v>
      </c>
      <c r="L11" s="1">
        <f t="shared" si="5"/>
        <v>10</v>
      </c>
      <c r="M11" s="1">
        <f t="shared" si="6"/>
        <v>11</v>
      </c>
      <c r="N11" s="1">
        <f t="shared" si="7"/>
        <v>12</v>
      </c>
      <c r="O11" s="1">
        <f t="shared" si="8"/>
        <v>13</v>
      </c>
      <c r="P11" s="1">
        <f t="shared" si="9"/>
        <v>14</v>
      </c>
      <c r="Q11" s="1">
        <f t="shared" si="10"/>
        <v>15</v>
      </c>
      <c r="R11" s="1"/>
      <c r="S11" s="1"/>
      <c r="T11" s="1"/>
    </row>
    <row r="12" spans="1:20">
      <c r="A12" s="1" t="s">
        <v>429</v>
      </c>
      <c r="B12" s="94">
        <f>IF(B11&lt;=$B$8,1,0)</f>
        <v>1</v>
      </c>
      <c r="C12" s="94">
        <f t="shared" ref="C12:Q12" si="11">IF(C11&lt;=$B$8,1,0)</f>
        <v>1</v>
      </c>
      <c r="D12" s="94">
        <f t="shared" si="11"/>
        <v>1</v>
      </c>
      <c r="E12" s="94">
        <f t="shared" si="11"/>
        <v>1</v>
      </c>
      <c r="F12" s="94">
        <f t="shared" si="11"/>
        <v>1</v>
      </c>
      <c r="G12" s="94">
        <f t="shared" si="11"/>
        <v>1</v>
      </c>
      <c r="H12" s="94">
        <f t="shared" si="11"/>
        <v>1</v>
      </c>
      <c r="I12" s="94">
        <f t="shared" si="11"/>
        <v>1</v>
      </c>
      <c r="J12" s="94">
        <f t="shared" si="11"/>
        <v>1</v>
      </c>
      <c r="K12" s="94">
        <f t="shared" si="11"/>
        <v>1</v>
      </c>
      <c r="L12" s="94">
        <f t="shared" si="11"/>
        <v>1</v>
      </c>
      <c r="M12" s="94">
        <f t="shared" si="11"/>
        <v>0</v>
      </c>
      <c r="N12" s="94">
        <f t="shared" si="11"/>
        <v>0</v>
      </c>
      <c r="O12" s="94">
        <f t="shared" si="11"/>
        <v>0</v>
      </c>
      <c r="P12" s="94">
        <f t="shared" si="11"/>
        <v>0</v>
      </c>
      <c r="Q12" s="94">
        <f t="shared" si="11"/>
        <v>0</v>
      </c>
      <c r="R12" s="1"/>
      <c r="S12" s="1"/>
      <c r="T12" s="1"/>
    </row>
    <row r="13" spans="1:20">
      <c r="A13" s="1" t="s">
        <v>430</v>
      </c>
      <c r="B13" s="34">
        <f>IF($B$7="Yes",1/(1+$B$9)^B11,1)</f>
        <v>1</v>
      </c>
      <c r="C13" s="34">
        <f t="shared" ref="C13:Q13" si="12">IF($B$7="Yes",1/(1+$B$9)^C11,1)</f>
        <v>1</v>
      </c>
      <c r="D13" s="34">
        <f t="shared" si="12"/>
        <v>1</v>
      </c>
      <c r="E13" s="34">
        <f t="shared" si="12"/>
        <v>1</v>
      </c>
      <c r="F13" s="34">
        <f t="shared" si="12"/>
        <v>1</v>
      </c>
      <c r="G13" s="34">
        <f t="shared" si="12"/>
        <v>1</v>
      </c>
      <c r="H13" s="34">
        <f t="shared" si="12"/>
        <v>1</v>
      </c>
      <c r="I13" s="34">
        <f t="shared" si="12"/>
        <v>1</v>
      </c>
      <c r="J13" s="34">
        <f t="shared" si="12"/>
        <v>1</v>
      </c>
      <c r="K13" s="34">
        <f t="shared" si="12"/>
        <v>1</v>
      </c>
      <c r="L13" s="34">
        <f t="shared" si="12"/>
        <v>1</v>
      </c>
      <c r="M13" s="34">
        <f t="shared" si="12"/>
        <v>1</v>
      </c>
      <c r="N13" s="34">
        <f t="shared" si="12"/>
        <v>1</v>
      </c>
      <c r="O13" s="34">
        <f t="shared" si="12"/>
        <v>1</v>
      </c>
      <c r="P13" s="34">
        <f t="shared" si="12"/>
        <v>1</v>
      </c>
      <c r="Q13" s="34">
        <f t="shared" si="12"/>
        <v>1</v>
      </c>
    </row>
    <row r="14" spans="1:20">
      <c r="A14" s="1" t="s">
        <v>431</v>
      </c>
      <c r="B14" s="34"/>
      <c r="C14" s="34"/>
      <c r="D14" s="34"/>
      <c r="E14" s="34"/>
      <c r="F14" s="34"/>
      <c r="G14" s="34"/>
    </row>
    <row r="15" spans="1:20">
      <c r="A15" s="1"/>
      <c r="B15" s="34"/>
      <c r="C15" s="34"/>
      <c r="D15" s="34"/>
      <c r="E15" s="34"/>
      <c r="F15" s="34"/>
      <c r="G15" s="34"/>
    </row>
    <row r="16" spans="1:20" s="27" customFormat="1" ht="11.25">
      <c r="A16" s="2" t="s">
        <v>432</v>
      </c>
    </row>
    <row r="17" spans="1:17">
      <c r="A17" s="40" t="s">
        <v>336</v>
      </c>
      <c r="B17" s="35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</row>
    <row r="18" spans="1:17">
      <c r="A18" s="40" t="s">
        <v>342</v>
      </c>
      <c r="B18" s="35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</row>
    <row r="19" spans="1:17">
      <c r="A19" s="24" t="s">
        <v>366</v>
      </c>
      <c r="B19" s="35">
        <f>Costs!B82</f>
        <v>245240</v>
      </c>
      <c r="C19" s="35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</row>
    <row r="20" spans="1:17">
      <c r="A20" s="24" t="s">
        <v>345</v>
      </c>
      <c r="B20" s="35">
        <f>Costs!B83</f>
        <v>20000</v>
      </c>
      <c r="C20" s="35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</row>
    <row r="21" spans="1:17">
      <c r="A21" s="24" t="s">
        <v>346</v>
      </c>
      <c r="B21" s="35">
        <f>Costs!B84</f>
        <v>16000</v>
      </c>
      <c r="C21" s="35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</row>
    <row r="22" spans="1:17">
      <c r="A22" s="40" t="s">
        <v>347</v>
      </c>
      <c r="B22" s="35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</row>
    <row r="23" spans="1:17">
      <c r="A23" s="24" t="s">
        <v>141</v>
      </c>
      <c r="B23" s="35">
        <f>Costs!B86</f>
        <v>150000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</row>
    <row r="24" spans="1:17">
      <c r="A24" s="24" t="s">
        <v>142</v>
      </c>
      <c r="B24" s="35">
        <f>Costs!B87</f>
        <v>60750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</row>
    <row r="25" spans="1:17">
      <c r="A25" s="24" t="s">
        <v>143</v>
      </c>
      <c r="B25" s="35">
        <f>Costs!B88</f>
        <v>18812.5</v>
      </c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</row>
    <row r="26" spans="1:17">
      <c r="A26" s="24" t="s">
        <v>349</v>
      </c>
      <c r="B26" s="35">
        <f>Costs!B89</f>
        <v>2500</v>
      </c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</row>
    <row r="27" spans="1:17">
      <c r="A27" s="24" t="s">
        <v>350</v>
      </c>
      <c r="B27" s="35">
        <f>Costs!B90</f>
        <v>25000</v>
      </c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</row>
    <row r="28" spans="1:17">
      <c r="A28" s="24" t="s">
        <v>351</v>
      </c>
      <c r="B28" s="35">
        <f>Costs!B91</f>
        <v>25000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</row>
    <row r="29" spans="1:17">
      <c r="A29" s="24" t="s">
        <v>352</v>
      </c>
      <c r="B29" s="35">
        <f>Costs!B92</f>
        <v>27500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</row>
    <row r="30" spans="1:17">
      <c r="A30" s="24" t="s">
        <v>353</v>
      </c>
      <c r="B30" s="35">
        <f>Costs!B93</f>
        <v>27500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</row>
    <row r="31" spans="1:17">
      <c r="A31" s="40" t="s">
        <v>354</v>
      </c>
      <c r="B31" s="35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</row>
    <row r="32" spans="1:17">
      <c r="A32" s="24" t="s">
        <v>159</v>
      </c>
      <c r="B32" s="35">
        <f>Costs!B95</f>
        <v>500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</row>
    <row r="33" spans="1:17">
      <c r="A33" s="24" t="s">
        <v>367</v>
      </c>
      <c r="B33" s="35">
        <f>Costs!B96</f>
        <v>135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</row>
    <row r="34" spans="1:17">
      <c r="A34" s="24" t="s">
        <v>356</v>
      </c>
      <c r="B34" s="35">
        <f>Costs!B97</f>
        <v>1750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</row>
    <row r="35" spans="1:17">
      <c r="A35" s="40" t="s">
        <v>358</v>
      </c>
      <c r="B35" s="35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</row>
    <row r="36" spans="1:17">
      <c r="A36" s="40" t="s">
        <v>359</v>
      </c>
      <c r="B36" s="35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</row>
    <row r="37" spans="1:17">
      <c r="A37" s="24" t="s">
        <v>145</v>
      </c>
      <c r="B37" s="35">
        <f>Costs!B100</f>
        <v>20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</row>
    <row r="38" spans="1:17">
      <c r="A38" s="24" t="s">
        <v>147</v>
      </c>
      <c r="B38" s="35">
        <f>Costs!B101</f>
        <v>60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</row>
    <row r="39" spans="1:17">
      <c r="A39" s="24" t="s">
        <v>149</v>
      </c>
      <c r="B39" s="35">
        <f>Costs!B102</f>
        <v>20</v>
      </c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</row>
    <row r="40" spans="1:17">
      <c r="A40" s="24" t="s">
        <v>154</v>
      </c>
      <c r="B40" s="35">
        <f>Costs!B103</f>
        <v>60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</row>
    <row r="41" spans="1:17">
      <c r="A41" s="24" t="s">
        <v>361</v>
      </c>
      <c r="B41" s="35">
        <f>Costs!B104</f>
        <v>60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</row>
    <row r="42" spans="1:17">
      <c r="A42" s="24" t="s">
        <v>362</v>
      </c>
      <c r="B42" s="35">
        <f>Costs!B105</f>
        <v>60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</row>
    <row r="43" spans="1:17">
      <c r="A43" s="24" t="s">
        <v>158</v>
      </c>
      <c r="B43" s="35">
        <f>Costs!B106</f>
        <v>20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</row>
    <row r="44" spans="1:17">
      <c r="A44" s="40" t="s">
        <v>363</v>
      </c>
      <c r="B44" s="35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</row>
    <row r="45" spans="1:17">
      <c r="A45" s="24" t="s">
        <v>164</v>
      </c>
      <c r="B45" s="35">
        <f>Costs!B108</f>
        <v>5681.818181818182</v>
      </c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</row>
    <row r="46" spans="1:17">
      <c r="A46" s="24" t="s">
        <v>165</v>
      </c>
      <c r="B46" s="35">
        <f>Costs!B109</f>
        <v>5681.818181818182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</row>
    <row r="47" spans="1:17">
      <c r="A47" s="24" t="s">
        <v>166</v>
      </c>
      <c r="B47" s="35">
        <f>Costs!B110</f>
        <v>2272.727272727273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</row>
    <row r="48" spans="1:17">
      <c r="A48" s="24" t="s">
        <v>167</v>
      </c>
      <c r="B48" s="35">
        <f>Costs!B111</f>
        <v>2272.727272727273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</row>
    <row r="49" spans="1:17">
      <c r="A49" s="24" t="s">
        <v>168</v>
      </c>
      <c r="B49" s="35">
        <f>Costs!B112</f>
        <v>5681.818181818182</v>
      </c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</row>
    <row r="50" spans="1:17">
      <c r="A50" s="24" t="s">
        <v>169</v>
      </c>
      <c r="B50" s="35">
        <f>Costs!B113</f>
        <v>5681.818181818182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</row>
    <row r="51" spans="1:17">
      <c r="A51" s="24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</row>
    <row r="52" spans="1:17">
      <c r="A52" s="40" t="s">
        <v>394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</row>
    <row r="53" spans="1:17">
      <c r="A53" s="40" t="s">
        <v>372</v>
      </c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</row>
    <row r="54" spans="1:17">
      <c r="A54" s="40" t="s">
        <v>347</v>
      </c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</row>
    <row r="55" spans="1:17">
      <c r="A55" s="24" t="s">
        <v>374</v>
      </c>
      <c r="B55" s="35">
        <f>IF(MOD(COLUMN(B$11)-2,Costs!$F146)=0,Costs!$B146,0)*B$12</f>
        <v>261885</v>
      </c>
      <c r="C55" s="35">
        <f>IF(MOD(COLUMN(C$11)-2,Costs!$F146)=0,Costs!$B146,0)*C$12</f>
        <v>261885</v>
      </c>
      <c r="D55" s="35">
        <f>IF(MOD(COLUMN(D$11)-2,Costs!$F146)=0,Costs!$B146,0)*D$12</f>
        <v>261885</v>
      </c>
      <c r="E55" s="35">
        <f>IF(MOD(COLUMN(E$11)-2,Costs!$F146)=0,Costs!$B146,0)*E$12</f>
        <v>261885</v>
      </c>
      <c r="F55" s="35">
        <f>IF(MOD(COLUMN(F$11)-2,Costs!$F146)=0,Costs!$B146,0)*F$12</f>
        <v>261885</v>
      </c>
      <c r="G55" s="35">
        <f>IF(MOD(COLUMN(G$11)-2,Costs!$F146)=0,Costs!$B146,0)*G$12</f>
        <v>261885</v>
      </c>
      <c r="H55" s="35">
        <f>IF(MOD(COLUMN(H$11)-2,Costs!$F146)=0,Costs!$B146,0)*H$12</f>
        <v>261885</v>
      </c>
      <c r="I55" s="35">
        <f>IF(MOD(COLUMN(I$11)-2,Costs!$F146)=0,Costs!$B146,0)*I$12</f>
        <v>261885</v>
      </c>
      <c r="J55" s="35">
        <f>IF(MOD(COLUMN(J$11)-2,Costs!$F146)=0,Costs!$B146,0)*J$12</f>
        <v>261885</v>
      </c>
      <c r="K55" s="35">
        <f>IF(MOD(COLUMN(K$11)-2,Costs!$F146)=0,Costs!$B146,0)*K$12</f>
        <v>261885</v>
      </c>
      <c r="L55" s="35">
        <f>IF(MOD(COLUMN(L$11)-2,Costs!$F146)=0,Costs!$B146,0)*L$12</f>
        <v>261885</v>
      </c>
      <c r="M55" s="35">
        <f>IF(MOD(COLUMN(M$11)-2,Costs!$F146)=0,Costs!$B146,0)*M$12</f>
        <v>0</v>
      </c>
      <c r="N55" s="35">
        <f>IF(MOD(COLUMN(N$11)-2,Costs!$F146)=0,Costs!$B146,0)*N$12</f>
        <v>0</v>
      </c>
      <c r="O55" s="35">
        <f>IF(MOD(COLUMN(O$11)-2,Costs!$F146)=0,Costs!$B146,0)*O$12</f>
        <v>0</v>
      </c>
      <c r="P55" s="35">
        <f>IF(MOD(COLUMN(P$11)-2,Costs!$F146)=0,Costs!$B146,0)*P$12</f>
        <v>0</v>
      </c>
      <c r="Q55" s="35">
        <f>IF(MOD(COLUMN(Q$11)-2,Costs!$F146)=0,Costs!$B146,0)*Q$12</f>
        <v>0</v>
      </c>
    </row>
    <row r="56" spans="1:17">
      <c r="A56" s="24" t="s">
        <v>376</v>
      </c>
      <c r="B56" s="35">
        <f>IF(MOD(COLUMN(B$11)-2,Costs!$F147)=0,Costs!$B147,0)*B$12</f>
        <v>80580</v>
      </c>
      <c r="C56" s="35">
        <f>IF(MOD(COLUMN(C$11)-2,Costs!$F147)=0,Costs!$B147,0)*C$12</f>
        <v>80580</v>
      </c>
      <c r="D56" s="35">
        <f>IF(MOD(COLUMN(D$11)-2,Costs!$F147)=0,Costs!$B147,0)*D$12</f>
        <v>80580</v>
      </c>
      <c r="E56" s="35">
        <f>IF(MOD(COLUMN(E$11)-2,Costs!$F147)=0,Costs!$B147,0)*E$12</f>
        <v>80580</v>
      </c>
      <c r="F56" s="35">
        <f>IF(MOD(COLUMN(F$11)-2,Costs!$F147)=0,Costs!$B147,0)*F$12</f>
        <v>80580</v>
      </c>
      <c r="G56" s="35">
        <f>IF(MOD(COLUMN(G$11)-2,Costs!$F147)=0,Costs!$B147,0)*G$12</f>
        <v>80580</v>
      </c>
      <c r="H56" s="35">
        <f>IF(MOD(COLUMN(H$11)-2,Costs!$F147)=0,Costs!$B147,0)*H$12</f>
        <v>80580</v>
      </c>
      <c r="I56" s="35">
        <f>IF(MOD(COLUMN(I$11)-2,Costs!$F147)=0,Costs!$B147,0)*I$12</f>
        <v>80580</v>
      </c>
      <c r="J56" s="35">
        <f>IF(MOD(COLUMN(J$11)-2,Costs!$F147)=0,Costs!$B147,0)*J$12</f>
        <v>80580</v>
      </c>
      <c r="K56" s="35">
        <f>IF(MOD(COLUMN(K$11)-2,Costs!$F147)=0,Costs!$B147,0)*K$12</f>
        <v>80580</v>
      </c>
      <c r="L56" s="35">
        <f>IF(MOD(COLUMN(L$11)-2,Costs!$F147)=0,Costs!$B147,0)*L$12</f>
        <v>80580</v>
      </c>
      <c r="M56" s="35">
        <f>IF(MOD(COLUMN(M$11)-2,Costs!$F147)=0,Costs!$B147,0)*M$12</f>
        <v>0</v>
      </c>
      <c r="N56" s="35">
        <f>IF(MOD(COLUMN(N$11)-2,Costs!$F147)=0,Costs!$B147,0)*N$12</f>
        <v>0</v>
      </c>
      <c r="O56" s="35">
        <f>IF(MOD(COLUMN(O$11)-2,Costs!$F147)=0,Costs!$B147,0)*O$12</f>
        <v>0</v>
      </c>
      <c r="P56" s="35">
        <f>IF(MOD(COLUMN(P$11)-2,Costs!$F147)=0,Costs!$B147,0)*P$12</f>
        <v>0</v>
      </c>
      <c r="Q56" s="35">
        <f>IF(MOD(COLUMN(Q$11)-2,Costs!$F147)=0,Costs!$B147,0)*Q$12</f>
        <v>0</v>
      </c>
    </row>
    <row r="57" spans="1:17">
      <c r="A57" s="40" t="s">
        <v>378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</row>
    <row r="58" spans="1:17">
      <c r="A58" s="24" t="s">
        <v>433</v>
      </c>
      <c r="B58" s="35">
        <f>IF(MOD(COLUMN(B$11)-2,Costs!$F149)=0,Costs!$B149,0)*B$12</f>
        <v>5250</v>
      </c>
      <c r="C58" s="35">
        <f>IF(MOD(COLUMN(C$11)-2,Costs!$F149)=0,Costs!$B149,0)*C$12</f>
        <v>5250</v>
      </c>
      <c r="D58" s="35">
        <f>IF(MOD(COLUMN(D$11)-2,Costs!$F149)=0,Costs!$B149,0)*D$12</f>
        <v>5250</v>
      </c>
      <c r="E58" s="35">
        <f>IF(MOD(COLUMN(E$11)-2,Costs!$F149)=0,Costs!$B149,0)*E$12</f>
        <v>5250</v>
      </c>
      <c r="F58" s="35">
        <f>IF(MOD(COLUMN(F$11)-2,Costs!$F149)=0,Costs!$B149,0)*F$12</f>
        <v>5250</v>
      </c>
      <c r="G58" s="35">
        <f>IF(MOD(COLUMN(G$11)-2,Costs!$F149)=0,Costs!$B149,0)*G$12</f>
        <v>5250</v>
      </c>
      <c r="H58" s="35">
        <f>IF(MOD(COLUMN(H$11)-2,Costs!$F149)=0,Costs!$B149,0)*H$12</f>
        <v>5250</v>
      </c>
      <c r="I58" s="35">
        <f>IF(MOD(COLUMN(I$11)-2,Costs!$F149)=0,Costs!$B149,0)*I$12</f>
        <v>5250</v>
      </c>
      <c r="J58" s="35">
        <f>IF(MOD(COLUMN(J$11)-2,Costs!$F149)=0,Costs!$B149,0)*J$12</f>
        <v>5250</v>
      </c>
      <c r="K58" s="35">
        <f>IF(MOD(COLUMN(K$11)-2,Costs!$F149)=0,Costs!$B149,0)*K$12</f>
        <v>5250</v>
      </c>
      <c r="L58" s="35">
        <f>IF(MOD(COLUMN(L$11)-2,Costs!$F149)=0,Costs!$B149,0)*L$12</f>
        <v>5250</v>
      </c>
      <c r="M58" s="35">
        <f>IF(MOD(COLUMN(M$11)-2,Costs!$F149)=0,Costs!$B149,0)*M$12</f>
        <v>0</v>
      </c>
      <c r="N58" s="35">
        <f>IF(MOD(COLUMN(N$11)-2,Costs!$F149)=0,Costs!$B149,0)*N$12</f>
        <v>0</v>
      </c>
      <c r="O58" s="35">
        <f>IF(MOD(COLUMN(O$11)-2,Costs!$F149)=0,Costs!$B149,0)*O$12</f>
        <v>0</v>
      </c>
      <c r="P58" s="35">
        <f>IF(MOD(COLUMN(P$11)-2,Costs!$F149)=0,Costs!$B149,0)*P$12</f>
        <v>0</v>
      </c>
      <c r="Q58" s="35">
        <f>IF(MOD(COLUMN(Q$11)-2,Costs!$F149)=0,Costs!$B149,0)*Q$12</f>
        <v>0</v>
      </c>
    </row>
    <row r="59" spans="1:17">
      <c r="A59" s="24" t="s">
        <v>384</v>
      </c>
      <c r="B59" s="35">
        <f>IF(MOD(COLUMN(B$11)-2,Costs!$F150)=0,Costs!$B150,0)*B$12</f>
        <v>0</v>
      </c>
      <c r="C59" s="35">
        <f>IF(MOD(COLUMN(C$11)-2,Costs!$F150)=0,Costs!$B150,0)*C$12</f>
        <v>0</v>
      </c>
      <c r="D59" s="35">
        <f>IF(MOD(COLUMN(D$11)-2,Costs!$F150)=0,Costs!$B150,0)*D$12</f>
        <v>0</v>
      </c>
      <c r="E59" s="35">
        <f>IF(MOD(COLUMN(E$11)-2,Costs!$F150)=0,Costs!$B150,0)*E$12</f>
        <v>0</v>
      </c>
      <c r="F59" s="35">
        <f>IF(MOD(COLUMN(F$11)-2,Costs!$F150)=0,Costs!$B150,0)*F$12</f>
        <v>0</v>
      </c>
      <c r="G59" s="35">
        <f>IF(MOD(COLUMN(G$11)-2,Costs!$F150)=0,Costs!$B150,0)*G$12</f>
        <v>0</v>
      </c>
      <c r="H59" s="35">
        <f>IF(MOD(COLUMN(H$11)-2,Costs!$F150)=0,Costs!$B150,0)*H$12</f>
        <v>0</v>
      </c>
      <c r="I59" s="35">
        <f>IF(MOD(COLUMN(I$11)-2,Costs!$F150)=0,Costs!$B150,0)*I$12</f>
        <v>0</v>
      </c>
      <c r="J59" s="35">
        <f>IF(MOD(COLUMN(J$11)-2,Costs!$F150)=0,Costs!$B150,0)*J$12</f>
        <v>0</v>
      </c>
      <c r="K59" s="35">
        <f>IF(MOD(COLUMN(K$11)-2,Costs!$F150)=0,Costs!$B150,0)*K$12</f>
        <v>0</v>
      </c>
      <c r="L59" s="35">
        <f>IF(MOD(COLUMN(L$11)-2,Costs!$F150)=0,Costs!$B150,0)*L$12</f>
        <v>0</v>
      </c>
      <c r="M59" s="35">
        <f>IF(MOD(COLUMN(M$11)-2,Costs!$F150)=0,Costs!$B150,0)*M$12</f>
        <v>0</v>
      </c>
      <c r="N59" s="35">
        <f>IF(MOD(COLUMN(N$11)-2,Costs!$F150)=0,Costs!$B150,0)*N$12</f>
        <v>0</v>
      </c>
      <c r="O59" s="35">
        <f>IF(MOD(COLUMN(O$11)-2,Costs!$F150)=0,Costs!$B150,0)*O$12</f>
        <v>0</v>
      </c>
      <c r="P59" s="35">
        <f>IF(MOD(COLUMN(P$11)-2,Costs!$F150)=0,Costs!$B150,0)*P$12</f>
        <v>0</v>
      </c>
      <c r="Q59" s="35">
        <f>IF(MOD(COLUMN(Q$11)-2,Costs!$F150)=0,Costs!$B150,0)*Q$12</f>
        <v>0</v>
      </c>
    </row>
    <row r="60" spans="1:17">
      <c r="A60" s="40" t="s">
        <v>385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</row>
    <row r="61" spans="1:17">
      <c r="A61" s="24" t="s">
        <v>386</v>
      </c>
      <c r="B61" s="35">
        <f>IF(B11=0,0,IF(MOD(COLUMN(B$11)-2,Costs!$F152)=0,Costs!$B152,0)*B$12)</f>
        <v>0</v>
      </c>
      <c r="C61" s="35">
        <f>IF(C11=0,0,IF(MOD(COLUMN(C$11)-2,Costs!$F152)=0,Costs!$B152,0)*C$12)</f>
        <v>0</v>
      </c>
      <c r="D61" s="35">
        <f>IF(D11=0,0,IF(MOD(COLUMN(D$11)-2,Costs!$F152)=0,Costs!$B152,0)*D$12)</f>
        <v>0</v>
      </c>
      <c r="E61" s="35">
        <f>IF(E11=0,0,IF(MOD(COLUMN(E$11)-2,Costs!$F152)=0,Costs!$B152,0)*E$12)</f>
        <v>0</v>
      </c>
      <c r="F61" s="35">
        <f>IF(F11=0,0,IF(MOD(COLUMN(F$11)-2,Costs!$F152)=0,Costs!$B152,0)*F$12)</f>
        <v>0</v>
      </c>
      <c r="G61" s="35">
        <f>IF(G11=0,0,IF(MOD(COLUMN(G$11)-2,Costs!$F152)=0,Costs!$B152,0)*G$12)</f>
        <v>0</v>
      </c>
      <c r="H61" s="35">
        <f>IF(H11=0,0,IF(MOD(COLUMN(H$11)-2,Costs!$F152)=0,Costs!$B152,0)*H$12)</f>
        <v>0</v>
      </c>
      <c r="I61" s="35">
        <f>IF(I11=0,0,IF(MOD(COLUMN(I$11)-2,Costs!$F152)=0,Costs!$B152,0)*I$12)</f>
        <v>0</v>
      </c>
      <c r="J61" s="35">
        <f>IF(J11=0,0,IF(MOD(COLUMN(J$11)-2,Costs!$F152)=0,Costs!$B152,0)*J$12)</f>
        <v>69000</v>
      </c>
      <c r="K61" s="35">
        <f>IF(K11=0,0,IF(MOD(COLUMN(K$11)-2,Costs!$F152)=0,Costs!$B152,0)*K$12)</f>
        <v>0</v>
      </c>
      <c r="L61" s="35">
        <f>IF(L11=0,0,IF(MOD(COLUMN(L$11)-2,Costs!$F152)=0,Costs!$B152,0)*L$12)</f>
        <v>0</v>
      </c>
      <c r="M61" s="35">
        <f>IF(M11=0,0,IF(MOD(COLUMN(M$11)-2,Costs!$F152)=0,Costs!$B152,0)*M$12)</f>
        <v>0</v>
      </c>
      <c r="N61" s="35">
        <f>IF(N11=0,0,IF(MOD(COLUMN(N$11)-2,Costs!$F152)=0,Costs!$B152,0)*N$12)</f>
        <v>0</v>
      </c>
      <c r="O61" s="35">
        <f>IF(O11=0,0,IF(MOD(COLUMN(O$11)-2,Costs!$F152)=0,Costs!$B152,0)*O$12)</f>
        <v>0</v>
      </c>
      <c r="P61" s="35">
        <f>IF(P11=0,0,IF(MOD(COLUMN(P$11)-2,Costs!$F152)=0,Costs!$B152,0)*P$12)</f>
        <v>0</v>
      </c>
      <c r="Q61" s="35">
        <f>IF(Q11=0,0,IF(MOD(COLUMN(Q$11)-2,Costs!$F152)=0,Costs!$B152,0)*Q$12)</f>
        <v>0</v>
      </c>
    </row>
    <row r="62" spans="1:17">
      <c r="A62" s="24" t="s">
        <v>146</v>
      </c>
      <c r="B62" s="35">
        <f>IF(MOD(COLUMN(B$11)-2,Costs!$F155)=0,Costs!$B155,0)*B$12</f>
        <v>6500</v>
      </c>
      <c r="C62" s="35">
        <f>IF(MOD(COLUMN(C$11)-2,Costs!$F155)=0,Costs!$B155,0)*C$12</f>
        <v>0</v>
      </c>
      <c r="D62" s="35">
        <f>IF(MOD(COLUMN(D$11)-2,Costs!$F155)=0,Costs!$B155,0)*D$12</f>
        <v>0</v>
      </c>
      <c r="E62" s="35">
        <f>IF(MOD(COLUMN(E$11)-2,Costs!$F155)=0,Costs!$B155,0)*E$12</f>
        <v>0</v>
      </c>
      <c r="F62" s="35">
        <f>IF(MOD(COLUMN(F$11)-2,Costs!$F155)=0,Costs!$B155,0)*F$12</f>
        <v>0</v>
      </c>
      <c r="G62" s="35">
        <f>IF(MOD(COLUMN(G$11)-2,Costs!$F155)=0,Costs!$B155,0)*G$12</f>
        <v>6500</v>
      </c>
      <c r="H62" s="35">
        <f>IF(MOD(COLUMN(H$11)-2,Costs!$F155)=0,Costs!$B155,0)*H$12</f>
        <v>0</v>
      </c>
      <c r="I62" s="35">
        <f>IF(MOD(COLUMN(I$11)-2,Costs!$F155)=0,Costs!$B155,0)*I$12</f>
        <v>0</v>
      </c>
      <c r="J62" s="35">
        <f>IF(MOD(COLUMN(J$11)-2,Costs!$F155)=0,Costs!$B155,0)*J$12</f>
        <v>0</v>
      </c>
      <c r="K62" s="35">
        <f>IF(MOD(COLUMN(K$11)-2,Costs!$F155)=0,Costs!$B155,0)*K$12</f>
        <v>0</v>
      </c>
      <c r="L62" s="35">
        <f>IF(MOD(COLUMN(L$11)-2,Costs!$F155)=0,Costs!$B155,0)*L$12</f>
        <v>6500</v>
      </c>
      <c r="M62" s="35">
        <f>IF(MOD(COLUMN(M$11)-2,Costs!$F155)=0,Costs!$B155,0)*M$12</f>
        <v>0</v>
      </c>
      <c r="N62" s="35">
        <f>IF(MOD(COLUMN(N$11)-2,Costs!$F155)=0,Costs!$B155,0)*N$12</f>
        <v>0</v>
      </c>
      <c r="O62" s="35">
        <f>IF(MOD(COLUMN(O$11)-2,Costs!$F155)=0,Costs!$B155,0)*O$12</f>
        <v>0</v>
      </c>
      <c r="P62" s="35">
        <f>IF(MOD(COLUMN(P$11)-2,Costs!$F155)=0,Costs!$B155,0)*P$12</f>
        <v>0</v>
      </c>
      <c r="Q62" s="35">
        <f>IF(MOD(COLUMN(Q$11)-2,Costs!$F155)=0,Costs!$B155,0)*Q$12</f>
        <v>0</v>
      </c>
    </row>
    <row r="63" spans="1:17">
      <c r="A63" s="24" t="s">
        <v>148</v>
      </c>
      <c r="B63" s="35">
        <f>IF(MOD(COLUMN(B$11)-2,Costs!$F156)=0,Costs!$B156,0)*B$12</f>
        <v>3000</v>
      </c>
      <c r="C63" s="35">
        <f>IF(MOD(COLUMN(C$11)-2,Costs!$F156)=0,Costs!$B156,0)*C$12</f>
        <v>0</v>
      </c>
      <c r="D63" s="35">
        <f>IF(MOD(COLUMN(D$11)-2,Costs!$F156)=0,Costs!$B156,0)*D$12</f>
        <v>0</v>
      </c>
      <c r="E63" s="35">
        <f>IF(MOD(COLUMN(E$11)-2,Costs!$F156)=0,Costs!$B156,0)*E$12</f>
        <v>0</v>
      </c>
      <c r="F63" s="35">
        <f>IF(MOD(COLUMN(F$11)-2,Costs!$F156)=0,Costs!$B156,0)*F$12</f>
        <v>0</v>
      </c>
      <c r="G63" s="35">
        <f>IF(MOD(COLUMN(G$11)-2,Costs!$F156)=0,Costs!$B156,0)*G$12</f>
        <v>3000</v>
      </c>
      <c r="H63" s="35">
        <f>IF(MOD(COLUMN(H$11)-2,Costs!$F156)=0,Costs!$B156,0)*H$12</f>
        <v>0</v>
      </c>
      <c r="I63" s="35">
        <f>IF(MOD(COLUMN(I$11)-2,Costs!$F156)=0,Costs!$B156,0)*I$12</f>
        <v>0</v>
      </c>
      <c r="J63" s="35">
        <f>IF(MOD(COLUMN(J$11)-2,Costs!$F156)=0,Costs!$B156,0)*J$12</f>
        <v>0</v>
      </c>
      <c r="K63" s="35">
        <f>IF(MOD(COLUMN(K$11)-2,Costs!$F156)=0,Costs!$B156,0)*K$12</f>
        <v>0</v>
      </c>
      <c r="L63" s="35">
        <f>IF(MOD(COLUMN(L$11)-2,Costs!$F156)=0,Costs!$B156,0)*L$12</f>
        <v>3000</v>
      </c>
      <c r="M63" s="35">
        <f>IF(MOD(COLUMN(M$11)-2,Costs!$F156)=0,Costs!$B156,0)*M$12</f>
        <v>0</v>
      </c>
      <c r="N63" s="35">
        <f>IF(MOD(COLUMN(N$11)-2,Costs!$F156)=0,Costs!$B156,0)*N$12</f>
        <v>0</v>
      </c>
      <c r="O63" s="35">
        <f>IF(MOD(COLUMN(O$11)-2,Costs!$F156)=0,Costs!$B156,0)*O$12</f>
        <v>0</v>
      </c>
      <c r="P63" s="35">
        <f>IF(MOD(COLUMN(P$11)-2,Costs!$F156)=0,Costs!$B156,0)*P$12</f>
        <v>0</v>
      </c>
      <c r="Q63" s="35">
        <f>IF(MOD(COLUMN(Q$11)-2,Costs!$F156)=0,Costs!$B156,0)*Q$12</f>
        <v>0</v>
      </c>
    </row>
    <row r="64" spans="1:17">
      <c r="A64" s="40" t="s">
        <v>390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</row>
    <row r="65" spans="1:17">
      <c r="A65" s="24" t="s">
        <v>153</v>
      </c>
      <c r="B65" s="35">
        <f>IF(MOD(COLUMN(B$11)-2,Costs!$F158)=0,Costs!$B158,0)*B$12</f>
        <v>7500</v>
      </c>
      <c r="C65" s="35">
        <f>IF(MOD(COLUMN(C$11)-2,Costs!$F158)=0,Costs!$B158,0)*C$12</f>
        <v>0</v>
      </c>
      <c r="D65" s="35">
        <f>IF(MOD(COLUMN(D$11)-2,Costs!$F158)=0,Costs!$B158,0)*D$12</f>
        <v>0</v>
      </c>
      <c r="E65" s="35">
        <f>IF(MOD(COLUMN(E$11)-2,Costs!$F158)=0,Costs!$B158,0)*E$12</f>
        <v>0</v>
      </c>
      <c r="F65" s="35">
        <f>IF(MOD(COLUMN(F$11)-2,Costs!$F158)=0,Costs!$B158,0)*F$12</f>
        <v>0</v>
      </c>
      <c r="G65" s="35">
        <f>IF(MOD(COLUMN(G$11)-2,Costs!$F158)=0,Costs!$B158,0)*G$12</f>
        <v>7500</v>
      </c>
      <c r="H65" s="35">
        <f>IF(MOD(COLUMN(H$11)-2,Costs!$F158)=0,Costs!$B158,0)*H$12</f>
        <v>0</v>
      </c>
      <c r="I65" s="35">
        <f>IF(MOD(COLUMN(I$11)-2,Costs!$F158)=0,Costs!$B158,0)*I$12</f>
        <v>0</v>
      </c>
      <c r="J65" s="35">
        <f>IF(MOD(COLUMN(J$11)-2,Costs!$F158)=0,Costs!$B158,0)*J$12</f>
        <v>0</v>
      </c>
      <c r="K65" s="35">
        <f>IF(MOD(COLUMN(K$11)-2,Costs!$F158)=0,Costs!$B158,0)*K$12</f>
        <v>0</v>
      </c>
      <c r="L65" s="35">
        <f>IF(MOD(COLUMN(L$11)-2,Costs!$F158)=0,Costs!$B158,0)*L$12</f>
        <v>7500</v>
      </c>
      <c r="M65" s="35">
        <f>IF(MOD(COLUMN(M$11)-2,Costs!$F158)=0,Costs!$B158,0)*M$12</f>
        <v>0</v>
      </c>
      <c r="N65" s="35">
        <f>IF(MOD(COLUMN(N$11)-2,Costs!$F158)=0,Costs!$B158,0)*N$12</f>
        <v>0</v>
      </c>
      <c r="O65" s="35">
        <f>IF(MOD(COLUMN(O$11)-2,Costs!$F158)=0,Costs!$B158,0)*O$12</f>
        <v>0</v>
      </c>
      <c r="P65" s="35">
        <f>IF(MOD(COLUMN(P$11)-2,Costs!$F158)=0,Costs!$B158,0)*P$12</f>
        <v>0</v>
      </c>
      <c r="Q65" s="35">
        <f>IF(MOD(COLUMN(Q$11)-2,Costs!$F158)=0,Costs!$B158,0)*Q$12</f>
        <v>0</v>
      </c>
    </row>
    <row r="66" spans="1:17">
      <c r="A66" s="40" t="s">
        <v>391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</row>
    <row r="67" spans="1:17">
      <c r="A67" s="24" t="s">
        <v>392</v>
      </c>
      <c r="B67" s="35">
        <f>IF(MOD(COLUMN(B$11)-2,Costs!$F160)=0,Costs!$B160,0)*B$12</f>
        <v>250</v>
      </c>
      <c r="C67" s="35">
        <f>IF(MOD(COLUMN(C$11)-2,Costs!$F160)=0,Costs!$B160,0)*C$12</f>
        <v>250</v>
      </c>
      <c r="D67" s="35">
        <f>IF(MOD(COLUMN(D$11)-2,Costs!$F160)=0,Costs!$B160,0)*D$12</f>
        <v>250</v>
      </c>
      <c r="E67" s="35">
        <f>IF(MOD(COLUMN(E$11)-2,Costs!$F160)=0,Costs!$B160,0)*E$12</f>
        <v>250</v>
      </c>
      <c r="F67" s="35">
        <f>IF(MOD(COLUMN(F$11)-2,Costs!$F160)=0,Costs!$B160,0)*F$12</f>
        <v>250</v>
      </c>
      <c r="G67" s="35">
        <f>IF(MOD(COLUMN(G$11)-2,Costs!$F160)=0,Costs!$B160,0)*G$12</f>
        <v>250</v>
      </c>
      <c r="H67" s="35">
        <f>IF(MOD(COLUMN(H$11)-2,Costs!$F160)=0,Costs!$B160,0)*H$12</f>
        <v>250</v>
      </c>
      <c r="I67" s="35">
        <f>IF(MOD(COLUMN(I$11)-2,Costs!$F160)=0,Costs!$B160,0)*I$12</f>
        <v>250</v>
      </c>
      <c r="J67" s="35">
        <f>IF(MOD(COLUMN(J$11)-2,Costs!$F160)=0,Costs!$B160,0)*J$12</f>
        <v>250</v>
      </c>
      <c r="K67" s="35">
        <f>IF(MOD(COLUMN(K$11)-2,Costs!$F160)=0,Costs!$B160,0)*K$12</f>
        <v>250</v>
      </c>
      <c r="L67" s="35">
        <f>IF(MOD(COLUMN(L$11)-2,Costs!$F160)=0,Costs!$B160,0)*L$12</f>
        <v>250</v>
      </c>
      <c r="M67" s="35">
        <f>IF(MOD(COLUMN(M$11)-2,Costs!$F160)=0,Costs!$B160,0)*M$12</f>
        <v>0</v>
      </c>
      <c r="N67" s="35">
        <f>IF(MOD(COLUMN(N$11)-2,Costs!$F160)=0,Costs!$B160,0)*N$12</f>
        <v>0</v>
      </c>
      <c r="O67" s="35">
        <f>IF(MOD(COLUMN(O$11)-2,Costs!$F160)=0,Costs!$B160,0)*O$12</f>
        <v>0</v>
      </c>
      <c r="P67" s="35">
        <f>IF(MOD(COLUMN(P$11)-2,Costs!$F160)=0,Costs!$B160,0)*P$12</f>
        <v>0</v>
      </c>
      <c r="Q67" s="35">
        <f>IF(MOD(COLUMN(Q$11)-2,Costs!$F160)=0,Costs!$B160,0)*Q$12</f>
        <v>0</v>
      </c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40" t="s">
        <v>86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0" spans="1:17">
      <c r="A70" s="24" t="s">
        <v>87</v>
      </c>
      <c r="B70" s="35">
        <f>Benefits!$B$37*B$12</f>
        <v>28564.489857398668</v>
      </c>
      <c r="C70" s="35">
        <f>Benefits!$B$37*C$12</f>
        <v>28564.489857398668</v>
      </c>
      <c r="D70" s="35">
        <f>Benefits!$B$37*D$12</f>
        <v>28564.489857398668</v>
      </c>
      <c r="E70" s="35">
        <f>Benefits!$B$37*E$12</f>
        <v>28564.489857398668</v>
      </c>
      <c r="F70" s="35">
        <f>Benefits!$B$37*F$12</f>
        <v>28564.489857398668</v>
      </c>
      <c r="G70" s="35">
        <f>Benefits!$B$37*G$12</f>
        <v>28564.489857398668</v>
      </c>
      <c r="H70" s="35">
        <f>Benefits!$B$37*H$12</f>
        <v>28564.489857398668</v>
      </c>
      <c r="I70" s="35">
        <f>Benefits!$B$37*I$12</f>
        <v>28564.489857398668</v>
      </c>
      <c r="J70" s="35">
        <f>Benefits!$B$37*J$12</f>
        <v>28564.489857398668</v>
      </c>
      <c r="K70" s="35">
        <f>Benefits!$B$37*K$12</f>
        <v>28564.489857398668</v>
      </c>
      <c r="L70" s="35">
        <f>Benefits!$B$37*L$12</f>
        <v>28564.489857398668</v>
      </c>
      <c r="M70" s="35">
        <f>Benefits!$B$37*M$12</f>
        <v>0</v>
      </c>
      <c r="N70" s="35">
        <f>Benefits!$B$37*N$12</f>
        <v>0</v>
      </c>
      <c r="O70" s="35">
        <f>Benefits!$B$37*O$12</f>
        <v>0</v>
      </c>
      <c r="P70" s="35">
        <f>Benefits!$B$37*P$12</f>
        <v>0</v>
      </c>
      <c r="Q70" s="35">
        <f>Benefits!$B$37*Q$12</f>
        <v>0</v>
      </c>
    </row>
    <row r="71" spans="1:17">
      <c r="A71" s="24" t="s">
        <v>303</v>
      </c>
      <c r="B71" s="35">
        <f>Benefits!$B$64*B$12</f>
        <v>68993.931041971882</v>
      </c>
      <c r="C71" s="35">
        <f>Benefits!$B$64*C$12</f>
        <v>68993.931041971882</v>
      </c>
      <c r="D71" s="35">
        <f>Benefits!$B$64*D$12</f>
        <v>68993.931041971882</v>
      </c>
      <c r="E71" s="35">
        <f>Benefits!$B$64*E$12</f>
        <v>68993.931041971882</v>
      </c>
      <c r="F71" s="35">
        <f>Benefits!$B$64*F$12</f>
        <v>68993.931041971882</v>
      </c>
      <c r="G71" s="35">
        <f>Benefits!$B$64*G$12</f>
        <v>68993.931041971882</v>
      </c>
      <c r="H71" s="35">
        <f>Benefits!$B$64*H$12</f>
        <v>68993.931041971882</v>
      </c>
      <c r="I71" s="35">
        <f>Benefits!$B$64*I$12</f>
        <v>68993.931041971882</v>
      </c>
      <c r="J71" s="35">
        <f>Benefits!$B$64*J$12</f>
        <v>68993.931041971882</v>
      </c>
      <c r="K71" s="35">
        <f>Benefits!$B$64*K$12</f>
        <v>68993.931041971882</v>
      </c>
      <c r="L71" s="35">
        <f>Benefits!$B$64*L$12</f>
        <v>68993.931041971882</v>
      </c>
      <c r="M71" s="35">
        <f>Benefits!$B$64*M$12</f>
        <v>0</v>
      </c>
      <c r="N71" s="35">
        <f>Benefits!$B$64*N$12</f>
        <v>0</v>
      </c>
      <c r="O71" s="35">
        <f>Benefits!$B$64*O$12</f>
        <v>0</v>
      </c>
      <c r="P71" s="35">
        <f>Benefits!$B$64*P$12</f>
        <v>0</v>
      </c>
      <c r="Q71" s="35">
        <f>Benefits!$B$64*Q$12</f>
        <v>0</v>
      </c>
    </row>
    <row r="72" spans="1:17">
      <c r="A72" s="24" t="s">
        <v>305</v>
      </c>
      <c r="B72" s="35">
        <f>Benefits!$B$76*B$12</f>
        <v>39835.841936082143</v>
      </c>
      <c r="C72" s="35">
        <f>Benefits!$B$76*C$12</f>
        <v>39835.841936082143</v>
      </c>
      <c r="D72" s="35">
        <f>Benefits!$B$76*D$12</f>
        <v>39835.841936082143</v>
      </c>
      <c r="E72" s="35">
        <f>Benefits!$B$76*E$12</f>
        <v>39835.841936082143</v>
      </c>
      <c r="F72" s="35">
        <f>Benefits!$B$76*F$12</f>
        <v>39835.841936082143</v>
      </c>
      <c r="G72" s="35">
        <f>Benefits!$B$76*G$12</f>
        <v>39835.841936082143</v>
      </c>
      <c r="H72" s="35">
        <f>Benefits!$B$76*H$12</f>
        <v>39835.841936082143</v>
      </c>
      <c r="I72" s="35">
        <f>Benefits!$B$76*I$12</f>
        <v>39835.841936082143</v>
      </c>
      <c r="J72" s="35">
        <f>Benefits!$B$76*J$12</f>
        <v>39835.841936082143</v>
      </c>
      <c r="K72" s="35">
        <f>Benefits!$B$76*K$12</f>
        <v>39835.841936082143</v>
      </c>
      <c r="L72" s="35">
        <f>Benefits!$B$76*L$12</f>
        <v>39835.841936082143</v>
      </c>
      <c r="M72" s="35">
        <f>Benefits!$B$76*M$12</f>
        <v>0</v>
      </c>
      <c r="N72" s="35">
        <f>Benefits!$B$76*N$12</f>
        <v>0</v>
      </c>
      <c r="O72" s="35">
        <f>Benefits!$B$76*O$12</f>
        <v>0</v>
      </c>
      <c r="P72" s="35">
        <f>Benefits!$B$76*P$12</f>
        <v>0</v>
      </c>
      <c r="Q72" s="35">
        <f>Benefits!$B$76*Q$12</f>
        <v>0</v>
      </c>
    </row>
    <row r="73" spans="1:17">
      <c r="A73" s="44" t="s">
        <v>95</v>
      </c>
      <c r="B73" s="35">
        <f>(Benefits!$B$98+Benefits!$B$90)*B$12</f>
        <v>643659.20235546038</v>
      </c>
      <c r="C73" s="35">
        <f>(Benefits!$B$98+Benefits!$B$90)*C$12</f>
        <v>643659.20235546038</v>
      </c>
      <c r="D73" s="35">
        <f>(Benefits!$B$98+Benefits!$B$90)*D$12</f>
        <v>643659.20235546038</v>
      </c>
      <c r="E73" s="35">
        <f>(Benefits!$B$98+Benefits!$B$90)*E$12</f>
        <v>643659.20235546038</v>
      </c>
      <c r="F73" s="35">
        <f>(Benefits!$B$98+Benefits!$B$90)*F$12</f>
        <v>643659.20235546038</v>
      </c>
      <c r="G73" s="35">
        <f>(Benefits!$B$98+Benefits!$B$90)*G$12</f>
        <v>643659.20235546038</v>
      </c>
      <c r="H73" s="35">
        <f>(Benefits!$B$98+Benefits!$B$90)*H$12</f>
        <v>643659.20235546038</v>
      </c>
      <c r="I73" s="35">
        <f>(Benefits!$B$98+Benefits!$B$90)*I$12</f>
        <v>643659.20235546038</v>
      </c>
      <c r="J73" s="35">
        <f>(Benefits!$B$98+Benefits!$B$90)*J$12</f>
        <v>643659.20235546038</v>
      </c>
      <c r="K73" s="35">
        <f>(Benefits!$B$98+Benefits!$B$90)*K$12</f>
        <v>643659.20235546038</v>
      </c>
      <c r="L73" s="35">
        <f>(Benefits!$B$98+Benefits!$B$90)*L$12</f>
        <v>643659.20235546038</v>
      </c>
      <c r="M73" s="35">
        <f>(Benefits!$B$98+Benefits!$B$90)*M$12</f>
        <v>0</v>
      </c>
      <c r="N73" s="35">
        <f>(Benefits!$B$98+Benefits!$B$90)*N$12</f>
        <v>0</v>
      </c>
      <c r="O73" s="35">
        <f>(Benefits!$B$98+Benefits!$B$90)*O$12</f>
        <v>0</v>
      </c>
      <c r="P73" s="35">
        <f>(Benefits!$B$98+Benefits!$B$90)*P$12</f>
        <v>0</v>
      </c>
      <c r="Q73" s="35">
        <f>(Benefits!$B$98+Benefits!$B$90)*Q$12</f>
        <v>0</v>
      </c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7" customFormat="1" ht="11.25">
      <c r="A75" s="2" t="s">
        <v>434</v>
      </c>
    </row>
    <row r="76" spans="1:17" ht="14.25" customHeight="1">
      <c r="A76" s="83" t="s">
        <v>435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</row>
    <row r="77" spans="1:17">
      <c r="A77" s="84" t="s">
        <v>336</v>
      </c>
      <c r="B77" s="36">
        <f>-SUM(B19:B50)</f>
        <v>-648260.22727272753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</row>
    <row r="78" spans="1:17">
      <c r="A78" s="84" t="s">
        <v>369</v>
      </c>
      <c r="B78" s="36">
        <f t="shared" ref="B78:Q78" si="13">-SUM(B55:B67)</f>
        <v>-364965</v>
      </c>
      <c r="C78" s="36">
        <f t="shared" si="13"/>
        <v>-347965</v>
      </c>
      <c r="D78" s="36">
        <f t="shared" si="13"/>
        <v>-347965</v>
      </c>
      <c r="E78" s="36">
        <f t="shared" si="13"/>
        <v>-347965</v>
      </c>
      <c r="F78" s="36">
        <f t="shared" si="13"/>
        <v>-347965</v>
      </c>
      <c r="G78" s="36">
        <f t="shared" si="13"/>
        <v>-364965</v>
      </c>
      <c r="H78" s="36">
        <f t="shared" si="13"/>
        <v>-347965</v>
      </c>
      <c r="I78" s="36">
        <f t="shared" si="13"/>
        <v>-347965</v>
      </c>
      <c r="J78" s="36">
        <f t="shared" si="13"/>
        <v>-416965</v>
      </c>
      <c r="K78" s="36">
        <f t="shared" si="13"/>
        <v>-347965</v>
      </c>
      <c r="L78" s="36">
        <f t="shared" si="13"/>
        <v>-364965</v>
      </c>
      <c r="M78" s="36">
        <f t="shared" si="13"/>
        <v>0</v>
      </c>
      <c r="N78" s="36">
        <f t="shared" si="13"/>
        <v>0</v>
      </c>
      <c r="O78" s="36">
        <f t="shared" si="13"/>
        <v>0</v>
      </c>
      <c r="P78" s="36">
        <f t="shared" si="13"/>
        <v>0</v>
      </c>
      <c r="Q78" s="36">
        <f t="shared" si="13"/>
        <v>0</v>
      </c>
    </row>
    <row r="79" spans="1:17">
      <c r="A79" s="84" t="s">
        <v>296</v>
      </c>
      <c r="B79" s="36">
        <f t="shared" ref="B79:Q79" si="14">B71</f>
        <v>68993.931041971882</v>
      </c>
      <c r="C79" s="36">
        <f t="shared" si="14"/>
        <v>68993.931041971882</v>
      </c>
      <c r="D79" s="36">
        <f t="shared" si="14"/>
        <v>68993.931041971882</v>
      </c>
      <c r="E79" s="36">
        <f t="shared" si="14"/>
        <v>68993.931041971882</v>
      </c>
      <c r="F79" s="36">
        <f t="shared" si="14"/>
        <v>68993.931041971882</v>
      </c>
      <c r="G79" s="36">
        <f t="shared" si="14"/>
        <v>68993.931041971882</v>
      </c>
      <c r="H79" s="36">
        <f t="shared" si="14"/>
        <v>68993.931041971882</v>
      </c>
      <c r="I79" s="36">
        <f t="shared" si="14"/>
        <v>68993.931041971882</v>
      </c>
      <c r="J79" s="36">
        <f t="shared" si="14"/>
        <v>68993.931041971882</v>
      </c>
      <c r="K79" s="36">
        <f t="shared" si="14"/>
        <v>68993.931041971882</v>
      </c>
      <c r="L79" s="36">
        <f t="shared" si="14"/>
        <v>68993.931041971882</v>
      </c>
      <c r="M79" s="36">
        <f t="shared" si="14"/>
        <v>0</v>
      </c>
      <c r="N79" s="36">
        <f t="shared" si="14"/>
        <v>0</v>
      </c>
      <c r="O79" s="36">
        <f t="shared" si="14"/>
        <v>0</v>
      </c>
      <c r="P79" s="36">
        <f t="shared" si="14"/>
        <v>0</v>
      </c>
      <c r="Q79" s="36">
        <f t="shared" si="14"/>
        <v>0</v>
      </c>
    </row>
    <row r="80" spans="1:17">
      <c r="A80" s="84" t="s">
        <v>436</v>
      </c>
      <c r="B80" s="36">
        <f t="shared" ref="B80:Q80" si="15">B72</f>
        <v>39835.841936082143</v>
      </c>
      <c r="C80" s="36">
        <f t="shared" si="15"/>
        <v>39835.841936082143</v>
      </c>
      <c r="D80" s="36">
        <f t="shared" si="15"/>
        <v>39835.841936082143</v>
      </c>
      <c r="E80" s="36">
        <f t="shared" si="15"/>
        <v>39835.841936082143</v>
      </c>
      <c r="F80" s="36">
        <f t="shared" si="15"/>
        <v>39835.841936082143</v>
      </c>
      <c r="G80" s="36">
        <f t="shared" si="15"/>
        <v>39835.841936082143</v>
      </c>
      <c r="H80" s="36">
        <f t="shared" si="15"/>
        <v>39835.841936082143</v>
      </c>
      <c r="I80" s="36">
        <f t="shared" si="15"/>
        <v>39835.841936082143</v>
      </c>
      <c r="J80" s="36">
        <f t="shared" si="15"/>
        <v>39835.841936082143</v>
      </c>
      <c r="K80" s="36">
        <f t="shared" si="15"/>
        <v>39835.841936082143</v>
      </c>
      <c r="L80" s="36">
        <f t="shared" si="15"/>
        <v>39835.841936082143</v>
      </c>
      <c r="M80" s="36">
        <f t="shared" si="15"/>
        <v>0</v>
      </c>
      <c r="N80" s="36">
        <f t="shared" si="15"/>
        <v>0</v>
      </c>
      <c r="O80" s="36">
        <f t="shared" si="15"/>
        <v>0</v>
      </c>
      <c r="P80" s="36">
        <f t="shared" si="15"/>
        <v>0</v>
      </c>
      <c r="Q80" s="36">
        <f t="shared" si="15"/>
        <v>0</v>
      </c>
    </row>
    <row r="81" spans="1:17">
      <c r="A81" s="33" t="s">
        <v>437</v>
      </c>
      <c r="B81" s="32">
        <f>SUM(B77:B80)</f>
        <v>-904395.45429467352</v>
      </c>
      <c r="C81" s="32">
        <f t="shared" ref="C81:G81" si="16">SUM(C77:C80)</f>
        <v>-239135.22702194596</v>
      </c>
      <c r="D81" s="32">
        <f t="shared" si="16"/>
        <v>-239135.22702194596</v>
      </c>
      <c r="E81" s="32">
        <f t="shared" si="16"/>
        <v>-239135.22702194596</v>
      </c>
      <c r="F81" s="32">
        <f t="shared" si="16"/>
        <v>-239135.22702194596</v>
      </c>
      <c r="G81" s="32">
        <f t="shared" si="16"/>
        <v>-256135.22702194596</v>
      </c>
      <c r="H81" s="32">
        <f t="shared" ref="H81:Q81" si="17">SUM(H77:H80)</f>
        <v>-239135.22702194596</v>
      </c>
      <c r="I81" s="32">
        <f t="shared" si="17"/>
        <v>-239135.22702194596</v>
      </c>
      <c r="J81" s="32">
        <f t="shared" si="17"/>
        <v>-308135.22702194599</v>
      </c>
      <c r="K81" s="32">
        <f t="shared" si="17"/>
        <v>-239135.22702194596</v>
      </c>
      <c r="L81" s="32">
        <f t="shared" si="17"/>
        <v>-256135.22702194596</v>
      </c>
      <c r="M81" s="32">
        <f t="shared" si="17"/>
        <v>0</v>
      </c>
      <c r="N81" s="32">
        <f t="shared" si="17"/>
        <v>0</v>
      </c>
      <c r="O81" s="32">
        <f t="shared" si="17"/>
        <v>0</v>
      </c>
      <c r="P81" s="32">
        <f t="shared" si="17"/>
        <v>0</v>
      </c>
      <c r="Q81" s="32">
        <f t="shared" si="17"/>
        <v>0</v>
      </c>
    </row>
    <row r="82" spans="1:17">
      <c r="A82" s="83" t="s">
        <v>438</v>
      </c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</row>
    <row r="83" spans="1:17">
      <c r="A83" s="84" t="s">
        <v>212</v>
      </c>
      <c r="B83" s="36">
        <f>B70</f>
        <v>28564.489857398668</v>
      </c>
      <c r="C83" s="36">
        <f t="shared" ref="C83:Q83" si="18">C70</f>
        <v>28564.489857398668</v>
      </c>
      <c r="D83" s="36">
        <f t="shared" si="18"/>
        <v>28564.489857398668</v>
      </c>
      <c r="E83" s="36">
        <f t="shared" si="18"/>
        <v>28564.489857398668</v>
      </c>
      <c r="F83" s="36">
        <f t="shared" si="18"/>
        <v>28564.489857398668</v>
      </c>
      <c r="G83" s="36">
        <f t="shared" si="18"/>
        <v>28564.489857398668</v>
      </c>
      <c r="H83" s="36">
        <f t="shared" si="18"/>
        <v>28564.489857398668</v>
      </c>
      <c r="I83" s="36">
        <f t="shared" si="18"/>
        <v>28564.489857398668</v>
      </c>
      <c r="J83" s="36">
        <f t="shared" si="18"/>
        <v>28564.489857398668</v>
      </c>
      <c r="K83" s="36">
        <f t="shared" si="18"/>
        <v>28564.489857398668</v>
      </c>
      <c r="L83" s="36">
        <f t="shared" si="18"/>
        <v>28564.489857398668</v>
      </c>
      <c r="M83" s="36">
        <f t="shared" si="18"/>
        <v>0</v>
      </c>
      <c r="N83" s="36">
        <f t="shared" si="18"/>
        <v>0</v>
      </c>
      <c r="O83" s="36">
        <f t="shared" si="18"/>
        <v>0</v>
      </c>
      <c r="P83" s="36">
        <f t="shared" si="18"/>
        <v>0</v>
      </c>
      <c r="Q83" s="36">
        <f t="shared" si="18"/>
        <v>0</v>
      </c>
    </row>
    <row r="84" spans="1:17">
      <c r="A84" s="84" t="s">
        <v>439</v>
      </c>
      <c r="B84" s="36">
        <f t="shared" ref="B84:Q84" si="19">B73</f>
        <v>643659.20235546038</v>
      </c>
      <c r="C84" s="36">
        <f t="shared" si="19"/>
        <v>643659.20235546038</v>
      </c>
      <c r="D84" s="36">
        <f t="shared" si="19"/>
        <v>643659.20235546038</v>
      </c>
      <c r="E84" s="36">
        <f t="shared" si="19"/>
        <v>643659.20235546038</v>
      </c>
      <c r="F84" s="36">
        <f t="shared" si="19"/>
        <v>643659.20235546038</v>
      </c>
      <c r="G84" s="36">
        <f t="shared" si="19"/>
        <v>643659.20235546038</v>
      </c>
      <c r="H84" s="36">
        <f t="shared" si="19"/>
        <v>643659.20235546038</v>
      </c>
      <c r="I84" s="36">
        <f t="shared" si="19"/>
        <v>643659.20235546038</v>
      </c>
      <c r="J84" s="36">
        <f t="shared" si="19"/>
        <v>643659.20235546038</v>
      </c>
      <c r="K84" s="36">
        <f t="shared" si="19"/>
        <v>643659.20235546038</v>
      </c>
      <c r="L84" s="36">
        <f t="shared" si="19"/>
        <v>643659.20235546038</v>
      </c>
      <c r="M84" s="36">
        <f t="shared" si="19"/>
        <v>0</v>
      </c>
      <c r="N84" s="36">
        <f t="shared" si="19"/>
        <v>0</v>
      </c>
      <c r="O84" s="36">
        <f t="shared" si="19"/>
        <v>0</v>
      </c>
      <c r="P84" s="36">
        <f t="shared" si="19"/>
        <v>0</v>
      </c>
      <c r="Q84" s="36">
        <f t="shared" si="19"/>
        <v>0</v>
      </c>
    </row>
    <row r="85" spans="1:17">
      <c r="A85" s="84" t="s">
        <v>114</v>
      </c>
      <c r="B85" s="36">
        <f>B73</f>
        <v>643659.20235546038</v>
      </c>
      <c r="C85" s="36">
        <f t="shared" ref="C85:Q85" si="20">C73</f>
        <v>643659.20235546038</v>
      </c>
      <c r="D85" s="36">
        <f t="shared" si="20"/>
        <v>643659.20235546038</v>
      </c>
      <c r="E85" s="36">
        <f t="shared" si="20"/>
        <v>643659.20235546038</v>
      </c>
      <c r="F85" s="36">
        <f t="shared" si="20"/>
        <v>643659.20235546038</v>
      </c>
      <c r="G85" s="36">
        <f t="shared" si="20"/>
        <v>643659.20235546038</v>
      </c>
      <c r="H85" s="36">
        <f t="shared" si="20"/>
        <v>643659.20235546038</v>
      </c>
      <c r="I85" s="36">
        <f t="shared" si="20"/>
        <v>643659.20235546038</v>
      </c>
      <c r="J85" s="36">
        <f t="shared" si="20"/>
        <v>643659.20235546038</v>
      </c>
      <c r="K85" s="36">
        <f t="shared" si="20"/>
        <v>643659.20235546038</v>
      </c>
      <c r="L85" s="36">
        <f t="shared" si="20"/>
        <v>643659.20235546038</v>
      </c>
      <c r="M85" s="36">
        <f t="shared" si="20"/>
        <v>0</v>
      </c>
      <c r="N85" s="36">
        <f t="shared" si="20"/>
        <v>0</v>
      </c>
      <c r="O85" s="36">
        <f t="shared" si="20"/>
        <v>0</v>
      </c>
      <c r="P85" s="36">
        <f t="shared" si="20"/>
        <v>0</v>
      </c>
      <c r="Q85" s="36">
        <f t="shared" si="20"/>
        <v>0</v>
      </c>
    </row>
    <row r="86" spans="1:17">
      <c r="A86" s="33" t="s">
        <v>440</v>
      </c>
      <c r="B86" s="32">
        <f>SUM(B81:B85)</f>
        <v>411487.44027364592</v>
      </c>
      <c r="C86" s="32">
        <f t="shared" ref="C86:G86" si="21">SUM(C81:C85)</f>
        <v>1076747.6675463733</v>
      </c>
      <c r="D86" s="32">
        <f t="shared" si="21"/>
        <v>1076747.6675463733</v>
      </c>
      <c r="E86" s="32">
        <f t="shared" si="21"/>
        <v>1076747.6675463733</v>
      </c>
      <c r="F86" s="32">
        <f t="shared" si="21"/>
        <v>1076747.6675463733</v>
      </c>
      <c r="G86" s="32">
        <f t="shared" si="21"/>
        <v>1059747.6675463733</v>
      </c>
      <c r="H86" s="32">
        <f t="shared" ref="H86:Q86" si="22">SUM(H81:H85)</f>
        <v>1076747.6675463733</v>
      </c>
      <c r="I86" s="32">
        <f t="shared" si="22"/>
        <v>1076747.6675463733</v>
      </c>
      <c r="J86" s="32">
        <f t="shared" si="22"/>
        <v>1007747.6675463734</v>
      </c>
      <c r="K86" s="32">
        <f t="shared" si="22"/>
        <v>1076747.6675463733</v>
      </c>
      <c r="L86" s="32">
        <f t="shared" si="22"/>
        <v>1059747.6675463733</v>
      </c>
      <c r="M86" s="32">
        <f t="shared" si="22"/>
        <v>0</v>
      </c>
      <c r="N86" s="32">
        <f t="shared" si="22"/>
        <v>0</v>
      </c>
      <c r="O86" s="32">
        <f t="shared" si="22"/>
        <v>0</v>
      </c>
      <c r="P86" s="32">
        <f t="shared" si="22"/>
        <v>0</v>
      </c>
      <c r="Q86" s="32">
        <f t="shared" si="22"/>
        <v>0</v>
      </c>
    </row>
    <row r="87" spans="1:17">
      <c r="A87" s="10"/>
      <c r="B87" s="39"/>
      <c r="C87" s="39"/>
      <c r="D87" s="39"/>
      <c r="E87" s="39"/>
      <c r="F87" s="39"/>
      <c r="G87" s="39"/>
    </row>
    <row r="88" spans="1:17">
      <c r="A88" s="9" t="s">
        <v>441</v>
      </c>
      <c r="B88" s="39"/>
      <c r="C88" s="39"/>
      <c r="D88" s="39"/>
      <c r="E88" s="39"/>
      <c r="F88" s="39"/>
      <c r="G88" s="39"/>
    </row>
    <row r="89" spans="1:17" s="98" customFormat="1">
      <c r="A89" s="1" t="s">
        <v>442</v>
      </c>
      <c r="B89" s="31">
        <f t="shared" ref="B89:Q89" si="23">(B79+B80)*B13</f>
        <v>108829.77297805402</v>
      </c>
      <c r="C89" s="31">
        <f t="shared" si="23"/>
        <v>108829.77297805402</v>
      </c>
      <c r="D89" s="31">
        <f t="shared" si="23"/>
        <v>108829.77297805402</v>
      </c>
      <c r="E89" s="31">
        <f t="shared" si="23"/>
        <v>108829.77297805402</v>
      </c>
      <c r="F89" s="31">
        <f t="shared" si="23"/>
        <v>108829.77297805402</v>
      </c>
      <c r="G89" s="31">
        <f t="shared" si="23"/>
        <v>108829.77297805402</v>
      </c>
      <c r="H89" s="31">
        <f t="shared" si="23"/>
        <v>108829.77297805402</v>
      </c>
      <c r="I89" s="31">
        <f t="shared" si="23"/>
        <v>108829.77297805402</v>
      </c>
      <c r="J89" s="31">
        <f t="shared" si="23"/>
        <v>108829.77297805402</v>
      </c>
      <c r="K89" s="31">
        <f t="shared" si="23"/>
        <v>108829.77297805402</v>
      </c>
      <c r="L89" s="31">
        <f t="shared" si="23"/>
        <v>108829.77297805402</v>
      </c>
      <c r="M89" s="31">
        <f t="shared" si="23"/>
        <v>0</v>
      </c>
      <c r="N89" s="31">
        <f t="shared" si="23"/>
        <v>0</v>
      </c>
      <c r="O89" s="31">
        <f t="shared" si="23"/>
        <v>0</v>
      </c>
      <c r="P89" s="31">
        <f t="shared" si="23"/>
        <v>0</v>
      </c>
      <c r="Q89" s="31">
        <f t="shared" si="23"/>
        <v>0</v>
      </c>
    </row>
    <row r="90" spans="1:17" s="98" customFormat="1">
      <c r="A90" s="1" t="s">
        <v>443</v>
      </c>
      <c r="B90" s="31">
        <f t="shared" ref="B90:Q90" si="24">(B77+B78)*B13</f>
        <v>-1013225.2272727275</v>
      </c>
      <c r="C90" s="31">
        <f t="shared" si="24"/>
        <v>-347965</v>
      </c>
      <c r="D90" s="31">
        <f t="shared" si="24"/>
        <v>-347965</v>
      </c>
      <c r="E90" s="31">
        <f t="shared" si="24"/>
        <v>-347965</v>
      </c>
      <c r="F90" s="31">
        <f t="shared" si="24"/>
        <v>-347965</v>
      </c>
      <c r="G90" s="31">
        <f t="shared" si="24"/>
        <v>-364965</v>
      </c>
      <c r="H90" s="31">
        <f t="shared" si="24"/>
        <v>-347965</v>
      </c>
      <c r="I90" s="31">
        <f t="shared" si="24"/>
        <v>-347965</v>
      </c>
      <c r="J90" s="31">
        <f t="shared" si="24"/>
        <v>-416965</v>
      </c>
      <c r="K90" s="31">
        <f t="shared" si="24"/>
        <v>-347965</v>
      </c>
      <c r="L90" s="31">
        <f t="shared" si="24"/>
        <v>-364965</v>
      </c>
      <c r="M90" s="31">
        <f t="shared" si="24"/>
        <v>0</v>
      </c>
      <c r="N90" s="31">
        <f t="shared" si="24"/>
        <v>0</v>
      </c>
      <c r="O90" s="31">
        <f t="shared" si="24"/>
        <v>0</v>
      </c>
      <c r="P90" s="31">
        <f t="shared" si="24"/>
        <v>0</v>
      </c>
      <c r="Q90" s="31">
        <f t="shared" si="24"/>
        <v>0</v>
      </c>
    </row>
    <row r="91" spans="1:17" s="95" customFormat="1">
      <c r="A91" s="10" t="s">
        <v>437</v>
      </c>
      <c r="B91" s="39">
        <f>SUM(B89:B90)</f>
        <v>-904395.45429467352</v>
      </c>
      <c r="C91" s="39">
        <f t="shared" ref="C91:Q91" si="25">SUM(C89:C90)</f>
        <v>-239135.22702194599</v>
      </c>
      <c r="D91" s="39">
        <f t="shared" si="25"/>
        <v>-239135.22702194599</v>
      </c>
      <c r="E91" s="39">
        <f t="shared" si="25"/>
        <v>-239135.22702194599</v>
      </c>
      <c r="F91" s="39">
        <f t="shared" si="25"/>
        <v>-239135.22702194599</v>
      </c>
      <c r="G91" s="39">
        <f t="shared" si="25"/>
        <v>-256135.22702194599</v>
      </c>
      <c r="H91" s="39">
        <f t="shared" si="25"/>
        <v>-239135.22702194599</v>
      </c>
      <c r="I91" s="39">
        <f t="shared" si="25"/>
        <v>-239135.22702194599</v>
      </c>
      <c r="J91" s="39">
        <f t="shared" si="25"/>
        <v>-308135.22702194599</v>
      </c>
      <c r="K91" s="39">
        <f t="shared" si="25"/>
        <v>-239135.22702194599</v>
      </c>
      <c r="L91" s="39">
        <f t="shared" si="25"/>
        <v>-256135.22702194599</v>
      </c>
      <c r="M91" s="39">
        <f t="shared" si="25"/>
        <v>0</v>
      </c>
      <c r="N91" s="39">
        <f t="shared" si="25"/>
        <v>0</v>
      </c>
      <c r="O91" s="39">
        <f t="shared" si="25"/>
        <v>0</v>
      </c>
      <c r="P91" s="39">
        <f t="shared" si="25"/>
        <v>0</v>
      </c>
      <c r="Q91" s="39">
        <f t="shared" si="25"/>
        <v>0</v>
      </c>
    </row>
    <row r="92" spans="1:17" s="98" customFormat="1">
      <c r="A92" s="1" t="s">
        <v>444</v>
      </c>
      <c r="B92" s="31">
        <f>(B83+B84+B85)*B13</f>
        <v>1315882.8945683194</v>
      </c>
      <c r="C92" s="31">
        <f t="shared" ref="C92:Q92" si="26">(C83+C84+C85)*C13</f>
        <v>1315882.8945683194</v>
      </c>
      <c r="D92" s="31">
        <f t="shared" si="26"/>
        <v>1315882.8945683194</v>
      </c>
      <c r="E92" s="31">
        <f t="shared" si="26"/>
        <v>1315882.8945683194</v>
      </c>
      <c r="F92" s="31">
        <f t="shared" si="26"/>
        <v>1315882.8945683194</v>
      </c>
      <c r="G92" s="31">
        <f t="shared" si="26"/>
        <v>1315882.8945683194</v>
      </c>
      <c r="H92" s="31">
        <f t="shared" si="26"/>
        <v>1315882.8945683194</v>
      </c>
      <c r="I92" s="31">
        <f t="shared" si="26"/>
        <v>1315882.8945683194</v>
      </c>
      <c r="J92" s="31">
        <f t="shared" si="26"/>
        <v>1315882.8945683194</v>
      </c>
      <c r="K92" s="31">
        <f t="shared" si="26"/>
        <v>1315882.8945683194</v>
      </c>
      <c r="L92" s="31">
        <f t="shared" si="26"/>
        <v>1315882.8945683194</v>
      </c>
      <c r="M92" s="31">
        <f t="shared" si="26"/>
        <v>0</v>
      </c>
      <c r="N92" s="31">
        <f t="shared" si="26"/>
        <v>0</v>
      </c>
      <c r="O92" s="31">
        <f t="shared" si="26"/>
        <v>0</v>
      </c>
      <c r="P92" s="31">
        <f t="shared" si="26"/>
        <v>0</v>
      </c>
      <c r="Q92" s="31">
        <f t="shared" si="26"/>
        <v>0</v>
      </c>
    </row>
    <row r="93" spans="1:17" s="95" customFormat="1">
      <c r="A93" s="10" t="s">
        <v>440</v>
      </c>
      <c r="B93" s="39">
        <f>SUM(B91:B92)</f>
        <v>411487.44027364592</v>
      </c>
      <c r="C93" s="39">
        <f t="shared" ref="C93:Q93" si="27">SUM(C91:C92)</f>
        <v>1076747.6675463733</v>
      </c>
      <c r="D93" s="39">
        <f t="shared" si="27"/>
        <v>1076747.6675463733</v>
      </c>
      <c r="E93" s="39">
        <f t="shared" si="27"/>
        <v>1076747.6675463733</v>
      </c>
      <c r="F93" s="39">
        <f t="shared" si="27"/>
        <v>1076747.6675463733</v>
      </c>
      <c r="G93" s="39">
        <f t="shared" si="27"/>
        <v>1059747.6675463733</v>
      </c>
      <c r="H93" s="39">
        <f t="shared" si="27"/>
        <v>1076747.6675463733</v>
      </c>
      <c r="I93" s="39">
        <f t="shared" si="27"/>
        <v>1076747.6675463733</v>
      </c>
      <c r="J93" s="39">
        <f t="shared" si="27"/>
        <v>1007747.6675463734</v>
      </c>
      <c r="K93" s="39">
        <f t="shared" si="27"/>
        <v>1076747.6675463733</v>
      </c>
      <c r="L93" s="39">
        <f t="shared" si="27"/>
        <v>1059747.6675463733</v>
      </c>
      <c r="M93" s="39">
        <f t="shared" si="27"/>
        <v>0</v>
      </c>
      <c r="N93" s="39">
        <f t="shared" si="27"/>
        <v>0</v>
      </c>
      <c r="O93" s="39">
        <f t="shared" si="27"/>
        <v>0</v>
      </c>
      <c r="P93" s="39">
        <f t="shared" si="27"/>
        <v>0</v>
      </c>
      <c r="Q93" s="39">
        <f t="shared" si="27"/>
        <v>0</v>
      </c>
    </row>
    <row r="94" spans="1:17">
      <c r="A94" s="1"/>
      <c r="B94" s="1"/>
      <c r="C94" s="1"/>
      <c r="D94" s="1"/>
      <c r="E94" s="1"/>
      <c r="F94" s="1"/>
      <c r="G94" s="1"/>
    </row>
    <row r="95" spans="1:17">
      <c r="A95" s="1" t="s">
        <v>445</v>
      </c>
      <c r="B95" s="31">
        <f>SUM(B89:Q89)</f>
        <v>1197127.5027585945</v>
      </c>
      <c r="C95" s="1"/>
      <c r="D95" s="1"/>
      <c r="E95" s="1"/>
      <c r="F95" s="1"/>
      <c r="G95" s="1"/>
    </row>
    <row r="96" spans="1:17">
      <c r="A96" s="1" t="s">
        <v>446</v>
      </c>
      <c r="B96" s="31">
        <f>SUM(B90:Q90)</f>
        <v>-4595875.2272727275</v>
      </c>
      <c r="C96" s="1"/>
      <c r="D96" s="1"/>
      <c r="E96" s="1"/>
      <c r="F96" s="1"/>
      <c r="G96" s="1"/>
    </row>
    <row r="97" spans="1:17">
      <c r="A97" s="1" t="s">
        <v>447</v>
      </c>
      <c r="B97" s="31">
        <f>SUM(B92:Q92)</f>
        <v>14474711.840251517</v>
      </c>
      <c r="C97" s="1"/>
      <c r="D97" s="1"/>
      <c r="E97" s="1"/>
      <c r="F97" s="1"/>
      <c r="G97" s="1"/>
    </row>
    <row r="98" spans="1:17">
      <c r="A98" s="33" t="s">
        <v>448</v>
      </c>
      <c r="B98" s="32">
        <f>SUM(B95:B96)</f>
        <v>-3398747.7245141333</v>
      </c>
      <c r="C98" s="31"/>
      <c r="D98" s="31"/>
      <c r="E98" s="31"/>
      <c r="F98" s="31"/>
      <c r="G98" s="31"/>
    </row>
    <row r="99" spans="1:17">
      <c r="A99" s="33" t="s">
        <v>449</v>
      </c>
      <c r="B99" s="32">
        <f>SUM(B95:B97)</f>
        <v>11075964.115737382</v>
      </c>
    </row>
    <row r="101" spans="1:17">
      <c r="A101" s="9" t="s">
        <v>450</v>
      </c>
      <c r="B101" s="39"/>
      <c r="C101" s="39"/>
      <c r="D101" s="39"/>
      <c r="E101" s="39"/>
      <c r="F101" s="39"/>
      <c r="G101" s="39"/>
    </row>
    <row r="102" spans="1:17">
      <c r="A102" s="1" t="s">
        <v>451</v>
      </c>
      <c r="B102" s="31">
        <f>SUM($B$91:B91)</f>
        <v>-904395.45429467352</v>
      </c>
      <c r="C102" s="31">
        <f>SUM($B$91:C91)</f>
        <v>-1143530.6813166195</v>
      </c>
      <c r="D102" s="31">
        <f>SUM($B$91:D91)</f>
        <v>-1382665.9083385654</v>
      </c>
      <c r="E102" s="31">
        <f>SUM($B$91:E91)</f>
        <v>-1621801.1353605115</v>
      </c>
      <c r="F102" s="31">
        <f>SUM($B$91:F91)</f>
        <v>-1860936.3623824576</v>
      </c>
      <c r="G102" s="31">
        <f>SUM($B$91:G91)</f>
        <v>-2117071.5894044037</v>
      </c>
      <c r="H102" s="31">
        <f>SUM($B$91:H91)</f>
        <v>-2356206.8164263498</v>
      </c>
      <c r="I102" s="31">
        <f>SUM($B$91:I91)</f>
        <v>-2595342.0434482959</v>
      </c>
      <c r="J102" s="31">
        <f>SUM($B$91:J91)</f>
        <v>-2903477.270470242</v>
      </c>
      <c r="K102" s="31">
        <f>SUM($B$91:K91)</f>
        <v>-3142612.4974921881</v>
      </c>
      <c r="L102" s="31">
        <f>SUM($B$91:L91)</f>
        <v>-3398747.7245141342</v>
      </c>
      <c r="M102" s="31">
        <f>SUM($B$91:M91)</f>
        <v>-3398747.7245141342</v>
      </c>
      <c r="N102" s="31">
        <f>SUM($B$91:N91)</f>
        <v>-3398747.7245141342</v>
      </c>
      <c r="O102" s="31">
        <f>SUM($B$91:O91)</f>
        <v>-3398747.7245141342</v>
      </c>
      <c r="P102" s="31">
        <f>SUM($B$91:P91)</f>
        <v>-3398747.7245141342</v>
      </c>
      <c r="Q102" s="31">
        <f>SUM($B$91:Q91)</f>
        <v>-3398747.7245141342</v>
      </c>
    </row>
    <row r="103" spans="1:17">
      <c r="A103" s="1" t="s">
        <v>452</v>
      </c>
      <c r="B103" s="31">
        <f>SUM($B$91:B92)</f>
        <v>411487.44027364592</v>
      </c>
      <c r="C103" s="31">
        <f>SUM($B$91:C92)</f>
        <v>1488235.1078200194</v>
      </c>
      <c r="D103" s="31">
        <f>SUM($B$91:D92)</f>
        <v>2564982.7753663929</v>
      </c>
      <c r="E103" s="31">
        <f>SUM($B$91:E92)</f>
        <v>3641730.4429127662</v>
      </c>
      <c r="F103" s="31">
        <f>SUM($B$91:F92)</f>
        <v>4718478.1104591396</v>
      </c>
      <c r="G103" s="31">
        <f>SUM($B$91:G92)</f>
        <v>5778225.7780055134</v>
      </c>
      <c r="H103" s="31">
        <f>SUM($B$91:H92)</f>
        <v>6854973.4455518862</v>
      </c>
      <c r="I103" s="31">
        <f>SUM($B$91:I92)</f>
        <v>7931721.11309826</v>
      </c>
      <c r="J103" s="31">
        <f>SUM($B$91:J92)</f>
        <v>8939468.7806446329</v>
      </c>
      <c r="K103" s="31">
        <f>SUM($B$91:K92)</f>
        <v>10016216.448191006</v>
      </c>
      <c r="L103" s="31">
        <f>SUM($B$91:L92)</f>
        <v>11075964.115737382</v>
      </c>
      <c r="M103" s="31">
        <f>SUM($B$91:M92)</f>
        <v>11075964.115737382</v>
      </c>
      <c r="N103" s="31">
        <f>SUM($B$91:N92)</f>
        <v>11075964.115737382</v>
      </c>
      <c r="O103" s="31">
        <f>SUM($B$91:O92)</f>
        <v>11075964.115737382</v>
      </c>
      <c r="P103" s="31">
        <f>SUM($B$91:P92)</f>
        <v>11075964.115737382</v>
      </c>
      <c r="Q103" s="31">
        <f>SUM($B$91:Q92)</f>
        <v>11075964.115737382</v>
      </c>
    </row>
    <row r="105" spans="1:17">
      <c r="A105" s="9" t="s">
        <v>453</v>
      </c>
    </row>
    <row r="106" spans="1:17">
      <c r="A106" s="33" t="s">
        <v>454</v>
      </c>
      <c r="B106" s="57">
        <f>(B95+B97)/-B96</f>
        <v>3.4099792896923473</v>
      </c>
    </row>
    <row r="107" spans="1:17">
      <c r="A107" s="33" t="s">
        <v>455</v>
      </c>
      <c r="B107" s="57">
        <f>(B99/6)/(Benefits!B16+Benefits!B24)</f>
        <v>1725.7953120883217</v>
      </c>
    </row>
    <row r="108" spans="1:17">
      <c r="A108" s="33" t="s">
        <v>456</v>
      </c>
      <c r="B108" s="57">
        <f>(B99/$B$8+1)/Costs!B9</f>
        <v>73.839827438249216</v>
      </c>
    </row>
    <row r="109" spans="1:17">
      <c r="A109" s="33" t="s">
        <v>457</v>
      </c>
      <c r="B109" s="57">
        <f>-(B96/$B$8+1)/Costs!B9</f>
        <v>30.639101515151516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8FA4-8F70-4C38-BA68-77484BCFA531}">
  <sheetPr>
    <tabColor theme="1"/>
  </sheetPr>
  <dimension ref="A1"/>
  <sheetViews>
    <sheetView workbookViewId="0"/>
  </sheetViews>
  <sheetFormatPr defaultColWidth="9.140625" defaultRowHeight="15"/>
  <cols>
    <col min="1" max="16384" width="9.140625" style="43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D6FA-F8F2-463D-9699-DF0FC3986DF4}">
  <sheetPr>
    <tabColor theme="8" tint="0.79998168889431442"/>
  </sheetPr>
  <dimension ref="A1:J92"/>
  <sheetViews>
    <sheetView topLeftCell="A34" zoomScale="80" zoomScaleNormal="80" workbookViewId="0">
      <selection activeCell="E58" sqref="E58"/>
    </sheetView>
  </sheetViews>
  <sheetFormatPr defaultColWidth="9.140625" defaultRowHeight="11.25"/>
  <cols>
    <col min="1" max="1" width="44.42578125" style="1" bestFit="1" customWidth="1"/>
    <col min="2" max="2" width="17.28515625" style="1" bestFit="1" customWidth="1"/>
    <col min="3" max="4" width="13.42578125" style="1" customWidth="1"/>
    <col min="5" max="5" width="13.28515625" style="1" customWidth="1"/>
    <col min="6" max="7" width="53.85546875" style="1" customWidth="1"/>
    <col min="8" max="16384" width="9.140625" style="1"/>
  </cols>
  <sheetData>
    <row r="1" spans="1:10" s="27" customFormat="1">
      <c r="A1" s="26" t="s">
        <v>458</v>
      </c>
    </row>
    <row r="2" spans="1:10" s="38" customFormat="1">
      <c r="A2" s="60"/>
    </row>
    <row r="3" spans="1:10">
      <c r="A3" s="1" t="s">
        <v>459</v>
      </c>
      <c r="B3" s="8"/>
    </row>
    <row r="4" spans="1:10" s="38" customFormat="1"/>
    <row r="5" spans="1:10" s="67" customFormat="1">
      <c r="A5" s="66"/>
      <c r="B5" s="66"/>
      <c r="C5" s="167" t="s">
        <v>460</v>
      </c>
      <c r="D5" s="167"/>
      <c r="E5" s="167"/>
      <c r="F5" s="66" t="s">
        <v>461</v>
      </c>
      <c r="G5" s="66" t="s">
        <v>462</v>
      </c>
      <c r="H5" s="66" t="s">
        <v>463</v>
      </c>
      <c r="I5" s="66"/>
      <c r="J5" s="66"/>
    </row>
    <row r="6" spans="1:10" s="67" customFormat="1">
      <c r="A6" s="66"/>
      <c r="B6" s="66" t="s">
        <v>464</v>
      </c>
      <c r="C6" s="159" t="s">
        <v>20</v>
      </c>
      <c r="D6" s="159" t="s">
        <v>465</v>
      </c>
      <c r="E6" s="159" t="s">
        <v>16</v>
      </c>
      <c r="F6" s="66"/>
      <c r="G6" s="66"/>
      <c r="H6" s="66"/>
      <c r="I6" s="66"/>
      <c r="J6" s="66"/>
    </row>
    <row r="7" spans="1:10" s="67" customFormat="1">
      <c r="A7" s="66"/>
      <c r="H7" s="71"/>
    </row>
    <row r="8" spans="1:10" s="65" customFormat="1">
      <c r="A8" s="64" t="s">
        <v>25</v>
      </c>
    </row>
    <row r="9" spans="1:10">
      <c r="A9" s="11" t="s">
        <v>30</v>
      </c>
      <c r="B9" s="11" t="s">
        <v>466</v>
      </c>
      <c r="C9" s="13"/>
      <c r="D9" s="13">
        <v>150</v>
      </c>
      <c r="E9" s="13"/>
      <c r="F9" s="13" t="s">
        <v>467</v>
      </c>
      <c r="G9" s="11" t="s">
        <v>468</v>
      </c>
      <c r="H9" s="11" t="s">
        <v>469</v>
      </c>
    </row>
    <row r="10" spans="1:10">
      <c r="A10" s="11" t="s">
        <v>32</v>
      </c>
      <c r="B10" s="11" t="s">
        <v>470</v>
      </c>
      <c r="C10" s="13"/>
      <c r="D10" s="13">
        <v>5</v>
      </c>
      <c r="E10" s="13"/>
      <c r="F10" s="13"/>
      <c r="G10" s="11"/>
      <c r="H10" s="11"/>
    </row>
    <row r="11" spans="1:10">
      <c r="A11" s="11" t="s">
        <v>33</v>
      </c>
      <c r="B11" s="11" t="s">
        <v>471</v>
      </c>
      <c r="C11" s="13"/>
      <c r="D11" s="13">
        <v>1</v>
      </c>
      <c r="E11" s="13"/>
      <c r="F11" s="14" t="s">
        <v>472</v>
      </c>
      <c r="G11" s="11"/>
      <c r="H11" s="11"/>
    </row>
    <row r="12" spans="1:10">
      <c r="A12" s="11" t="s">
        <v>185</v>
      </c>
      <c r="B12" s="11" t="s">
        <v>473</v>
      </c>
      <c r="C12" s="13"/>
      <c r="D12" s="13">
        <v>1</v>
      </c>
      <c r="E12" s="13"/>
      <c r="F12" s="14"/>
      <c r="G12" s="11"/>
      <c r="H12" s="11"/>
    </row>
    <row r="13" spans="1:10">
      <c r="A13" s="11" t="s">
        <v>186</v>
      </c>
      <c r="B13" s="11" t="s">
        <v>474</v>
      </c>
      <c r="C13" s="13"/>
      <c r="D13" s="13">
        <v>1</v>
      </c>
      <c r="E13" s="13"/>
      <c r="F13" s="14"/>
      <c r="G13" s="11"/>
      <c r="H13" s="11"/>
    </row>
    <row r="14" spans="1:10">
      <c r="A14" s="11" t="s">
        <v>34</v>
      </c>
      <c r="B14" s="11" t="s">
        <v>475</v>
      </c>
      <c r="C14" s="13"/>
      <c r="D14" s="13">
        <v>2</v>
      </c>
      <c r="E14" s="13"/>
      <c r="F14" s="14" t="s">
        <v>472</v>
      </c>
      <c r="G14" s="11"/>
      <c r="H14" s="11"/>
    </row>
    <row r="15" spans="1:10">
      <c r="A15" s="11" t="s">
        <v>35</v>
      </c>
      <c r="B15" s="11" t="s">
        <v>475</v>
      </c>
      <c r="C15" s="13"/>
      <c r="D15" s="13">
        <v>3</v>
      </c>
      <c r="E15" s="13"/>
      <c r="F15" s="14"/>
      <c r="G15" s="11"/>
      <c r="H15" s="11"/>
    </row>
    <row r="16" spans="1:10">
      <c r="A16" s="11"/>
      <c r="B16" s="11"/>
      <c r="C16" s="13"/>
      <c r="D16" s="13"/>
      <c r="E16" s="13"/>
      <c r="F16" s="14"/>
      <c r="G16" s="11"/>
      <c r="H16" s="11"/>
    </row>
    <row r="17" spans="1:8" s="65" customFormat="1">
      <c r="A17" s="64" t="s">
        <v>188</v>
      </c>
    </row>
    <row r="18" spans="1:8" ht="56.25">
      <c r="A18" s="11" t="s">
        <v>187</v>
      </c>
      <c r="B18" s="11" t="s">
        <v>476</v>
      </c>
      <c r="C18" s="16"/>
      <c r="D18" s="16">
        <v>8.4000000000000005E-2</v>
      </c>
      <c r="E18" s="16"/>
      <c r="F18" s="17" t="s">
        <v>477</v>
      </c>
      <c r="G18" s="12" t="s">
        <v>478</v>
      </c>
      <c r="H18" s="11" t="s">
        <v>479</v>
      </c>
    </row>
    <row r="19" spans="1:8">
      <c r="A19" s="11" t="s">
        <v>189</v>
      </c>
      <c r="B19" s="11" t="s">
        <v>480</v>
      </c>
      <c r="C19" s="129"/>
      <c r="D19" s="129">
        <v>0.75</v>
      </c>
      <c r="E19" s="129"/>
      <c r="F19" s="14" t="s">
        <v>481</v>
      </c>
      <c r="G19" s="13"/>
      <c r="H19" s="11"/>
    </row>
    <row r="20" spans="1:8" ht="33.75">
      <c r="A20" s="11" t="s">
        <v>190</v>
      </c>
      <c r="B20" s="11" t="s">
        <v>480</v>
      </c>
      <c r="C20" s="15"/>
      <c r="D20" s="18">
        <f>6.9/(6.9+59.3)</f>
        <v>0.10422960725075529</v>
      </c>
      <c r="E20" s="15"/>
      <c r="F20" s="17" t="s">
        <v>482</v>
      </c>
      <c r="G20" s="11" t="s">
        <v>483</v>
      </c>
      <c r="H20" s="11" t="s">
        <v>484</v>
      </c>
    </row>
    <row r="21" spans="1:8" ht="33.75">
      <c r="A21" s="11" t="s">
        <v>191</v>
      </c>
      <c r="B21" s="11" t="s">
        <v>480</v>
      </c>
      <c r="C21" s="15"/>
      <c r="D21" s="18">
        <f>59.3/(6.9+59.3)</f>
        <v>0.89577039274924464</v>
      </c>
      <c r="E21" s="15"/>
      <c r="F21" s="17" t="s">
        <v>482</v>
      </c>
      <c r="G21" s="11" t="s">
        <v>483</v>
      </c>
      <c r="H21" s="11" t="s">
        <v>484</v>
      </c>
    </row>
    <row r="22" spans="1:8">
      <c r="A22" s="11" t="s">
        <v>192</v>
      </c>
      <c r="B22" s="11" t="s">
        <v>485</v>
      </c>
      <c r="C22" s="13"/>
      <c r="D22" s="13">
        <v>60</v>
      </c>
      <c r="E22" s="13"/>
      <c r="F22" s="14" t="s">
        <v>486</v>
      </c>
      <c r="G22" s="11" t="s">
        <v>487</v>
      </c>
      <c r="H22" s="11" t="s">
        <v>488</v>
      </c>
    </row>
    <row r="23" spans="1:8">
      <c r="A23" s="11"/>
      <c r="B23" s="11"/>
      <c r="C23" s="13"/>
      <c r="D23" s="13"/>
      <c r="E23" s="13"/>
      <c r="F23" s="14"/>
      <c r="G23" s="11"/>
      <c r="H23" s="11"/>
    </row>
    <row r="24" spans="1:8" s="65" customFormat="1">
      <c r="A24" s="64" t="s">
        <v>489</v>
      </c>
    </row>
    <row r="25" spans="1:8">
      <c r="A25" s="11" t="s">
        <v>193</v>
      </c>
      <c r="B25" s="11" t="s">
        <v>490</v>
      </c>
      <c r="C25" s="15"/>
      <c r="D25" s="15">
        <v>1000</v>
      </c>
      <c r="E25" s="15"/>
      <c r="F25" s="14"/>
      <c r="G25" s="11"/>
      <c r="H25" s="11"/>
    </row>
    <row r="26" spans="1:8">
      <c r="A26" s="11" t="s">
        <v>195</v>
      </c>
      <c r="B26" s="11" t="s">
        <v>491</v>
      </c>
      <c r="C26" s="15"/>
      <c r="D26" s="15">
        <v>1000</v>
      </c>
      <c r="E26" s="15"/>
      <c r="F26" s="14"/>
      <c r="G26" s="11"/>
      <c r="H26" s="11"/>
    </row>
    <row r="27" spans="1:8">
      <c r="A27" s="11" t="s">
        <v>196</v>
      </c>
      <c r="B27" s="11" t="s">
        <v>492</v>
      </c>
      <c r="C27" s="15"/>
      <c r="D27" s="11">
        <v>60</v>
      </c>
      <c r="E27" s="15"/>
      <c r="F27" s="17"/>
      <c r="G27" s="11"/>
      <c r="H27" s="11"/>
    </row>
    <row r="28" spans="1:8">
      <c r="A28" s="11" t="s">
        <v>197</v>
      </c>
      <c r="B28" s="11" t="s">
        <v>493</v>
      </c>
      <c r="C28" s="15"/>
      <c r="D28" s="11">
        <v>7</v>
      </c>
      <c r="E28" s="15"/>
      <c r="F28" s="17"/>
      <c r="G28" s="11"/>
      <c r="H28" s="11"/>
    </row>
    <row r="29" spans="1:8">
      <c r="A29" s="11" t="s">
        <v>198</v>
      </c>
      <c r="B29" s="11" t="s">
        <v>494</v>
      </c>
      <c r="C29" s="15"/>
      <c r="D29" s="11">
        <v>52</v>
      </c>
      <c r="E29" s="15"/>
      <c r="F29" s="17"/>
      <c r="G29" s="11"/>
      <c r="H29" s="11"/>
    </row>
    <row r="30" spans="1:8">
      <c r="A30" s="11" t="s">
        <v>199</v>
      </c>
      <c r="B30" s="11" t="s">
        <v>495</v>
      </c>
      <c r="C30" s="15"/>
      <c r="D30" s="11">
        <v>12</v>
      </c>
      <c r="E30" s="15"/>
      <c r="F30" s="17"/>
      <c r="G30" s="11"/>
      <c r="H30" s="11"/>
    </row>
    <row r="31" spans="1:8">
      <c r="A31" s="11"/>
      <c r="B31" s="11"/>
      <c r="C31" s="15"/>
      <c r="D31" s="15"/>
      <c r="E31" s="15"/>
      <c r="F31" s="14"/>
      <c r="G31" s="11"/>
      <c r="H31" s="11"/>
    </row>
    <row r="32" spans="1:8" s="65" customFormat="1">
      <c r="A32" s="64" t="s">
        <v>496</v>
      </c>
    </row>
    <row r="33" spans="1:8">
      <c r="A33" s="11" t="s">
        <v>200</v>
      </c>
      <c r="B33" s="11" t="s">
        <v>497</v>
      </c>
      <c r="C33" s="15"/>
      <c r="D33" s="15">
        <v>7</v>
      </c>
      <c r="E33" s="15"/>
      <c r="F33" s="14"/>
      <c r="G33" s="11"/>
      <c r="H33" s="11"/>
    </row>
    <row r="34" spans="1:8">
      <c r="A34" s="11" t="s">
        <v>202</v>
      </c>
      <c r="B34" s="11" t="s">
        <v>497</v>
      </c>
      <c r="C34" s="15"/>
      <c r="D34" s="15">
        <v>35</v>
      </c>
      <c r="E34" s="15"/>
      <c r="F34" s="14"/>
      <c r="G34" s="11"/>
      <c r="H34" s="11"/>
    </row>
    <row r="35" spans="1:8">
      <c r="A35" s="11" t="s">
        <v>198</v>
      </c>
      <c r="B35" s="11" t="s">
        <v>494</v>
      </c>
      <c r="C35" s="15"/>
      <c r="D35" s="15">
        <v>52</v>
      </c>
      <c r="E35" s="15"/>
      <c r="F35" s="14"/>
      <c r="G35" s="11"/>
      <c r="H35" s="11"/>
    </row>
    <row r="36" spans="1:8">
      <c r="A36" s="11" t="s">
        <v>203</v>
      </c>
      <c r="B36" s="11" t="s">
        <v>493</v>
      </c>
      <c r="C36" s="15"/>
      <c r="D36" s="15">
        <v>220</v>
      </c>
      <c r="E36" s="15"/>
      <c r="F36" s="14"/>
      <c r="G36" s="11"/>
      <c r="H36" s="11"/>
    </row>
    <row r="37" spans="1:8">
      <c r="A37" s="11" t="s">
        <v>204</v>
      </c>
      <c r="B37" s="11" t="s">
        <v>498</v>
      </c>
      <c r="C37" s="15"/>
      <c r="D37" s="15">
        <v>10.75</v>
      </c>
      <c r="E37" s="15"/>
      <c r="F37" s="14" t="s">
        <v>499</v>
      </c>
      <c r="G37" s="11"/>
      <c r="H37" s="11" t="s">
        <v>500</v>
      </c>
    </row>
    <row r="38" spans="1:8">
      <c r="A38" s="11"/>
      <c r="B38" s="11"/>
      <c r="C38" s="11"/>
      <c r="D38" s="11"/>
      <c r="E38" s="11"/>
      <c r="F38" s="11"/>
      <c r="G38" s="11"/>
      <c r="H38" s="11"/>
    </row>
    <row r="39" spans="1:8" s="65" customFormat="1">
      <c r="A39" s="64" t="s">
        <v>501</v>
      </c>
    </row>
    <row r="40" spans="1:8">
      <c r="A40" s="1" t="s">
        <v>205</v>
      </c>
      <c r="B40" s="1" t="s">
        <v>480</v>
      </c>
      <c r="D40" s="28">
        <v>3.5000000000000003E-2</v>
      </c>
      <c r="F40" s="1" t="s">
        <v>502</v>
      </c>
      <c r="G40" s="1" t="s">
        <v>503</v>
      </c>
      <c r="H40" s="11" t="s">
        <v>504</v>
      </c>
    </row>
    <row r="41" spans="1:8">
      <c r="A41" s="1" t="s">
        <v>207</v>
      </c>
      <c r="B41" s="1" t="s">
        <v>480</v>
      </c>
      <c r="D41" s="28">
        <v>0.02</v>
      </c>
      <c r="F41" s="1" t="s">
        <v>505</v>
      </c>
      <c r="H41" s="11"/>
    </row>
    <row r="43" spans="1:8" s="67" customFormat="1">
      <c r="A43" s="66" t="s">
        <v>506</v>
      </c>
    </row>
    <row r="44" spans="1:8" s="65" customFormat="1">
      <c r="A44" s="64" t="s">
        <v>507</v>
      </c>
    </row>
    <row r="45" spans="1:8" s="38" customFormat="1">
      <c r="A45" s="60"/>
      <c r="C45" s="38" t="s">
        <v>20</v>
      </c>
      <c r="D45" s="38" t="s">
        <v>11</v>
      </c>
      <c r="E45" s="38" t="s">
        <v>16</v>
      </c>
    </row>
    <row r="46" spans="1:8" s="38" customFormat="1">
      <c r="A46" s="38" t="s">
        <v>210</v>
      </c>
      <c r="B46" s="38" t="s">
        <v>480</v>
      </c>
      <c r="C46" s="134">
        <v>0.3</v>
      </c>
      <c r="D46" s="134">
        <v>0.2</v>
      </c>
      <c r="E46" s="134">
        <v>0.1</v>
      </c>
      <c r="F46" s="75" t="s">
        <v>508</v>
      </c>
      <c r="H46" s="11"/>
    </row>
    <row r="47" spans="1:8" s="38" customFormat="1" ht="33.75">
      <c r="A47" s="38" t="s">
        <v>211</v>
      </c>
      <c r="B47" s="38" t="s">
        <v>509</v>
      </c>
      <c r="C47" s="76">
        <v>0.24199999999999999</v>
      </c>
      <c r="D47" s="76">
        <v>7.5999999999999998E-2</v>
      </c>
      <c r="E47" s="76">
        <v>0</v>
      </c>
      <c r="F47" s="75" t="s">
        <v>510</v>
      </c>
      <c r="G47" s="38" t="s">
        <v>511</v>
      </c>
      <c r="H47" s="11" t="s">
        <v>512</v>
      </c>
    </row>
    <row r="48" spans="1:8" s="38" customFormat="1">
      <c r="A48" s="60"/>
    </row>
    <row r="49" spans="1:8" s="65" customFormat="1">
      <c r="A49" s="64" t="s">
        <v>513</v>
      </c>
    </row>
    <row r="50" spans="1:8">
      <c r="A50" s="1" t="s">
        <v>212</v>
      </c>
      <c r="B50" s="1" t="s">
        <v>514</v>
      </c>
      <c r="C50" s="4"/>
      <c r="D50" s="4">
        <v>69.278660000000002</v>
      </c>
      <c r="E50" s="4"/>
      <c r="F50" s="1" t="s">
        <v>515</v>
      </c>
      <c r="G50" s="1" t="s">
        <v>516</v>
      </c>
      <c r="H50" s="5" t="s">
        <v>517</v>
      </c>
    </row>
    <row r="51" spans="1:8" ht="78.75">
      <c r="A51" s="1" t="s">
        <v>518</v>
      </c>
      <c r="B51" s="6" t="s">
        <v>519</v>
      </c>
      <c r="D51" s="1">
        <f>D52-200</f>
        <v>386</v>
      </c>
      <c r="E51" s="38"/>
      <c r="F51" s="6" t="s">
        <v>520</v>
      </c>
      <c r="G51" s="6" t="s">
        <v>521</v>
      </c>
      <c r="H51" s="11" t="s">
        <v>522</v>
      </c>
    </row>
    <row r="52" spans="1:8" ht="33.75">
      <c r="A52" s="1" t="s">
        <v>523</v>
      </c>
      <c r="B52" s="6" t="s">
        <v>519</v>
      </c>
      <c r="D52" s="1">
        <v>586</v>
      </c>
      <c r="F52" s="6" t="s">
        <v>524</v>
      </c>
      <c r="G52" s="6" t="s">
        <v>525</v>
      </c>
      <c r="H52" s="7" t="s">
        <v>526</v>
      </c>
    </row>
    <row r="53" spans="1:8" ht="33.75">
      <c r="A53" s="1" t="s">
        <v>42</v>
      </c>
      <c r="B53" s="6" t="s">
        <v>519</v>
      </c>
      <c r="D53" s="94">
        <f>(D51*D21)+(D52*D20)</f>
        <v>406.84592145015102</v>
      </c>
      <c r="F53" s="6" t="s">
        <v>527</v>
      </c>
      <c r="G53" s="6" t="s">
        <v>528</v>
      </c>
      <c r="H53" s="7"/>
    </row>
    <row r="54" spans="1:8" ht="33.75">
      <c r="A54" s="1" t="s">
        <v>216</v>
      </c>
      <c r="B54" s="6" t="s">
        <v>519</v>
      </c>
      <c r="D54" s="38">
        <v>21.38</v>
      </c>
      <c r="F54" s="6" t="s">
        <v>529</v>
      </c>
      <c r="G54" s="6" t="s">
        <v>525</v>
      </c>
      <c r="H54" s="7" t="s">
        <v>526</v>
      </c>
    </row>
    <row r="55" spans="1:8">
      <c r="F55" s="6"/>
      <c r="G55" s="6"/>
      <c r="H55" s="7"/>
    </row>
    <row r="56" spans="1:8" s="65" customFormat="1">
      <c r="A56" s="64" t="s">
        <v>530</v>
      </c>
    </row>
    <row r="57" spans="1:8">
      <c r="A57" s="1" t="s">
        <v>523</v>
      </c>
      <c r="B57" s="1" t="s">
        <v>304</v>
      </c>
      <c r="D57" s="1">
        <v>113</v>
      </c>
      <c r="F57" s="1" t="s">
        <v>531</v>
      </c>
      <c r="G57" s="1" t="s">
        <v>532</v>
      </c>
      <c r="H57" s="7" t="s">
        <v>533</v>
      </c>
    </row>
    <row r="58" spans="1:8">
      <c r="A58" s="1" t="s">
        <v>518</v>
      </c>
      <c r="B58" s="1" t="s">
        <v>304</v>
      </c>
      <c r="D58" s="1">
        <v>89</v>
      </c>
      <c r="F58" s="1" t="s">
        <v>534</v>
      </c>
      <c r="G58" s="1" t="s">
        <v>532</v>
      </c>
      <c r="H58" s="7" t="s">
        <v>533</v>
      </c>
    </row>
    <row r="59" spans="1:8" ht="22.5">
      <c r="A59" s="1" t="s">
        <v>42</v>
      </c>
      <c r="B59" s="1" t="s">
        <v>304</v>
      </c>
      <c r="D59" s="94">
        <f>(D57*D20)+(D58*D21)</f>
        <v>91.501510574018113</v>
      </c>
      <c r="F59" s="6" t="s">
        <v>535</v>
      </c>
      <c r="H59" s="7"/>
    </row>
    <row r="60" spans="1:8">
      <c r="A60" s="1" t="s">
        <v>220</v>
      </c>
      <c r="B60" s="1" t="s">
        <v>304</v>
      </c>
      <c r="D60" s="1">
        <v>27</v>
      </c>
      <c r="F60" s="1" t="s">
        <v>536</v>
      </c>
      <c r="G60" s="1" t="s">
        <v>532</v>
      </c>
      <c r="H60" s="7" t="s">
        <v>533</v>
      </c>
    </row>
    <row r="61" spans="1:8">
      <c r="H61" s="7"/>
    </row>
    <row r="62" spans="1:8" s="65" customFormat="1">
      <c r="A62" s="64" t="s">
        <v>222</v>
      </c>
      <c r="C62" s="65" t="s">
        <v>537</v>
      </c>
      <c r="D62" s="65" t="s">
        <v>11</v>
      </c>
      <c r="E62" s="65" t="s">
        <v>538</v>
      </c>
    </row>
    <row r="63" spans="1:8">
      <c r="A63" s="1" t="s">
        <v>221</v>
      </c>
      <c r="B63" s="1" t="s">
        <v>304</v>
      </c>
      <c r="C63" s="1">
        <v>700</v>
      </c>
      <c r="D63" s="1">
        <f>AVERAGE(C63,E63)</f>
        <v>385</v>
      </c>
      <c r="E63" s="1">
        <v>70</v>
      </c>
      <c r="F63" s="1" t="s">
        <v>539</v>
      </c>
      <c r="G63" s="1" t="s">
        <v>540</v>
      </c>
      <c r="H63" s="1" t="s">
        <v>541</v>
      </c>
    </row>
    <row r="64" spans="1:8">
      <c r="A64" s="1" t="s">
        <v>223</v>
      </c>
      <c r="B64" s="1" t="s">
        <v>304</v>
      </c>
      <c r="C64" s="1">
        <v>17</v>
      </c>
      <c r="D64" s="1">
        <f>AVERAGE(C64,E64)</f>
        <v>10.5</v>
      </c>
      <c r="E64" s="1">
        <v>4</v>
      </c>
      <c r="F64" s="1" t="s">
        <v>542</v>
      </c>
      <c r="G64" s="1" t="s">
        <v>540</v>
      </c>
      <c r="H64" s="1" t="s">
        <v>541</v>
      </c>
    </row>
    <row r="65" spans="1:8">
      <c r="A65" s="1" t="s">
        <v>224</v>
      </c>
      <c r="B65" s="1" t="s">
        <v>304</v>
      </c>
      <c r="C65" s="1">
        <v>180</v>
      </c>
      <c r="D65" s="1">
        <v>275</v>
      </c>
      <c r="E65" s="1">
        <v>50</v>
      </c>
      <c r="F65" s="1" t="s">
        <v>543</v>
      </c>
      <c r="G65" s="1" t="s">
        <v>540</v>
      </c>
      <c r="H65" s="1" t="s">
        <v>541</v>
      </c>
    </row>
    <row r="66" spans="1:8">
      <c r="A66" s="1" t="s">
        <v>225</v>
      </c>
      <c r="B66" s="1" t="s">
        <v>304</v>
      </c>
      <c r="C66" s="1">
        <v>35</v>
      </c>
      <c r="D66" s="1">
        <f>AVERAGE(C66,E66)</f>
        <v>10</v>
      </c>
      <c r="E66" s="1">
        <v>-15</v>
      </c>
      <c r="F66" s="1" t="s">
        <v>544</v>
      </c>
      <c r="G66" s="1" t="s">
        <v>540</v>
      </c>
      <c r="H66" s="1" t="s">
        <v>541</v>
      </c>
    </row>
    <row r="67" spans="1:8">
      <c r="A67" s="1" t="s">
        <v>226</v>
      </c>
      <c r="B67" s="1" t="s">
        <v>304</v>
      </c>
      <c r="C67" s="1">
        <v>110</v>
      </c>
      <c r="D67" s="1">
        <f>AVERAGE(C67,E67)</f>
        <v>60</v>
      </c>
      <c r="E67" s="1">
        <v>10</v>
      </c>
      <c r="F67" s="1" t="s">
        <v>545</v>
      </c>
      <c r="G67" s="1" t="s">
        <v>540</v>
      </c>
      <c r="H67" s="1" t="s">
        <v>541</v>
      </c>
    </row>
    <row r="68" spans="1:8">
      <c r="A68" s="1" t="s">
        <v>227</v>
      </c>
      <c r="B68" s="1" t="s">
        <v>304</v>
      </c>
      <c r="C68" s="1">
        <v>180</v>
      </c>
      <c r="D68" s="1">
        <f>AVERAGE(C68,E68)</f>
        <v>115</v>
      </c>
      <c r="E68" s="1">
        <v>50</v>
      </c>
      <c r="F68" s="1" t="s">
        <v>543</v>
      </c>
      <c r="G68" s="1" t="s">
        <v>540</v>
      </c>
      <c r="H68" s="1" t="s">
        <v>541</v>
      </c>
    </row>
    <row r="69" spans="1:8">
      <c r="H69" s="7"/>
    </row>
    <row r="70" spans="1:8" s="65" customFormat="1">
      <c r="A70" s="64" t="s">
        <v>546</v>
      </c>
    </row>
    <row r="71" spans="1:8">
      <c r="A71" s="1" t="s">
        <v>228</v>
      </c>
      <c r="B71" s="1" t="s">
        <v>547</v>
      </c>
      <c r="D71" s="58">
        <v>2.9000000000000001E-2</v>
      </c>
      <c r="F71" s="1" t="s">
        <v>548</v>
      </c>
      <c r="G71" s="1" t="s">
        <v>549</v>
      </c>
      <c r="H71" s="7"/>
    </row>
    <row r="72" spans="1:8">
      <c r="A72" s="1" t="s">
        <v>230</v>
      </c>
      <c r="B72" s="1" t="s">
        <v>547</v>
      </c>
      <c r="D72" s="58">
        <v>0.224</v>
      </c>
      <c r="F72" s="1" t="s">
        <v>548</v>
      </c>
      <c r="G72" s="1" t="s">
        <v>549</v>
      </c>
      <c r="H72" s="7"/>
    </row>
    <row r="73" spans="1:8">
      <c r="A73" s="1" t="s">
        <v>231</v>
      </c>
      <c r="B73" s="1" t="s">
        <v>547</v>
      </c>
      <c r="D73" s="59">
        <v>8.9999999999999993E-3</v>
      </c>
      <c r="F73" s="1" t="s">
        <v>548</v>
      </c>
      <c r="G73" s="1" t="s">
        <v>549</v>
      </c>
      <c r="H73" s="7"/>
    </row>
    <row r="74" spans="1:8">
      <c r="A74" s="1" t="s">
        <v>232</v>
      </c>
      <c r="B74" s="1" t="s">
        <v>547</v>
      </c>
      <c r="D74" s="58">
        <v>0.23100000000000001</v>
      </c>
      <c r="F74" s="1" t="s">
        <v>548</v>
      </c>
      <c r="G74" s="1" t="s">
        <v>549</v>
      </c>
      <c r="H74" s="7"/>
    </row>
    <row r="75" spans="1:8">
      <c r="A75" s="1" t="s">
        <v>233</v>
      </c>
      <c r="B75" s="1" t="s">
        <v>547</v>
      </c>
      <c r="D75" s="58">
        <v>0.17</v>
      </c>
      <c r="F75" s="1" t="s">
        <v>548</v>
      </c>
      <c r="G75" s="1" t="s">
        <v>549</v>
      </c>
      <c r="H75" s="7"/>
    </row>
    <row r="76" spans="1:8">
      <c r="A76" s="1" t="s">
        <v>234</v>
      </c>
      <c r="B76" s="1" t="s">
        <v>547</v>
      </c>
      <c r="D76" s="58">
        <v>7.5999999999999998E-2</v>
      </c>
      <c r="F76" s="1" t="s">
        <v>548</v>
      </c>
      <c r="G76" s="1" t="s">
        <v>549</v>
      </c>
      <c r="H76" s="7"/>
    </row>
    <row r="77" spans="1:8">
      <c r="H77" s="7"/>
    </row>
    <row r="78" spans="1:8" s="65" customFormat="1">
      <c r="A78" s="64" t="s">
        <v>550</v>
      </c>
    </row>
    <row r="79" spans="1:8">
      <c r="A79" s="1" t="s">
        <v>235</v>
      </c>
      <c r="B79" s="1" t="s">
        <v>551</v>
      </c>
      <c r="D79" s="38">
        <v>3.577</v>
      </c>
      <c r="G79" s="1" t="s">
        <v>552</v>
      </c>
      <c r="H79" s="7"/>
    </row>
    <row r="80" spans="1:8">
      <c r="A80" s="1" t="s">
        <v>237</v>
      </c>
      <c r="B80" s="1" t="s">
        <v>551</v>
      </c>
      <c r="D80" s="38">
        <v>0.314</v>
      </c>
      <c r="G80" s="1" t="s">
        <v>552</v>
      </c>
      <c r="H80" s="7"/>
    </row>
    <row r="81" spans="1:8">
      <c r="A81" s="1" t="s">
        <v>238</v>
      </c>
      <c r="B81" s="1" t="s">
        <v>551</v>
      </c>
      <c r="D81" s="38">
        <v>0.45200000000000001</v>
      </c>
      <c r="G81" s="1" t="s">
        <v>552</v>
      </c>
      <c r="H81" s="7"/>
    </row>
    <row r="82" spans="1:8">
      <c r="A82" s="1" t="s">
        <v>239</v>
      </c>
      <c r="B82" s="1" t="s">
        <v>551</v>
      </c>
      <c r="D82" s="38">
        <v>0.45900000000000002</v>
      </c>
      <c r="G82" s="1" t="s">
        <v>552</v>
      </c>
      <c r="H82" s="7"/>
    </row>
    <row r="83" spans="1:8">
      <c r="A83" s="1" t="s">
        <v>240</v>
      </c>
      <c r="B83" s="1" t="s">
        <v>551</v>
      </c>
      <c r="D83" s="38">
        <f>120/1000</f>
        <v>0.12</v>
      </c>
      <c r="G83" s="1" t="s">
        <v>552</v>
      </c>
      <c r="H83" s="7"/>
    </row>
    <row r="84" spans="1:8">
      <c r="A84" s="1" t="s">
        <v>241</v>
      </c>
      <c r="B84" s="1" t="s">
        <v>551</v>
      </c>
      <c r="D84" s="38">
        <v>1.024</v>
      </c>
      <c r="G84" s="1" t="s">
        <v>552</v>
      </c>
      <c r="H84" s="7"/>
    </row>
    <row r="85" spans="1:8">
      <c r="H85" s="7"/>
    </row>
    <row r="86" spans="1:8" s="65" customFormat="1">
      <c r="A86" s="64" t="s">
        <v>243</v>
      </c>
      <c r="C86" s="68"/>
      <c r="D86" s="68"/>
      <c r="E86" s="68"/>
    </row>
    <row r="87" spans="1:8" ht="22.5">
      <c r="A87" s="1" t="s">
        <v>242</v>
      </c>
      <c r="B87" s="1" t="s">
        <v>553</v>
      </c>
      <c r="D87" s="1">
        <v>10.1</v>
      </c>
      <c r="F87" s="6" t="s">
        <v>554</v>
      </c>
      <c r="G87" s="6" t="s">
        <v>555</v>
      </c>
      <c r="H87" s="7"/>
    </row>
    <row r="88" spans="1:8">
      <c r="A88" s="1" t="s">
        <v>244</v>
      </c>
      <c r="B88" s="1" t="s">
        <v>556</v>
      </c>
      <c r="D88" s="1">
        <v>1</v>
      </c>
      <c r="F88" s="1" t="s">
        <v>557</v>
      </c>
      <c r="G88" s="1" t="s">
        <v>505</v>
      </c>
      <c r="H88" s="7"/>
    </row>
    <row r="89" spans="1:8">
      <c r="A89" s="1" t="s">
        <v>245</v>
      </c>
      <c r="B89" s="1" t="s">
        <v>556</v>
      </c>
      <c r="D89" s="1">
        <v>1</v>
      </c>
      <c r="F89" s="1" t="s">
        <v>558</v>
      </c>
      <c r="G89" s="1" t="s">
        <v>505</v>
      </c>
      <c r="H89" s="7"/>
    </row>
    <row r="90" spans="1:8">
      <c r="A90" s="1" t="s">
        <v>246</v>
      </c>
      <c r="B90" s="1" t="s">
        <v>559</v>
      </c>
      <c r="C90" s="4"/>
      <c r="D90" s="4">
        <f>0.85*('CPI inflation index'!$B$40/'CPI inflation index'!$B$32)</f>
        <v>0.98104925053533176</v>
      </c>
      <c r="E90" s="4"/>
      <c r="F90" s="1" t="s">
        <v>560</v>
      </c>
      <c r="G90" s="1" t="s">
        <v>561</v>
      </c>
      <c r="H90" s="7"/>
    </row>
    <row r="91" spans="1:8">
      <c r="A91" s="1" t="s">
        <v>247</v>
      </c>
      <c r="B91" s="1" t="s">
        <v>559</v>
      </c>
      <c r="C91" s="4"/>
      <c r="D91" s="4">
        <f>9.75*('CPI inflation index'!$B$40/'CPI inflation index'!$B$32)</f>
        <v>11.253211991434688</v>
      </c>
      <c r="E91" s="4"/>
      <c r="F91" s="1" t="s">
        <v>560</v>
      </c>
      <c r="G91" s="1" t="s">
        <v>561</v>
      </c>
    </row>
    <row r="92" spans="1:8">
      <c r="A92" s="1" t="s">
        <v>248</v>
      </c>
      <c r="B92" s="1" t="s">
        <v>480</v>
      </c>
      <c r="C92" s="69"/>
      <c r="D92" s="69">
        <v>0.1</v>
      </c>
      <c r="E92" s="69"/>
      <c r="F92" s="1" t="s">
        <v>562</v>
      </c>
      <c r="G92" s="1" t="s">
        <v>505</v>
      </c>
    </row>
  </sheetData>
  <mergeCells count="1">
    <mergeCell ref="C5:E5"/>
  </mergeCells>
  <hyperlinks>
    <hyperlink ref="H50" r:id="rId1" xr:uid="{C7A80905-2E7D-47B9-A3A3-020F633AA4EE}"/>
    <hyperlink ref="H20" r:id="rId2" xr:uid="{995F26E0-B911-4732-B90A-91C3B8F4CA2B}"/>
    <hyperlink ref="H21" r:id="rId3" xr:uid="{5B80D86B-8F39-4F52-B508-F3EFE942C9AB}"/>
    <hyperlink ref="H40" r:id="rId4" xr:uid="{E8825D5E-E1AA-455D-91D6-467072A17718}"/>
    <hyperlink ref="H67" r:id="rId5" xr:uid="{C4A9D623-810A-4306-B974-7460C9E937FA}"/>
    <hyperlink ref="H68" r:id="rId6" xr:uid="{DCCBEB0E-77C7-4982-AE05-46FB73E571E1}"/>
    <hyperlink ref="H63" r:id="rId7" xr:uid="{B77CAFDE-3ED8-45DA-87C7-9953EC7833D6}"/>
    <hyperlink ref="H64" r:id="rId8" xr:uid="{B0080D77-8D47-427A-8671-626B9E8C86E7}"/>
    <hyperlink ref="H65" r:id="rId9" xr:uid="{AC4874C5-E6E0-4F24-9E09-4F45ED192CBB}"/>
    <hyperlink ref="H66" r:id="rId10" xr:uid="{237DE908-DD05-40F7-A906-096EA45997F4}"/>
    <hyperlink ref="H37" r:id="rId11" location=":~:text=London%20Living%20Wage-,London%20Living%20Wage,the%20essentials%20and%20to%20save." xr:uid="{BAA926A6-CDFD-4D26-8F14-A5C49019C777}"/>
    <hyperlink ref="H22" r:id="rId12" xr:uid="{49D2C7D5-F4AA-411C-AE0F-1656EA7127A4}"/>
  </hyperlinks>
  <pageMargins left="0.7" right="0.7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3D88-1567-45F4-8E9D-044B69CD380D}">
  <sheetPr>
    <tabColor theme="8" tint="0.79998168889431442"/>
  </sheetPr>
  <dimension ref="A1:Q80"/>
  <sheetViews>
    <sheetView topLeftCell="A20" zoomScale="80" zoomScaleNormal="80" workbookViewId="0">
      <selection activeCell="E23" sqref="E23"/>
    </sheetView>
  </sheetViews>
  <sheetFormatPr defaultColWidth="9.140625" defaultRowHeight="11.25"/>
  <cols>
    <col min="1" max="1" width="40.5703125" style="1" bestFit="1" customWidth="1"/>
    <col min="2" max="2" width="12.28515625" style="1" bestFit="1" customWidth="1"/>
    <col min="3" max="3" width="9.140625" style="1"/>
    <col min="4" max="4" width="13.140625" style="1" bestFit="1" customWidth="1"/>
    <col min="5" max="5" width="9.140625" style="1"/>
    <col min="6" max="6" width="12.42578125" style="1" bestFit="1" customWidth="1"/>
    <col min="7" max="7" width="9.140625" style="1"/>
    <col min="8" max="8" width="12.28515625" style="1" bestFit="1" customWidth="1"/>
    <col min="9" max="9" width="1.5703125" style="1" customWidth="1"/>
    <col min="10" max="16384" width="9.140625" style="1"/>
  </cols>
  <sheetData>
    <row r="1" spans="1:17" s="27" customFormat="1">
      <c r="A1" s="26" t="s">
        <v>563</v>
      </c>
    </row>
    <row r="3" spans="1:17">
      <c r="A3" s="1" t="s">
        <v>459</v>
      </c>
      <c r="B3" s="8"/>
    </row>
    <row r="5" spans="1:17" s="67" customFormat="1">
      <c r="A5" s="66"/>
      <c r="B5" s="66"/>
      <c r="C5" s="159" t="s">
        <v>564</v>
      </c>
      <c r="D5" s="159"/>
      <c r="E5" s="159"/>
      <c r="F5" s="159"/>
      <c r="G5" s="159"/>
      <c r="H5" s="66" t="s">
        <v>565</v>
      </c>
      <c r="I5" s="66"/>
      <c r="J5" s="66" t="s">
        <v>462</v>
      </c>
      <c r="K5" s="66"/>
      <c r="L5" s="66"/>
    </row>
    <row r="6" spans="1:17" s="67" customFormat="1">
      <c r="A6" s="66"/>
      <c r="B6" s="66" t="s">
        <v>566</v>
      </c>
      <c r="C6" s="159" t="s">
        <v>20</v>
      </c>
      <c r="D6" s="159" t="s">
        <v>567</v>
      </c>
      <c r="E6" s="159" t="s">
        <v>11</v>
      </c>
      <c r="F6" s="159" t="s">
        <v>568</v>
      </c>
      <c r="G6" s="159" t="s">
        <v>16</v>
      </c>
      <c r="H6" s="66"/>
      <c r="I6" s="66"/>
      <c r="J6" s="66"/>
      <c r="K6" s="66"/>
      <c r="L6" s="66"/>
    </row>
    <row r="7" spans="1:17" s="65" customFormat="1">
      <c r="A7" s="64" t="s">
        <v>475</v>
      </c>
    </row>
    <row r="8" spans="1:17">
      <c r="A8" s="1" t="s">
        <v>569</v>
      </c>
      <c r="E8" s="38"/>
      <c r="F8" s="38"/>
    </row>
    <row r="9" spans="1:17">
      <c r="A9" s="1">
        <v>240</v>
      </c>
      <c r="B9" s="1" t="s">
        <v>570</v>
      </c>
      <c r="C9" s="55">
        <v>18.899999999999999</v>
      </c>
      <c r="D9" s="55"/>
      <c r="E9" s="55">
        <v>18.899999999999999</v>
      </c>
      <c r="F9" s="55"/>
      <c r="G9" s="55">
        <v>18.899999999999999</v>
      </c>
      <c r="H9" s="38">
        <v>5</v>
      </c>
      <c r="I9" s="38"/>
      <c r="J9" s="38" t="s">
        <v>571</v>
      </c>
    </row>
    <row r="10" spans="1:17">
      <c r="A10" s="1">
        <v>360</v>
      </c>
      <c r="B10" s="1" t="s">
        <v>570</v>
      </c>
      <c r="C10" s="55">
        <v>31.86</v>
      </c>
      <c r="D10" s="55"/>
      <c r="E10" s="55">
        <v>31.86</v>
      </c>
      <c r="F10" s="55"/>
      <c r="G10" s="55">
        <v>31.86</v>
      </c>
      <c r="H10" s="38">
        <v>5</v>
      </c>
      <c r="I10" s="38"/>
      <c r="J10" s="38" t="s">
        <v>571</v>
      </c>
      <c r="K10" s="38"/>
    </row>
    <row r="11" spans="1:17">
      <c r="A11" s="1">
        <v>660</v>
      </c>
      <c r="B11" s="1" t="s">
        <v>570</v>
      </c>
      <c r="C11" s="55">
        <v>231.08</v>
      </c>
      <c r="D11" s="55"/>
      <c r="E11" s="55">
        <v>231.08</v>
      </c>
      <c r="F11" s="55"/>
      <c r="G11" s="55">
        <v>69</v>
      </c>
      <c r="H11" s="38">
        <v>5</v>
      </c>
      <c r="I11" s="38"/>
      <c r="J11" s="38" t="s">
        <v>572</v>
      </c>
    </row>
    <row r="12" spans="1:17">
      <c r="A12" s="1">
        <v>1100</v>
      </c>
      <c r="B12" s="1" t="s">
        <v>570</v>
      </c>
      <c r="C12" s="55">
        <v>245.24</v>
      </c>
      <c r="D12" s="55"/>
      <c r="E12" s="55">
        <v>245.24</v>
      </c>
      <c r="F12" s="55"/>
      <c r="G12" s="55">
        <v>69</v>
      </c>
      <c r="H12" s="38">
        <v>5</v>
      </c>
      <c r="I12" s="38"/>
      <c r="J12" s="38" t="s">
        <v>573</v>
      </c>
    </row>
    <row r="13" spans="1:17">
      <c r="A13" s="1">
        <v>1280</v>
      </c>
      <c r="B13" s="1" t="s">
        <v>570</v>
      </c>
      <c r="C13" s="55">
        <v>308</v>
      </c>
      <c r="D13" s="55"/>
      <c r="E13" s="55">
        <v>308</v>
      </c>
      <c r="F13" s="55"/>
      <c r="G13" s="55">
        <v>69</v>
      </c>
      <c r="H13" s="38">
        <v>5</v>
      </c>
      <c r="I13" s="38"/>
      <c r="J13" s="38" t="s">
        <v>573</v>
      </c>
      <c r="K13" s="38"/>
    </row>
    <row r="14" spans="1:17">
      <c r="A14" s="1" t="s">
        <v>574</v>
      </c>
      <c r="C14" s="55"/>
      <c r="D14" s="55"/>
      <c r="E14" s="55"/>
      <c r="F14" s="55"/>
      <c r="G14" s="55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>
      <c r="A15" s="1">
        <v>240</v>
      </c>
      <c r="B15" s="1" t="s">
        <v>570</v>
      </c>
      <c r="C15" s="55">
        <v>18.899999999999999</v>
      </c>
      <c r="D15" s="55"/>
      <c r="E15" s="55">
        <v>18.899999999999999</v>
      </c>
      <c r="F15" s="55"/>
      <c r="G15" s="55">
        <v>18.899999999999999</v>
      </c>
      <c r="H15" s="38"/>
      <c r="I15" s="38"/>
      <c r="J15" s="38" t="s">
        <v>575</v>
      </c>
      <c r="K15" s="38"/>
      <c r="L15" s="38"/>
      <c r="M15" s="38"/>
      <c r="N15" s="38"/>
      <c r="O15" s="38"/>
      <c r="P15" s="38"/>
      <c r="Q15" s="38"/>
    </row>
    <row r="16" spans="1:17">
      <c r="A16" s="1">
        <v>360</v>
      </c>
      <c r="B16" s="1" t="s">
        <v>570</v>
      </c>
      <c r="C16" s="55">
        <v>31.86</v>
      </c>
      <c r="D16" s="55"/>
      <c r="E16" s="55">
        <v>31.86</v>
      </c>
      <c r="F16" s="55"/>
      <c r="G16" s="55">
        <v>31.86</v>
      </c>
      <c r="H16" s="38"/>
      <c r="I16" s="38"/>
      <c r="J16" s="38" t="s">
        <v>575</v>
      </c>
      <c r="K16" s="38"/>
      <c r="L16" s="38"/>
      <c r="M16" s="38"/>
      <c r="N16" s="38"/>
      <c r="O16" s="38"/>
      <c r="P16" s="38"/>
      <c r="Q16" s="38"/>
    </row>
    <row r="17" spans="1:16">
      <c r="A17" s="1">
        <v>660</v>
      </c>
      <c r="B17" s="1" t="s">
        <v>570</v>
      </c>
      <c r="C17" s="55">
        <v>69</v>
      </c>
      <c r="D17" s="55"/>
      <c r="E17" s="55">
        <v>69</v>
      </c>
      <c r="F17" s="55"/>
      <c r="G17" s="55">
        <v>69</v>
      </c>
      <c r="H17" s="38"/>
      <c r="I17" s="38"/>
      <c r="J17" s="38" t="s">
        <v>576</v>
      </c>
      <c r="K17" s="38"/>
      <c r="L17" s="38"/>
      <c r="M17" s="38"/>
      <c r="N17" s="38"/>
      <c r="O17" s="38"/>
      <c r="P17" s="38"/>
    </row>
    <row r="18" spans="1:16">
      <c r="A18" s="1">
        <v>1100</v>
      </c>
      <c r="B18" s="1" t="s">
        <v>570</v>
      </c>
      <c r="C18" s="55">
        <v>69</v>
      </c>
      <c r="D18" s="55"/>
      <c r="E18" s="55">
        <v>69</v>
      </c>
      <c r="F18" s="55"/>
      <c r="G18" s="55">
        <v>69</v>
      </c>
      <c r="H18" s="38"/>
      <c r="I18" s="38"/>
      <c r="J18" s="38" t="s">
        <v>576</v>
      </c>
      <c r="K18" s="38"/>
      <c r="L18" s="38"/>
      <c r="M18" s="38"/>
      <c r="N18" s="38"/>
      <c r="O18" s="38"/>
      <c r="P18" s="38"/>
    </row>
    <row r="19" spans="1:16">
      <c r="A19" s="1">
        <v>1280</v>
      </c>
      <c r="B19" s="1" t="s">
        <v>570</v>
      </c>
      <c r="C19" s="55">
        <v>69</v>
      </c>
      <c r="D19" s="55"/>
      <c r="E19" s="55">
        <v>69</v>
      </c>
      <c r="F19" s="55"/>
      <c r="G19" s="55">
        <v>69</v>
      </c>
      <c r="H19" s="38"/>
      <c r="I19" s="38"/>
      <c r="J19" s="38" t="s">
        <v>576</v>
      </c>
      <c r="K19" s="38"/>
      <c r="L19" s="38"/>
      <c r="M19" s="38"/>
      <c r="N19" s="38"/>
      <c r="O19" s="38"/>
      <c r="P19" s="38"/>
    </row>
    <row r="20" spans="1:16">
      <c r="A20" s="1" t="s">
        <v>137</v>
      </c>
      <c r="B20" s="1" t="s">
        <v>570</v>
      </c>
      <c r="C20" s="55">
        <v>20</v>
      </c>
      <c r="D20" s="55"/>
      <c r="E20" s="55">
        <v>20</v>
      </c>
      <c r="F20" s="55"/>
      <c r="G20" s="55">
        <v>20</v>
      </c>
      <c r="H20" s="38">
        <v>3</v>
      </c>
      <c r="I20" s="38"/>
      <c r="J20" s="38" t="s">
        <v>577</v>
      </c>
      <c r="K20" s="38"/>
      <c r="L20" s="38"/>
      <c r="M20" s="38"/>
      <c r="N20" s="38"/>
      <c r="O20" s="38"/>
      <c r="P20" s="38" t="s">
        <v>578</v>
      </c>
    </row>
    <row r="21" spans="1:16">
      <c r="A21" s="1" t="s">
        <v>138</v>
      </c>
      <c r="B21" s="1" t="s">
        <v>570</v>
      </c>
      <c r="C21" s="55">
        <v>16</v>
      </c>
      <c r="D21" s="55"/>
      <c r="E21" s="55">
        <v>16</v>
      </c>
      <c r="F21" s="55"/>
      <c r="G21" s="55">
        <v>10</v>
      </c>
      <c r="H21" s="38">
        <v>3</v>
      </c>
      <c r="I21" s="38"/>
      <c r="J21" s="38" t="s">
        <v>579</v>
      </c>
      <c r="K21" s="38"/>
      <c r="L21" s="38"/>
      <c r="M21" s="38"/>
      <c r="N21" s="38"/>
      <c r="O21" s="38"/>
      <c r="P21" s="38" t="s">
        <v>578</v>
      </c>
    </row>
    <row r="22" spans="1:16">
      <c r="A22" s="8" t="s">
        <v>580</v>
      </c>
      <c r="B22" s="8"/>
      <c r="C22" s="158"/>
      <c r="D22" s="158"/>
      <c r="E22" s="158"/>
      <c r="F22" s="158"/>
      <c r="G22" s="158"/>
      <c r="H22" s="8"/>
      <c r="I22" s="8"/>
      <c r="J22" s="8"/>
      <c r="K22" s="38"/>
      <c r="L22" s="38"/>
      <c r="M22" s="38"/>
      <c r="N22" s="38"/>
      <c r="O22" s="38"/>
      <c r="P22" s="38"/>
    </row>
    <row r="23" spans="1:16">
      <c r="A23" s="8">
        <v>240</v>
      </c>
      <c r="B23" s="8" t="s">
        <v>581</v>
      </c>
      <c r="C23" s="158"/>
      <c r="D23" s="158"/>
      <c r="E23" s="158">
        <f>E9/3</f>
        <v>6.3</v>
      </c>
      <c r="F23" s="158"/>
      <c r="G23" s="158">
        <f>G9/3</f>
        <v>6.3</v>
      </c>
      <c r="H23" s="8"/>
      <c r="I23" s="8"/>
      <c r="J23" s="8" t="s">
        <v>582</v>
      </c>
      <c r="K23" s="38"/>
      <c r="L23" s="38"/>
      <c r="M23" s="38"/>
      <c r="N23" s="38"/>
      <c r="O23" s="38"/>
      <c r="P23" s="38"/>
    </row>
    <row r="24" spans="1:16">
      <c r="A24" s="8">
        <v>360</v>
      </c>
      <c r="B24" s="8" t="s">
        <v>581</v>
      </c>
      <c r="C24" s="158"/>
      <c r="D24" s="158"/>
      <c r="E24" s="158">
        <f>E10/3</f>
        <v>10.62</v>
      </c>
      <c r="F24" s="158"/>
      <c r="G24" s="158">
        <f>G10/3</f>
        <v>10.62</v>
      </c>
      <c r="H24" s="8"/>
      <c r="I24" s="8"/>
      <c r="J24" s="8"/>
      <c r="K24" s="38"/>
      <c r="L24" s="38"/>
      <c r="M24" s="38"/>
      <c r="N24" s="38"/>
      <c r="O24" s="38"/>
      <c r="P24" s="38"/>
    </row>
    <row r="25" spans="1:16">
      <c r="A25" s="8">
        <v>660</v>
      </c>
      <c r="B25" s="8" t="s">
        <v>581</v>
      </c>
      <c r="C25" s="158"/>
      <c r="D25" s="158"/>
      <c r="E25" s="158">
        <f>E11/5</f>
        <v>46.216000000000001</v>
      </c>
      <c r="F25" s="158"/>
      <c r="G25" s="158">
        <f>G11/5</f>
        <v>13.8</v>
      </c>
      <c r="H25" s="8"/>
      <c r="I25" s="8"/>
      <c r="J25" s="8"/>
      <c r="K25" s="38"/>
      <c r="L25" s="38"/>
      <c r="M25" s="38"/>
      <c r="N25" s="38"/>
      <c r="O25" s="38"/>
      <c r="P25" s="38"/>
    </row>
    <row r="26" spans="1:16">
      <c r="A26" s="8">
        <v>1100</v>
      </c>
      <c r="B26" s="8" t="s">
        <v>581</v>
      </c>
      <c r="C26" s="158"/>
      <c r="D26" s="158"/>
      <c r="E26" s="158">
        <f t="shared" ref="E26:G27" si="0">E12/5</f>
        <v>49.048000000000002</v>
      </c>
      <c r="F26" s="158"/>
      <c r="G26" s="158">
        <f t="shared" si="0"/>
        <v>13.8</v>
      </c>
      <c r="H26" s="8"/>
      <c r="I26" s="8"/>
      <c r="J26" s="8"/>
      <c r="K26" s="38"/>
      <c r="L26" s="38"/>
      <c r="M26" s="38"/>
      <c r="N26" s="38"/>
      <c r="O26" s="38"/>
      <c r="P26" s="38"/>
    </row>
    <row r="27" spans="1:16">
      <c r="A27" s="8">
        <v>1280</v>
      </c>
      <c r="B27" s="8" t="s">
        <v>581</v>
      </c>
      <c r="C27" s="158"/>
      <c r="D27" s="158"/>
      <c r="E27" s="158">
        <f t="shared" si="0"/>
        <v>61.6</v>
      </c>
      <c r="F27" s="158"/>
      <c r="G27" s="158">
        <f t="shared" si="0"/>
        <v>13.8</v>
      </c>
      <c r="H27" s="8"/>
      <c r="I27" s="8"/>
      <c r="J27" s="8"/>
      <c r="K27" s="38"/>
      <c r="L27" s="38"/>
      <c r="M27" s="38"/>
      <c r="N27" s="38"/>
      <c r="O27" s="38"/>
      <c r="P27" s="38"/>
    </row>
    <row r="28" spans="1:16" s="65" customFormat="1">
      <c r="A28" s="64" t="s">
        <v>583</v>
      </c>
    </row>
    <row r="29" spans="1:16">
      <c r="A29" s="1" t="s">
        <v>139</v>
      </c>
      <c r="B29" s="1" t="s">
        <v>584</v>
      </c>
      <c r="C29" s="55">
        <f>E29*125%</f>
        <v>16.787500000000001</v>
      </c>
      <c r="D29" s="55"/>
      <c r="E29" s="55">
        <v>13.43</v>
      </c>
      <c r="F29" s="55"/>
      <c r="G29" s="55">
        <f>E29*0.75</f>
        <v>10.0725</v>
      </c>
      <c r="H29" s="38" t="s">
        <v>585</v>
      </c>
      <c r="I29" s="38"/>
      <c r="J29" s="38" t="s">
        <v>586</v>
      </c>
    </row>
    <row r="30" spans="1:16">
      <c r="A30" s="1" t="s">
        <v>140</v>
      </c>
      <c r="B30" s="1" t="s">
        <v>587</v>
      </c>
      <c r="C30" s="38">
        <v>1</v>
      </c>
      <c r="D30" s="38"/>
      <c r="E30" s="38">
        <v>1</v>
      </c>
      <c r="F30" s="38"/>
      <c r="G30" s="38">
        <v>1</v>
      </c>
      <c r="H30" s="38"/>
      <c r="I30" s="38"/>
      <c r="J30" s="38" t="s">
        <v>588</v>
      </c>
    </row>
    <row r="31" spans="1:16" s="65" customFormat="1">
      <c r="A31" s="64" t="s">
        <v>589</v>
      </c>
    </row>
    <row r="32" spans="1:16">
      <c r="A32" s="1" t="s">
        <v>141</v>
      </c>
      <c r="B32" s="1" t="s">
        <v>590</v>
      </c>
      <c r="C32" s="38">
        <v>500</v>
      </c>
      <c r="D32" s="38"/>
      <c r="E32" s="38">
        <v>300</v>
      </c>
      <c r="F32" s="38"/>
      <c r="G32" s="38">
        <v>0</v>
      </c>
      <c r="H32" s="38"/>
      <c r="I32" s="38"/>
      <c r="J32" s="38" t="s">
        <v>591</v>
      </c>
    </row>
    <row r="33" spans="1:13">
      <c r="A33" s="1" t="s">
        <v>142</v>
      </c>
      <c r="B33" s="1" t="s">
        <v>590</v>
      </c>
      <c r="C33" s="143">
        <f>2*100 + 'General assumptions'!D37*'General assumptions'!D33*(3.5/7)</f>
        <v>237.625</v>
      </c>
      <c r="D33" s="143"/>
      <c r="E33" s="143">
        <f>1*100 + 'General assumptions'!D37*'General assumptions'!D33*(2/7)</f>
        <v>121.5</v>
      </c>
      <c r="F33" s="143"/>
      <c r="G33" s="38">
        <v>0</v>
      </c>
      <c r="H33" s="38"/>
      <c r="I33" s="38"/>
      <c r="J33" s="38" t="s">
        <v>592</v>
      </c>
    </row>
    <row r="34" spans="1:13">
      <c r="A34" s="1" t="s">
        <v>143</v>
      </c>
      <c r="B34" s="1" t="s">
        <v>590</v>
      </c>
      <c r="C34" s="143">
        <f>'General assumptions'!D37*'General assumptions'!D33</f>
        <v>75.25</v>
      </c>
      <c r="D34" s="143"/>
      <c r="E34" s="143">
        <f>'General assumptions'!D37*'General assumptions'!D33*(3.5/7)</f>
        <v>37.625</v>
      </c>
      <c r="F34" s="143"/>
      <c r="G34" s="143">
        <v>0</v>
      </c>
      <c r="H34" s="38"/>
      <c r="I34" s="38"/>
      <c r="J34" s="38" t="s">
        <v>593</v>
      </c>
    </row>
    <row r="35" spans="1:13">
      <c r="A35" s="1" t="s">
        <v>144</v>
      </c>
      <c r="B35" s="1" t="s">
        <v>590</v>
      </c>
      <c r="C35" s="1">
        <v>5</v>
      </c>
      <c r="E35" s="1">
        <v>5</v>
      </c>
      <c r="G35" s="1">
        <v>5</v>
      </c>
      <c r="J35" s="38" t="s">
        <v>594</v>
      </c>
    </row>
    <row r="36" spans="1:13">
      <c r="A36" s="1" t="s">
        <v>145</v>
      </c>
      <c r="B36" s="1" t="s">
        <v>595</v>
      </c>
      <c r="C36" s="1">
        <v>20</v>
      </c>
      <c r="E36" s="1">
        <v>20</v>
      </c>
      <c r="G36" s="1">
        <v>20</v>
      </c>
      <c r="J36" s="38" t="s">
        <v>594</v>
      </c>
    </row>
    <row r="37" spans="1:13" s="65" customFormat="1">
      <c r="A37" s="64" t="s">
        <v>596</v>
      </c>
    </row>
    <row r="38" spans="1:13">
      <c r="A38" s="1" t="s">
        <v>146</v>
      </c>
      <c r="B38" s="1" t="s">
        <v>570</v>
      </c>
      <c r="C38" s="1">
        <v>6.5</v>
      </c>
      <c r="E38" s="1">
        <v>6.5</v>
      </c>
      <c r="G38" s="1">
        <v>6.5</v>
      </c>
      <c r="H38" s="1">
        <v>1</v>
      </c>
      <c r="J38" s="1" t="s">
        <v>597</v>
      </c>
    </row>
    <row r="39" spans="1:13">
      <c r="A39" s="1" t="s">
        <v>147</v>
      </c>
      <c r="B39" s="1" t="s">
        <v>595</v>
      </c>
      <c r="C39" s="1">
        <v>60</v>
      </c>
      <c r="E39" s="1">
        <v>60</v>
      </c>
      <c r="G39" s="1">
        <v>60</v>
      </c>
      <c r="J39" s="1" t="s">
        <v>598</v>
      </c>
    </row>
    <row r="40" spans="1:13">
      <c r="A40" s="1" t="s">
        <v>148</v>
      </c>
      <c r="B40" s="1" t="s">
        <v>570</v>
      </c>
      <c r="C40" s="1">
        <f>2*1.5</f>
        <v>3</v>
      </c>
      <c r="E40" s="1">
        <f t="shared" ref="E40:G40" si="1">2*1.5</f>
        <v>3</v>
      </c>
      <c r="G40" s="1">
        <f t="shared" si="1"/>
        <v>3</v>
      </c>
      <c r="H40" s="1">
        <v>1</v>
      </c>
      <c r="J40" s="1" t="s">
        <v>599</v>
      </c>
    </row>
    <row r="41" spans="1:13">
      <c r="A41" s="1" t="s">
        <v>149</v>
      </c>
      <c r="B41" s="1" t="s">
        <v>595</v>
      </c>
      <c r="C41" s="1">
        <v>20</v>
      </c>
      <c r="E41" s="1">
        <v>20</v>
      </c>
      <c r="G41" s="1">
        <v>20</v>
      </c>
      <c r="J41" s="1" t="s">
        <v>598</v>
      </c>
    </row>
    <row r="42" spans="1:13" ht="15">
      <c r="A42" s="1" t="s">
        <v>150</v>
      </c>
      <c r="B42" s="1" t="s">
        <v>590</v>
      </c>
      <c r="C42" s="1">
        <v>50</v>
      </c>
      <c r="E42" s="1">
        <v>50</v>
      </c>
      <c r="G42" s="1">
        <v>50</v>
      </c>
      <c r="J42" s="1" t="s">
        <v>598</v>
      </c>
      <c r="M42"/>
    </row>
    <row r="43" spans="1:13">
      <c r="A43" s="1" t="s">
        <v>151</v>
      </c>
      <c r="B43" s="1" t="s">
        <v>590</v>
      </c>
      <c r="C43" s="1">
        <v>50</v>
      </c>
      <c r="E43" s="1">
        <v>50</v>
      </c>
      <c r="G43" s="1">
        <v>50</v>
      </c>
      <c r="J43" s="1" t="s">
        <v>598</v>
      </c>
    </row>
    <row r="44" spans="1:13">
      <c r="A44" s="1" t="s">
        <v>152</v>
      </c>
      <c r="B44" s="1" t="s">
        <v>595</v>
      </c>
      <c r="C44" s="1">
        <v>60</v>
      </c>
      <c r="E44" s="1">
        <v>60</v>
      </c>
      <c r="G44" s="1">
        <v>60</v>
      </c>
      <c r="J44" s="1" t="s">
        <v>598</v>
      </c>
    </row>
    <row r="45" spans="1:13" s="65" customFormat="1">
      <c r="A45" s="64" t="s">
        <v>600</v>
      </c>
    </row>
    <row r="46" spans="1:13">
      <c r="A46" s="1" t="s">
        <v>153</v>
      </c>
      <c r="B46" s="1" t="s">
        <v>570</v>
      </c>
      <c r="C46" s="1">
        <v>5</v>
      </c>
      <c r="E46" s="1">
        <v>5</v>
      </c>
      <c r="G46" s="1">
        <v>5</v>
      </c>
      <c r="H46" s="1">
        <v>1</v>
      </c>
      <c r="J46" s="1" t="s">
        <v>601</v>
      </c>
    </row>
    <row r="47" spans="1:13">
      <c r="A47" s="1" t="s">
        <v>154</v>
      </c>
      <c r="B47" s="1" t="s">
        <v>595</v>
      </c>
      <c r="C47" s="1">
        <v>60</v>
      </c>
      <c r="E47" s="1">
        <v>60</v>
      </c>
      <c r="G47" s="1">
        <v>60</v>
      </c>
      <c r="J47" s="1" t="s">
        <v>598</v>
      </c>
    </row>
    <row r="48" spans="1:13">
      <c r="A48" s="1" t="s">
        <v>155</v>
      </c>
      <c r="B48" s="1" t="s">
        <v>590</v>
      </c>
      <c r="C48" s="1">
        <v>55</v>
      </c>
      <c r="E48" s="1">
        <v>55</v>
      </c>
      <c r="G48" s="1">
        <v>55</v>
      </c>
      <c r="J48" s="1" t="s">
        <v>598</v>
      </c>
    </row>
    <row r="49" spans="1:10">
      <c r="A49" s="1" t="s">
        <v>156</v>
      </c>
      <c r="B49" s="1" t="s">
        <v>590</v>
      </c>
      <c r="C49" s="1">
        <v>55</v>
      </c>
      <c r="E49" s="1">
        <v>55</v>
      </c>
      <c r="G49" s="1">
        <v>55</v>
      </c>
      <c r="J49" s="1" t="s">
        <v>598</v>
      </c>
    </row>
    <row r="50" spans="1:10">
      <c r="A50" s="1" t="s">
        <v>152</v>
      </c>
      <c r="B50" s="1" t="s">
        <v>595</v>
      </c>
      <c r="C50" s="1">
        <v>60</v>
      </c>
      <c r="E50" s="1">
        <v>60</v>
      </c>
      <c r="G50" s="1">
        <v>60</v>
      </c>
      <c r="J50" s="1" t="s">
        <v>598</v>
      </c>
    </row>
    <row r="51" spans="1:10">
      <c r="A51" s="1" t="s">
        <v>157</v>
      </c>
      <c r="B51" s="1" t="s">
        <v>602</v>
      </c>
      <c r="C51" s="1">
        <v>3.5</v>
      </c>
      <c r="E51" s="1">
        <v>3.5</v>
      </c>
      <c r="G51" s="1">
        <v>3.5</v>
      </c>
      <c r="J51" s="1" t="s">
        <v>603</v>
      </c>
    </row>
    <row r="52" spans="1:10">
      <c r="A52" s="1" t="s">
        <v>158</v>
      </c>
      <c r="B52" s="1" t="s">
        <v>595</v>
      </c>
      <c r="C52" s="1">
        <v>20</v>
      </c>
      <c r="E52" s="1">
        <v>20</v>
      </c>
      <c r="G52" s="1">
        <v>20</v>
      </c>
      <c r="J52" s="1" t="s">
        <v>603</v>
      </c>
    </row>
    <row r="53" spans="1:10" s="65" customFormat="1">
      <c r="A53" s="64" t="s">
        <v>604</v>
      </c>
    </row>
    <row r="54" spans="1:10">
      <c r="A54" s="1" t="s">
        <v>159</v>
      </c>
      <c r="B54" s="1" t="s">
        <v>605</v>
      </c>
      <c r="C54" s="34">
        <f>100/100</f>
        <v>1</v>
      </c>
      <c r="D54" s="34"/>
      <c r="E54" s="34">
        <f>100/100</f>
        <v>1</v>
      </c>
      <c r="F54" s="34"/>
      <c r="G54" s="34">
        <f>100/100</f>
        <v>1</v>
      </c>
      <c r="J54" s="1" t="s">
        <v>606</v>
      </c>
    </row>
    <row r="55" spans="1:10">
      <c r="A55" s="1" t="s">
        <v>160</v>
      </c>
      <c r="B55" s="1" t="s">
        <v>605</v>
      </c>
      <c r="C55" s="34">
        <v>0.27</v>
      </c>
      <c r="D55" s="34"/>
      <c r="E55" s="34">
        <v>0.27</v>
      </c>
      <c r="F55" s="34"/>
      <c r="G55" s="34">
        <v>0.27</v>
      </c>
      <c r="J55" s="1" t="s">
        <v>607</v>
      </c>
    </row>
    <row r="56" spans="1:10">
      <c r="A56" s="1" t="s">
        <v>161</v>
      </c>
      <c r="B56" s="1" t="s">
        <v>608</v>
      </c>
      <c r="C56" s="1">
        <v>0.35</v>
      </c>
      <c r="E56" s="1">
        <v>0.35</v>
      </c>
      <c r="G56" s="1">
        <v>0.35</v>
      </c>
      <c r="H56" s="1">
        <v>1</v>
      </c>
      <c r="J56" s="1" t="s">
        <v>609</v>
      </c>
    </row>
    <row r="57" spans="1:10">
      <c r="A57" s="1" t="s">
        <v>162</v>
      </c>
      <c r="B57" s="1" t="s">
        <v>595</v>
      </c>
      <c r="C57" s="1">
        <v>250</v>
      </c>
      <c r="E57" s="1">
        <v>250</v>
      </c>
      <c r="G57" s="1">
        <v>250</v>
      </c>
      <c r="H57" s="1">
        <v>1</v>
      </c>
      <c r="J57" s="1" t="s">
        <v>610</v>
      </c>
    </row>
    <row r="58" spans="1:10" s="65" customFormat="1">
      <c r="A58" s="64" t="s">
        <v>611</v>
      </c>
    </row>
    <row r="59" spans="1:10">
      <c r="A59" s="1" t="s">
        <v>163</v>
      </c>
      <c r="B59" s="1" t="s">
        <v>612</v>
      </c>
      <c r="C59" s="1">
        <v>16.260000000000002</v>
      </c>
      <c r="E59" s="1">
        <v>16.260000000000002</v>
      </c>
      <c r="G59" s="1">
        <v>16.260000000000002</v>
      </c>
      <c r="J59" s="1" t="s">
        <v>613</v>
      </c>
    </row>
    <row r="60" spans="1:10">
      <c r="A60" s="1" t="s">
        <v>614</v>
      </c>
      <c r="B60" s="1" t="s">
        <v>612</v>
      </c>
      <c r="C60" s="8">
        <v>16.260000000000002</v>
      </c>
      <c r="D60" s="8"/>
      <c r="E60" s="8">
        <v>16.260000000000002</v>
      </c>
      <c r="F60" s="8"/>
      <c r="G60" s="8">
        <v>16.260000000000002</v>
      </c>
      <c r="H60" s="8"/>
      <c r="I60" s="8"/>
      <c r="J60" s="8" t="s">
        <v>615</v>
      </c>
    </row>
    <row r="61" spans="1:10" s="65" customFormat="1">
      <c r="A61" s="64" t="s">
        <v>616</v>
      </c>
    </row>
    <row r="62" spans="1:10">
      <c r="A62" s="1" t="s">
        <v>164</v>
      </c>
      <c r="B62" s="1" t="s">
        <v>617</v>
      </c>
      <c r="C62" s="1">
        <f>E62*1.5</f>
        <v>0.75</v>
      </c>
      <c r="E62" s="1">
        <v>0.5</v>
      </c>
      <c r="G62" s="1">
        <f>E62*0.75</f>
        <v>0.375</v>
      </c>
      <c r="H62" s="38"/>
      <c r="I62" s="38"/>
      <c r="J62" s="38" t="s">
        <v>618</v>
      </c>
    </row>
    <row r="63" spans="1:10">
      <c r="A63" s="1" t="s">
        <v>165</v>
      </c>
      <c r="B63" s="1" t="s">
        <v>617</v>
      </c>
      <c r="C63" s="1">
        <f t="shared" ref="C63:C67" si="2">E63*1.5</f>
        <v>0.75</v>
      </c>
      <c r="E63" s="1">
        <v>0.5</v>
      </c>
      <c r="G63" s="1">
        <f t="shared" ref="G63:G67" si="3">E63*0.75</f>
        <v>0.375</v>
      </c>
      <c r="H63" s="38"/>
      <c r="I63" s="38"/>
      <c r="J63" s="38" t="s">
        <v>618</v>
      </c>
    </row>
    <row r="64" spans="1:10">
      <c r="A64" s="1" t="s">
        <v>166</v>
      </c>
      <c r="B64" s="1" t="s">
        <v>617</v>
      </c>
      <c r="C64" s="1">
        <f t="shared" si="2"/>
        <v>0.30000000000000004</v>
      </c>
      <c r="E64" s="1">
        <v>0.2</v>
      </c>
      <c r="G64" s="1">
        <f t="shared" si="3"/>
        <v>0.15000000000000002</v>
      </c>
      <c r="H64" s="38"/>
      <c r="I64" s="38"/>
      <c r="J64" s="38" t="s">
        <v>618</v>
      </c>
    </row>
    <row r="65" spans="1:11">
      <c r="A65" s="1" t="s">
        <v>167</v>
      </c>
      <c r="B65" s="1" t="s">
        <v>617</v>
      </c>
      <c r="C65" s="1">
        <f t="shared" si="2"/>
        <v>0.30000000000000004</v>
      </c>
      <c r="E65" s="1">
        <v>0.2</v>
      </c>
      <c r="G65" s="1">
        <f t="shared" si="3"/>
        <v>0.15000000000000002</v>
      </c>
      <c r="H65" s="38"/>
      <c r="I65" s="38"/>
      <c r="J65" s="38" t="s">
        <v>618</v>
      </c>
    </row>
    <row r="66" spans="1:11">
      <c r="A66" s="1" t="s">
        <v>168</v>
      </c>
      <c r="B66" s="1" t="s">
        <v>617</v>
      </c>
      <c r="C66" s="1">
        <f t="shared" si="2"/>
        <v>0.75</v>
      </c>
      <c r="E66" s="1">
        <v>0.5</v>
      </c>
      <c r="G66" s="1">
        <f t="shared" si="3"/>
        <v>0.375</v>
      </c>
      <c r="H66" s="38"/>
      <c r="I66" s="38"/>
      <c r="J66" s="38" t="s">
        <v>618</v>
      </c>
    </row>
    <row r="67" spans="1:11">
      <c r="A67" s="1" t="s">
        <v>169</v>
      </c>
      <c r="B67" s="1" t="s">
        <v>617</v>
      </c>
      <c r="C67" s="1">
        <f t="shared" si="2"/>
        <v>0.75</v>
      </c>
      <c r="E67" s="1">
        <v>0.5</v>
      </c>
      <c r="G67" s="1">
        <f t="shared" si="3"/>
        <v>0.375</v>
      </c>
      <c r="H67" s="38"/>
      <c r="I67" s="38"/>
      <c r="J67" s="38" t="s">
        <v>618</v>
      </c>
    </row>
    <row r="68" spans="1:11">
      <c r="A68" s="1" t="s">
        <v>170</v>
      </c>
      <c r="B68" s="1" t="s">
        <v>619</v>
      </c>
      <c r="C68" s="94">
        <f>25000/'General assumptions'!D36</f>
        <v>113.63636363636364</v>
      </c>
      <c r="D68" s="94"/>
      <c r="E68" s="94">
        <f>25000/'General assumptions'!D36</f>
        <v>113.63636363636364</v>
      </c>
      <c r="F68" s="94"/>
      <c r="G68" s="94">
        <f>25000/'General assumptions'!D36</f>
        <v>113.63636363636364</v>
      </c>
      <c r="H68" s="38"/>
      <c r="I68" s="38"/>
      <c r="J68" s="38" t="s">
        <v>620</v>
      </c>
    </row>
    <row r="69" spans="1:11" s="65" customFormat="1">
      <c r="A69" s="64" t="s">
        <v>621</v>
      </c>
    </row>
    <row r="70" spans="1:11">
      <c r="A70" s="1" t="s">
        <v>171</v>
      </c>
      <c r="B70" s="1" t="s">
        <v>622</v>
      </c>
      <c r="C70" s="1">
        <v>13.43</v>
      </c>
      <c r="E70" s="1">
        <v>13.43</v>
      </c>
      <c r="G70" s="1">
        <v>13.43</v>
      </c>
      <c r="J70" s="1" t="s">
        <v>609</v>
      </c>
    </row>
    <row r="71" spans="1:11">
      <c r="A71" s="38" t="s">
        <v>172</v>
      </c>
      <c r="B71" s="38"/>
      <c r="C71" s="38"/>
      <c r="D71" s="38"/>
      <c r="E71" s="38"/>
      <c r="F71" s="38"/>
      <c r="G71" s="38"/>
      <c r="H71" s="38"/>
      <c r="I71" s="38"/>
      <c r="J71" s="38" t="s">
        <v>623</v>
      </c>
      <c r="K71" s="38"/>
    </row>
    <row r="72" spans="1:11" s="65" customFormat="1">
      <c r="A72" s="64" t="s">
        <v>624</v>
      </c>
      <c r="B72" s="65" t="s">
        <v>625</v>
      </c>
    </row>
    <row r="73" spans="1:11">
      <c r="A73" s="8" t="s">
        <v>173</v>
      </c>
      <c r="B73" s="8" t="s">
        <v>626</v>
      </c>
      <c r="C73" s="8"/>
      <c r="D73" s="8"/>
      <c r="E73" s="8"/>
      <c r="F73" s="8"/>
      <c r="G73" s="8"/>
      <c r="H73" s="8"/>
      <c r="I73" s="8"/>
    </row>
    <row r="74" spans="1:11" ht="15">
      <c r="A74" s="125" t="s">
        <v>627</v>
      </c>
      <c r="B74" s="8" t="s">
        <v>626</v>
      </c>
      <c r="C74" s="8"/>
      <c r="D74" s="8"/>
      <c r="E74" s="8">
        <v>25000</v>
      </c>
      <c r="F74" s="8"/>
      <c r="G74" s="8"/>
      <c r="H74" s="8">
        <v>1</v>
      </c>
      <c r="I74" s="8"/>
      <c r="K74"/>
    </row>
    <row r="75" spans="1:11">
      <c r="A75" s="125" t="s">
        <v>628</v>
      </c>
      <c r="B75" s="8" t="s">
        <v>626</v>
      </c>
      <c r="C75" s="8"/>
      <c r="D75" s="8"/>
      <c r="E75" s="8">
        <v>25000</v>
      </c>
      <c r="F75" s="8"/>
      <c r="G75" s="8"/>
      <c r="H75" s="8">
        <v>1</v>
      </c>
      <c r="I75" s="8"/>
    </row>
    <row r="76" spans="1:11">
      <c r="A76" s="8" t="s">
        <v>174</v>
      </c>
      <c r="B76" s="8" t="s">
        <v>629</v>
      </c>
      <c r="C76" s="8"/>
      <c r="D76" s="8"/>
      <c r="E76" s="8"/>
      <c r="F76" s="8"/>
      <c r="G76" s="8"/>
      <c r="H76" s="8">
        <v>5</v>
      </c>
      <c r="I76" s="8"/>
    </row>
    <row r="77" spans="1:11">
      <c r="A77" s="8" t="s">
        <v>175</v>
      </c>
      <c r="B77" s="8" t="s">
        <v>629</v>
      </c>
      <c r="C77" s="8"/>
      <c r="D77" s="8"/>
      <c r="E77" s="8"/>
      <c r="F77" s="8"/>
      <c r="G77" s="8"/>
      <c r="H77" s="8">
        <v>7</v>
      </c>
      <c r="I77" s="8"/>
    </row>
    <row r="78" spans="1:11">
      <c r="A78" s="8" t="s">
        <v>176</v>
      </c>
      <c r="B78" s="8" t="s">
        <v>629</v>
      </c>
      <c r="C78" s="8"/>
      <c r="D78" s="8"/>
      <c r="E78" s="8"/>
      <c r="F78" s="8"/>
      <c r="G78" s="8"/>
      <c r="H78" s="8">
        <v>7</v>
      </c>
      <c r="I78" s="8"/>
    </row>
    <row r="79" spans="1:11">
      <c r="A79" s="8" t="s">
        <v>177</v>
      </c>
      <c r="B79" s="8" t="s">
        <v>629</v>
      </c>
      <c r="C79" s="8"/>
      <c r="D79" s="8"/>
      <c r="E79" s="8"/>
      <c r="F79" s="8"/>
      <c r="G79" s="8"/>
      <c r="H79" s="8">
        <v>10</v>
      </c>
      <c r="I79" s="8"/>
    </row>
    <row r="80" spans="1:11">
      <c r="A80" s="8" t="s">
        <v>178</v>
      </c>
      <c r="B80" s="8" t="s">
        <v>629</v>
      </c>
      <c r="C80" s="8"/>
      <c r="D80" s="8"/>
      <c r="E80" s="8"/>
      <c r="F80" s="8"/>
      <c r="G80" s="8"/>
      <c r="H80" s="8">
        <v>10</v>
      </c>
      <c r="I80" s="8"/>
    </row>
  </sheetData>
  <hyperlinks>
    <hyperlink ref="J68" r:id="rId1" location=":~:text=Your%20starting%20salary%20as%20a,%C2%A325%2C000%20to%20%C2%A340%2C000." display="https://www.prospects.ac.uk/job-profiles/recycling-officer#:~:text=Your%20starting%20salary%20as%20a,%C2%A325%2C000%20to%20%C2%A340%2C000." xr:uid="{B70E39F2-6CF9-4026-8973-89F5D1301BC9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602E-6859-452F-816C-72780635141A}">
  <sheetPr>
    <tabColor theme="8" tint="0.79998168889431442"/>
  </sheetPr>
  <dimension ref="A1:B560"/>
  <sheetViews>
    <sheetView workbookViewId="0">
      <selection activeCell="L37" sqref="L37"/>
    </sheetView>
  </sheetViews>
  <sheetFormatPr defaultColWidth="9.140625" defaultRowHeight="12.75"/>
  <cols>
    <col min="1" max="16384" width="9.140625" style="86"/>
  </cols>
  <sheetData>
    <row r="1" spans="1:2">
      <c r="A1" s="86" t="s">
        <v>630</v>
      </c>
      <c r="B1" s="86" t="s">
        <v>631</v>
      </c>
    </row>
    <row r="2" spans="1:2">
      <c r="A2" s="86" t="s">
        <v>632</v>
      </c>
      <c r="B2" s="86" t="s">
        <v>633</v>
      </c>
    </row>
    <row r="3" spans="1:2">
      <c r="A3" s="86" t="s">
        <v>634</v>
      </c>
      <c r="B3" s="86" t="s">
        <v>635</v>
      </c>
    </row>
    <row r="4" spans="1:2">
      <c r="A4" s="86" t="s">
        <v>636</v>
      </c>
      <c r="B4" s="86" t="s">
        <v>637</v>
      </c>
    </row>
    <row r="5" spans="1:2">
      <c r="A5" s="86" t="s">
        <v>370</v>
      </c>
      <c r="B5" s="86" t="s">
        <v>638</v>
      </c>
    </row>
    <row r="6" spans="1:2">
      <c r="A6" s="86" t="s">
        <v>639</v>
      </c>
      <c r="B6" s="86" t="s">
        <v>640</v>
      </c>
    </row>
    <row r="7" spans="1:2">
      <c r="A7" s="86" t="s">
        <v>641</v>
      </c>
      <c r="B7" s="86" t="s">
        <v>642</v>
      </c>
    </row>
    <row r="8" spans="1:2">
      <c r="A8" s="86" t="s">
        <v>643</v>
      </c>
    </row>
    <row r="9" spans="1:2">
      <c r="A9" s="86" t="s">
        <v>644</v>
      </c>
      <c r="B9" s="87">
        <v>49.6</v>
      </c>
    </row>
    <row r="10" spans="1:2">
      <c r="A10" s="86" t="s">
        <v>645</v>
      </c>
      <c r="B10" s="87">
        <v>52.2</v>
      </c>
    </row>
    <row r="11" spans="1:2">
      <c r="A11" s="86" t="s">
        <v>646</v>
      </c>
      <c r="B11" s="87">
        <v>55.9</v>
      </c>
    </row>
    <row r="12" spans="1:2">
      <c r="A12" s="86" t="s">
        <v>647</v>
      </c>
      <c r="B12" s="87">
        <v>60.1</v>
      </c>
    </row>
    <row r="13" spans="1:2">
      <c r="A13" s="86" t="s">
        <v>648</v>
      </c>
      <c r="B13" s="87">
        <v>62.6</v>
      </c>
    </row>
    <row r="14" spans="1:2">
      <c r="A14" s="86" t="s">
        <v>649</v>
      </c>
      <c r="B14" s="87">
        <v>64.2</v>
      </c>
    </row>
    <row r="15" spans="1:2">
      <c r="A15" s="86" t="s">
        <v>650</v>
      </c>
      <c r="B15" s="87">
        <v>65.5</v>
      </c>
    </row>
    <row r="16" spans="1:2">
      <c r="A16" s="86" t="s">
        <v>651</v>
      </c>
      <c r="B16" s="87">
        <v>67.2</v>
      </c>
    </row>
    <row r="17" spans="1:2">
      <c r="A17" s="86" t="s">
        <v>652</v>
      </c>
      <c r="B17" s="87">
        <v>68.8</v>
      </c>
    </row>
    <row r="18" spans="1:2">
      <c r="A18" s="86" t="s">
        <v>653</v>
      </c>
      <c r="B18" s="87">
        <v>70.099999999999994</v>
      </c>
    </row>
    <row r="19" spans="1:2">
      <c r="A19" s="86" t="s">
        <v>654</v>
      </c>
      <c r="B19" s="87">
        <v>71.2</v>
      </c>
    </row>
    <row r="20" spans="1:2">
      <c r="A20" s="86" t="s">
        <v>655</v>
      </c>
      <c r="B20" s="87">
        <v>72.099999999999994</v>
      </c>
    </row>
    <row r="21" spans="1:2">
      <c r="A21" s="86" t="s">
        <v>656</v>
      </c>
      <c r="B21" s="87">
        <v>72.7</v>
      </c>
    </row>
    <row r="22" spans="1:2">
      <c r="A22" s="86" t="s">
        <v>657</v>
      </c>
      <c r="B22" s="87">
        <v>73.599999999999994</v>
      </c>
    </row>
    <row r="23" spans="1:2">
      <c r="A23" s="86" t="s">
        <v>658</v>
      </c>
      <c r="B23" s="87">
        <v>74.5</v>
      </c>
    </row>
    <row r="24" spans="1:2">
      <c r="A24" s="86" t="s">
        <v>659</v>
      </c>
      <c r="B24" s="87">
        <v>75.5</v>
      </c>
    </row>
    <row r="25" spans="1:2">
      <c r="A25" s="86" t="s">
        <v>660</v>
      </c>
      <c r="B25" s="87">
        <v>76.5</v>
      </c>
    </row>
    <row r="26" spans="1:2">
      <c r="A26" s="86" t="s">
        <v>661</v>
      </c>
      <c r="B26" s="87">
        <v>78.099999999999994</v>
      </c>
    </row>
    <row r="27" spans="1:2">
      <c r="A27" s="86" t="s">
        <v>662</v>
      </c>
      <c r="B27" s="87">
        <v>79.900000000000006</v>
      </c>
    </row>
    <row r="28" spans="1:2">
      <c r="A28" s="86" t="s">
        <v>663</v>
      </c>
      <c r="B28" s="87">
        <v>81.8</v>
      </c>
    </row>
    <row r="29" spans="1:2">
      <c r="A29" s="86" t="s">
        <v>664</v>
      </c>
      <c r="B29" s="87">
        <v>84.7</v>
      </c>
    </row>
    <row r="30" spans="1:2">
      <c r="A30" s="86" t="s">
        <v>665</v>
      </c>
      <c r="B30" s="87">
        <v>86.6</v>
      </c>
    </row>
    <row r="31" spans="1:2">
      <c r="A31" s="86" t="s">
        <v>666</v>
      </c>
      <c r="B31" s="87">
        <v>89.4</v>
      </c>
    </row>
    <row r="32" spans="1:2">
      <c r="A32" s="86" t="s">
        <v>667</v>
      </c>
      <c r="B32" s="87">
        <v>93.4</v>
      </c>
    </row>
    <row r="33" spans="1:2">
      <c r="A33" s="86" t="s">
        <v>668</v>
      </c>
      <c r="B33" s="87">
        <v>96.1</v>
      </c>
    </row>
    <row r="34" spans="1:2">
      <c r="A34" s="86" t="s">
        <v>669</v>
      </c>
      <c r="B34" s="87">
        <v>98.5</v>
      </c>
    </row>
    <row r="35" spans="1:2">
      <c r="A35" s="86" t="s">
        <v>670</v>
      </c>
      <c r="B35" s="87">
        <v>100</v>
      </c>
    </row>
    <row r="36" spans="1:2">
      <c r="A36" s="86" t="s">
        <v>671</v>
      </c>
      <c r="B36" s="87">
        <v>100</v>
      </c>
    </row>
    <row r="37" spans="1:2">
      <c r="A37" s="86" t="s">
        <v>672</v>
      </c>
      <c r="B37" s="87">
        <v>100.7</v>
      </c>
    </row>
    <row r="38" spans="1:2">
      <c r="A38" s="86" t="s">
        <v>673</v>
      </c>
      <c r="B38" s="87">
        <v>103.4</v>
      </c>
    </row>
    <row r="39" spans="1:2">
      <c r="A39" s="86" t="s">
        <v>674</v>
      </c>
      <c r="B39" s="87">
        <v>105.9</v>
      </c>
    </row>
    <row r="40" spans="1:2">
      <c r="A40" s="86" t="s">
        <v>675</v>
      </c>
      <c r="B40" s="87">
        <v>107.8</v>
      </c>
    </row>
    <row r="41" spans="1:2">
      <c r="A41" s="86" t="s">
        <v>676</v>
      </c>
      <c r="B41" s="87">
        <v>48.6</v>
      </c>
    </row>
    <row r="42" spans="1:2">
      <c r="A42" s="86" t="s">
        <v>677</v>
      </c>
      <c r="B42" s="87">
        <v>49.5</v>
      </c>
    </row>
    <row r="43" spans="1:2">
      <c r="A43" s="86" t="s">
        <v>678</v>
      </c>
      <c r="B43" s="87">
        <v>49.9</v>
      </c>
    </row>
    <row r="44" spans="1:2">
      <c r="A44" s="86" t="s">
        <v>679</v>
      </c>
      <c r="B44" s="87">
        <v>50.5</v>
      </c>
    </row>
    <row r="45" spans="1:2">
      <c r="A45" s="86" t="s">
        <v>680</v>
      </c>
      <c r="B45" s="87">
        <v>51</v>
      </c>
    </row>
    <row r="46" spans="1:2">
      <c r="A46" s="86" t="s">
        <v>681</v>
      </c>
      <c r="B46" s="87">
        <v>52.1</v>
      </c>
    </row>
    <row r="47" spans="1:2">
      <c r="A47" s="86" t="s">
        <v>682</v>
      </c>
      <c r="B47" s="87">
        <v>52.5</v>
      </c>
    </row>
    <row r="48" spans="1:2">
      <c r="A48" s="86" t="s">
        <v>683</v>
      </c>
      <c r="B48" s="87">
        <v>53.3</v>
      </c>
    </row>
    <row r="49" spans="1:2">
      <c r="A49" s="86" t="s">
        <v>684</v>
      </c>
      <c r="B49" s="87">
        <v>53.9</v>
      </c>
    </row>
    <row r="50" spans="1:2">
      <c r="A50" s="86" t="s">
        <v>685</v>
      </c>
      <c r="B50" s="87">
        <v>55.6</v>
      </c>
    </row>
    <row r="51" spans="1:2">
      <c r="A51" s="86" t="s">
        <v>686</v>
      </c>
      <c r="B51" s="87">
        <v>56.4</v>
      </c>
    </row>
    <row r="52" spans="1:2">
      <c r="A52" s="86" t="s">
        <v>687</v>
      </c>
      <c r="B52" s="87">
        <v>57.5</v>
      </c>
    </row>
    <row r="53" spans="1:2">
      <c r="A53" s="86" t="s">
        <v>688</v>
      </c>
      <c r="B53" s="87">
        <v>57.7</v>
      </c>
    </row>
    <row r="54" spans="1:2">
      <c r="A54" s="86" t="s">
        <v>689</v>
      </c>
      <c r="B54" s="87">
        <v>60.3</v>
      </c>
    </row>
    <row r="55" spans="1:2">
      <c r="A55" s="86" t="s">
        <v>690</v>
      </c>
      <c r="B55" s="87">
        <v>60.8</v>
      </c>
    </row>
    <row r="56" spans="1:2">
      <c r="A56" s="86" t="s">
        <v>691</v>
      </c>
      <c r="B56" s="87">
        <v>61.5</v>
      </c>
    </row>
    <row r="57" spans="1:2">
      <c r="A57" s="86" t="s">
        <v>692</v>
      </c>
      <c r="B57" s="87">
        <v>61.7</v>
      </c>
    </row>
    <row r="58" spans="1:2">
      <c r="A58" s="86" t="s">
        <v>693</v>
      </c>
      <c r="B58" s="87">
        <v>62.8</v>
      </c>
    </row>
    <row r="59" spans="1:2">
      <c r="A59" s="86" t="s">
        <v>694</v>
      </c>
      <c r="B59" s="87">
        <v>62.7</v>
      </c>
    </row>
    <row r="60" spans="1:2">
      <c r="A60" s="86" t="s">
        <v>695</v>
      </c>
      <c r="B60" s="87">
        <v>63.1</v>
      </c>
    </row>
    <row r="61" spans="1:2">
      <c r="A61" s="86" t="s">
        <v>696</v>
      </c>
      <c r="B61" s="87">
        <v>63.2</v>
      </c>
    </row>
    <row r="62" spans="1:2">
      <c r="A62" s="86" t="s">
        <v>697</v>
      </c>
      <c r="B62" s="87">
        <v>64.400000000000006</v>
      </c>
    </row>
    <row r="63" spans="1:2">
      <c r="A63" s="86" t="s">
        <v>698</v>
      </c>
      <c r="B63" s="87">
        <v>64.5</v>
      </c>
    </row>
    <row r="64" spans="1:2">
      <c r="A64" s="86" t="s">
        <v>699</v>
      </c>
      <c r="B64" s="87">
        <v>64.7</v>
      </c>
    </row>
    <row r="65" spans="1:2">
      <c r="A65" s="86" t="s">
        <v>700</v>
      </c>
      <c r="B65" s="87">
        <v>64.7</v>
      </c>
    </row>
    <row r="66" spans="1:2">
      <c r="A66" s="86" t="s">
        <v>701</v>
      </c>
      <c r="B66" s="87">
        <v>65.7</v>
      </c>
    </row>
    <row r="67" spans="1:2">
      <c r="A67" s="86" t="s">
        <v>702</v>
      </c>
      <c r="B67" s="87">
        <v>65.599999999999994</v>
      </c>
    </row>
    <row r="68" spans="1:2">
      <c r="A68" s="86" t="s">
        <v>703</v>
      </c>
      <c r="B68" s="87">
        <v>65.8</v>
      </c>
    </row>
    <row r="69" spans="1:2">
      <c r="A69" s="86" t="s">
        <v>704</v>
      </c>
      <c r="B69" s="87">
        <v>66.3</v>
      </c>
    </row>
    <row r="70" spans="1:2">
      <c r="A70" s="86" t="s">
        <v>705</v>
      </c>
      <c r="B70" s="87">
        <v>67.3</v>
      </c>
    </row>
    <row r="71" spans="1:2">
      <c r="A71" s="86" t="s">
        <v>706</v>
      </c>
      <c r="B71" s="87">
        <v>67.400000000000006</v>
      </c>
    </row>
    <row r="72" spans="1:2">
      <c r="A72" s="86" t="s">
        <v>707</v>
      </c>
      <c r="B72" s="87">
        <v>67.7</v>
      </c>
    </row>
    <row r="73" spans="1:2">
      <c r="A73" s="86" t="s">
        <v>708</v>
      </c>
      <c r="B73" s="87">
        <v>68.099999999999994</v>
      </c>
    </row>
    <row r="74" spans="1:2">
      <c r="A74" s="86" t="s">
        <v>709</v>
      </c>
      <c r="B74" s="87">
        <v>68.900000000000006</v>
      </c>
    </row>
    <row r="75" spans="1:2">
      <c r="A75" s="86" t="s">
        <v>710</v>
      </c>
      <c r="B75" s="87">
        <v>68.900000000000006</v>
      </c>
    </row>
    <row r="76" spans="1:2">
      <c r="A76" s="86" t="s">
        <v>711</v>
      </c>
      <c r="B76" s="87">
        <v>69.400000000000006</v>
      </c>
    </row>
    <row r="77" spans="1:2">
      <c r="A77" s="86" t="s">
        <v>712</v>
      </c>
      <c r="B77" s="87">
        <v>69.400000000000006</v>
      </c>
    </row>
    <row r="78" spans="1:2">
      <c r="A78" s="86" t="s">
        <v>713</v>
      </c>
      <c r="B78" s="87">
        <v>70</v>
      </c>
    </row>
    <row r="79" spans="1:2">
      <c r="A79" s="86" t="s">
        <v>714</v>
      </c>
      <c r="B79" s="87">
        <v>70.3</v>
      </c>
    </row>
    <row r="80" spans="1:2">
      <c r="A80" s="86" t="s">
        <v>715</v>
      </c>
      <c r="B80" s="87">
        <v>70.599999999999994</v>
      </c>
    </row>
    <row r="81" spans="1:2">
      <c r="A81" s="86" t="s">
        <v>716</v>
      </c>
      <c r="B81" s="87">
        <v>70.5</v>
      </c>
    </row>
    <row r="82" spans="1:2">
      <c r="A82" s="86" t="s">
        <v>717</v>
      </c>
      <c r="B82" s="87">
        <v>71.3</v>
      </c>
    </row>
    <row r="83" spans="1:2">
      <c r="A83" s="86" t="s">
        <v>718</v>
      </c>
      <c r="B83" s="87">
        <v>71.2</v>
      </c>
    </row>
    <row r="84" spans="1:2">
      <c r="A84" s="86" t="s">
        <v>719</v>
      </c>
      <c r="B84" s="87">
        <v>71.599999999999994</v>
      </c>
    </row>
    <row r="85" spans="1:2">
      <c r="A85" s="86" t="s">
        <v>720</v>
      </c>
      <c r="B85" s="87">
        <v>71.599999999999994</v>
      </c>
    </row>
    <row r="86" spans="1:2">
      <c r="A86" s="86" t="s">
        <v>721</v>
      </c>
      <c r="B86" s="87">
        <v>72.3</v>
      </c>
    </row>
    <row r="87" spans="1:2">
      <c r="A87" s="86" t="s">
        <v>722</v>
      </c>
      <c r="B87" s="87">
        <v>72.099999999999994</v>
      </c>
    </row>
    <row r="88" spans="1:2">
      <c r="A88" s="86" t="s">
        <v>723</v>
      </c>
      <c r="B88" s="87">
        <v>72.5</v>
      </c>
    </row>
    <row r="89" spans="1:2">
      <c r="A89" s="86" t="s">
        <v>724</v>
      </c>
      <c r="B89" s="87">
        <v>72.099999999999994</v>
      </c>
    </row>
    <row r="90" spans="1:2">
      <c r="A90" s="86" t="s">
        <v>725</v>
      </c>
      <c r="B90" s="87">
        <v>72.7</v>
      </c>
    </row>
    <row r="91" spans="1:2">
      <c r="A91" s="86" t="s">
        <v>726</v>
      </c>
      <c r="B91" s="87">
        <v>72.7</v>
      </c>
    </row>
    <row r="92" spans="1:2">
      <c r="A92" s="86" t="s">
        <v>727</v>
      </c>
      <c r="B92" s="87">
        <v>73.2</v>
      </c>
    </row>
    <row r="93" spans="1:2">
      <c r="A93" s="86" t="s">
        <v>728</v>
      </c>
      <c r="B93" s="87">
        <v>72.8</v>
      </c>
    </row>
    <row r="94" spans="1:2">
      <c r="A94" s="86" t="s">
        <v>729</v>
      </c>
      <c r="B94" s="87">
        <v>73.8</v>
      </c>
    </row>
    <row r="95" spans="1:2">
      <c r="A95" s="86" t="s">
        <v>730</v>
      </c>
      <c r="B95" s="87">
        <v>73.8</v>
      </c>
    </row>
    <row r="96" spans="1:2">
      <c r="A96" s="86" t="s">
        <v>731</v>
      </c>
      <c r="B96" s="87">
        <v>73.900000000000006</v>
      </c>
    </row>
    <row r="97" spans="1:2">
      <c r="A97" s="86" t="s">
        <v>732</v>
      </c>
      <c r="B97" s="87">
        <v>73.900000000000006</v>
      </c>
    </row>
    <row r="98" spans="1:2">
      <c r="A98" s="86" t="s">
        <v>733</v>
      </c>
      <c r="B98" s="87">
        <v>74.5</v>
      </c>
    </row>
    <row r="99" spans="1:2">
      <c r="A99" s="86" t="s">
        <v>734</v>
      </c>
      <c r="B99" s="87">
        <v>74.599999999999994</v>
      </c>
    </row>
    <row r="100" spans="1:2">
      <c r="A100" s="86" t="s">
        <v>735</v>
      </c>
      <c r="B100" s="87">
        <v>75</v>
      </c>
    </row>
    <row r="101" spans="1:2">
      <c r="A101" s="86" t="s">
        <v>736</v>
      </c>
      <c r="B101" s="87">
        <v>75</v>
      </c>
    </row>
    <row r="102" spans="1:2">
      <c r="A102" s="86" t="s">
        <v>737</v>
      </c>
      <c r="B102" s="87">
        <v>75.5</v>
      </c>
    </row>
    <row r="103" spans="1:2">
      <c r="A103" s="86" t="s">
        <v>738</v>
      </c>
      <c r="B103" s="87">
        <v>75.599999999999994</v>
      </c>
    </row>
    <row r="104" spans="1:2">
      <c r="A104" s="86" t="s">
        <v>739</v>
      </c>
      <c r="B104" s="87">
        <v>76</v>
      </c>
    </row>
    <row r="105" spans="1:2">
      <c r="A105" s="86" t="s">
        <v>740</v>
      </c>
      <c r="B105" s="87">
        <v>75.900000000000006</v>
      </c>
    </row>
    <row r="106" spans="1:2">
      <c r="A106" s="86" t="s">
        <v>741</v>
      </c>
      <c r="B106" s="87">
        <v>76.5</v>
      </c>
    </row>
    <row r="107" spans="1:2">
      <c r="A107" s="86" t="s">
        <v>742</v>
      </c>
      <c r="B107" s="87">
        <v>76.599999999999994</v>
      </c>
    </row>
    <row r="108" spans="1:2">
      <c r="A108" s="86" t="s">
        <v>743</v>
      </c>
      <c r="B108" s="87">
        <v>77.099999999999994</v>
      </c>
    </row>
    <row r="109" spans="1:2">
      <c r="A109" s="86" t="s">
        <v>744</v>
      </c>
      <c r="B109" s="87">
        <v>77.3</v>
      </c>
    </row>
    <row r="110" spans="1:2">
      <c r="A110" s="86" t="s">
        <v>745</v>
      </c>
      <c r="B110" s="87">
        <v>78</v>
      </c>
    </row>
    <row r="111" spans="1:2">
      <c r="A111" s="86" t="s">
        <v>746</v>
      </c>
      <c r="B111" s="87">
        <v>78.400000000000006</v>
      </c>
    </row>
    <row r="112" spans="1:2">
      <c r="A112" s="86" t="s">
        <v>747</v>
      </c>
      <c r="B112" s="87">
        <v>78.8</v>
      </c>
    </row>
    <row r="113" spans="1:2">
      <c r="A113" s="86" t="s">
        <v>748</v>
      </c>
      <c r="B113" s="87">
        <v>78.7</v>
      </c>
    </row>
    <row r="114" spans="1:2">
      <c r="A114" s="86" t="s">
        <v>749</v>
      </c>
      <c r="B114" s="87">
        <v>79.8</v>
      </c>
    </row>
    <row r="115" spans="1:2">
      <c r="A115" s="86" t="s">
        <v>750</v>
      </c>
      <c r="B115" s="87">
        <v>80.3</v>
      </c>
    </row>
    <row r="116" spans="1:2">
      <c r="A116" s="86" t="s">
        <v>751</v>
      </c>
      <c r="B116" s="87">
        <v>80.900000000000006</v>
      </c>
    </row>
    <row r="117" spans="1:2">
      <c r="A117" s="86" t="s">
        <v>752</v>
      </c>
      <c r="B117" s="87">
        <v>81</v>
      </c>
    </row>
    <row r="118" spans="1:2">
      <c r="A118" s="86" t="s">
        <v>753</v>
      </c>
      <c r="B118" s="87">
        <v>81.8</v>
      </c>
    </row>
    <row r="119" spans="1:2">
      <c r="A119" s="86" t="s">
        <v>754</v>
      </c>
      <c r="B119" s="87">
        <v>81.7</v>
      </c>
    </row>
    <row r="120" spans="1:2">
      <c r="A120" s="86" t="s">
        <v>755</v>
      </c>
      <c r="B120" s="87">
        <v>82.6</v>
      </c>
    </row>
    <row r="121" spans="1:2">
      <c r="A121" s="86" t="s">
        <v>756</v>
      </c>
      <c r="B121" s="87">
        <v>82.9</v>
      </c>
    </row>
    <row r="122" spans="1:2">
      <c r="A122" s="86" t="s">
        <v>757</v>
      </c>
      <c r="B122" s="87">
        <v>84.6</v>
      </c>
    </row>
    <row r="123" spans="1:2">
      <c r="A123" s="86" t="s">
        <v>758</v>
      </c>
      <c r="B123" s="87">
        <v>85.7</v>
      </c>
    </row>
    <row r="124" spans="1:2">
      <c r="A124" s="86" t="s">
        <v>759</v>
      </c>
      <c r="B124" s="87">
        <v>85.8</v>
      </c>
    </row>
    <row r="125" spans="1:2">
      <c r="A125" s="86" t="s">
        <v>760</v>
      </c>
      <c r="B125" s="87">
        <v>85.4</v>
      </c>
    </row>
    <row r="126" spans="1:2">
      <c r="A126" s="86" t="s">
        <v>761</v>
      </c>
      <c r="B126" s="87">
        <v>86.4</v>
      </c>
    </row>
    <row r="127" spans="1:2">
      <c r="A127" s="86" t="s">
        <v>762</v>
      </c>
      <c r="B127" s="87">
        <v>86.9</v>
      </c>
    </row>
    <row r="128" spans="1:2">
      <c r="A128" s="86" t="s">
        <v>763</v>
      </c>
      <c r="B128" s="87">
        <v>87.6</v>
      </c>
    </row>
    <row r="129" spans="1:2">
      <c r="A129" s="86" t="s">
        <v>764</v>
      </c>
      <c r="B129" s="87">
        <v>88.2</v>
      </c>
    </row>
    <row r="130" spans="1:2">
      <c r="A130" s="86" t="s">
        <v>765</v>
      </c>
      <c r="B130" s="87">
        <v>89.3</v>
      </c>
    </row>
    <row r="131" spans="1:2">
      <c r="A131" s="86" t="s">
        <v>766</v>
      </c>
      <c r="B131" s="87">
        <v>89.6</v>
      </c>
    </row>
    <row r="132" spans="1:2">
      <c r="A132" s="86" t="s">
        <v>767</v>
      </c>
      <c r="B132" s="87">
        <v>90.5</v>
      </c>
    </row>
    <row r="133" spans="1:2">
      <c r="A133" s="86" t="s">
        <v>768</v>
      </c>
      <c r="B133" s="87">
        <v>91.8</v>
      </c>
    </row>
    <row r="134" spans="1:2">
      <c r="A134" s="86" t="s">
        <v>769</v>
      </c>
      <c r="B134" s="87">
        <v>93.3</v>
      </c>
    </row>
    <row r="135" spans="1:2">
      <c r="A135" s="86" t="s">
        <v>770</v>
      </c>
      <c r="B135" s="87">
        <v>93.8</v>
      </c>
    </row>
    <row r="136" spans="1:2">
      <c r="A136" s="86" t="s">
        <v>771</v>
      </c>
      <c r="B136" s="87">
        <v>94.7</v>
      </c>
    </row>
    <row r="137" spans="1:2">
      <c r="A137" s="86" t="s">
        <v>772</v>
      </c>
      <c r="B137" s="87">
        <v>95.1</v>
      </c>
    </row>
    <row r="138" spans="1:2">
      <c r="A138" s="86" t="s">
        <v>773</v>
      </c>
      <c r="B138" s="87">
        <v>95.8</v>
      </c>
    </row>
    <row r="139" spans="1:2">
      <c r="A139" s="86" t="s">
        <v>774</v>
      </c>
      <c r="B139" s="87">
        <v>96.1</v>
      </c>
    </row>
    <row r="140" spans="1:2">
      <c r="A140" s="86" t="s">
        <v>775</v>
      </c>
      <c r="B140" s="87">
        <v>97.3</v>
      </c>
    </row>
    <row r="141" spans="1:2">
      <c r="A141" s="86" t="s">
        <v>776</v>
      </c>
      <c r="B141" s="87">
        <v>97.7</v>
      </c>
    </row>
    <row r="142" spans="1:2">
      <c r="A142" s="86" t="s">
        <v>777</v>
      </c>
      <c r="B142" s="87">
        <v>98.4</v>
      </c>
    </row>
    <row r="143" spans="1:2">
      <c r="A143" s="86" t="s">
        <v>778</v>
      </c>
      <c r="B143" s="87">
        <v>98.7</v>
      </c>
    </row>
    <row r="144" spans="1:2">
      <c r="A144" s="86" t="s">
        <v>779</v>
      </c>
      <c r="B144" s="87">
        <v>99.3</v>
      </c>
    </row>
    <row r="145" spans="1:2">
      <c r="A145" s="86" t="s">
        <v>780</v>
      </c>
      <c r="B145" s="87">
        <v>99.4</v>
      </c>
    </row>
    <row r="146" spans="1:2">
      <c r="A146" s="86" t="s">
        <v>781</v>
      </c>
      <c r="B146" s="87">
        <v>100.1</v>
      </c>
    </row>
    <row r="147" spans="1:2">
      <c r="A147" s="86" t="s">
        <v>782</v>
      </c>
      <c r="B147" s="87">
        <v>100.1</v>
      </c>
    </row>
    <row r="148" spans="1:2">
      <c r="A148" s="86" t="s">
        <v>783</v>
      </c>
      <c r="B148" s="87">
        <v>100.2</v>
      </c>
    </row>
    <row r="149" spans="1:2">
      <c r="A149" s="86" t="s">
        <v>784</v>
      </c>
      <c r="B149" s="87">
        <v>99.5</v>
      </c>
    </row>
    <row r="150" spans="1:2">
      <c r="A150" s="86" t="s">
        <v>785</v>
      </c>
      <c r="B150" s="87">
        <v>100.1</v>
      </c>
    </row>
    <row r="151" spans="1:2">
      <c r="A151" s="86" t="s">
        <v>786</v>
      </c>
      <c r="B151" s="87">
        <v>100.1</v>
      </c>
    </row>
    <row r="152" spans="1:2">
      <c r="A152" s="86" t="s">
        <v>787</v>
      </c>
      <c r="B152" s="87">
        <v>100.3</v>
      </c>
    </row>
    <row r="153" spans="1:2">
      <c r="A153" s="86" t="s">
        <v>788</v>
      </c>
      <c r="B153" s="87">
        <v>99.8</v>
      </c>
    </row>
    <row r="154" spans="1:2">
      <c r="A154" s="86" t="s">
        <v>789</v>
      </c>
      <c r="B154" s="87">
        <v>100.4</v>
      </c>
    </row>
    <row r="155" spans="1:2">
      <c r="A155" s="86" t="s">
        <v>790</v>
      </c>
      <c r="B155" s="87">
        <v>100.9</v>
      </c>
    </row>
    <row r="156" spans="1:2">
      <c r="A156" s="86" t="s">
        <v>791</v>
      </c>
      <c r="B156" s="87">
        <v>101.5</v>
      </c>
    </row>
    <row r="157" spans="1:2">
      <c r="A157" s="86" t="s">
        <v>792</v>
      </c>
      <c r="B157" s="87">
        <v>102</v>
      </c>
    </row>
    <row r="158" spans="1:2">
      <c r="A158" s="86" t="s">
        <v>793</v>
      </c>
      <c r="B158" s="87">
        <v>103.2</v>
      </c>
    </row>
    <row r="159" spans="1:2">
      <c r="A159" s="86" t="s">
        <v>794</v>
      </c>
      <c r="B159" s="87">
        <v>103.7</v>
      </c>
    </row>
    <row r="160" spans="1:2">
      <c r="A160" s="86" t="s">
        <v>795</v>
      </c>
      <c r="B160" s="87">
        <v>104.6</v>
      </c>
    </row>
    <row r="161" spans="1:2">
      <c r="A161" s="86" t="s">
        <v>796</v>
      </c>
      <c r="B161" s="87">
        <v>104.7</v>
      </c>
    </row>
    <row r="162" spans="1:2">
      <c r="A162" s="86" t="s">
        <v>797</v>
      </c>
      <c r="B162" s="87">
        <v>105.7</v>
      </c>
    </row>
    <row r="163" spans="1:2">
      <c r="A163" s="86" t="s">
        <v>798</v>
      </c>
      <c r="B163" s="87">
        <v>106.3</v>
      </c>
    </row>
    <row r="164" spans="1:2">
      <c r="A164" s="86" t="s">
        <v>799</v>
      </c>
      <c r="B164" s="87">
        <v>106.9</v>
      </c>
    </row>
    <row r="165" spans="1:2">
      <c r="A165" s="86" t="s">
        <v>800</v>
      </c>
      <c r="B165" s="87">
        <v>106.7</v>
      </c>
    </row>
    <row r="166" spans="1:2">
      <c r="A166" s="86" t="s">
        <v>801</v>
      </c>
      <c r="B166" s="87">
        <v>107.8</v>
      </c>
    </row>
    <row r="167" spans="1:2">
      <c r="A167" s="86" t="s">
        <v>802</v>
      </c>
      <c r="B167" s="87">
        <v>108.3</v>
      </c>
    </row>
    <row r="168" spans="1:2">
      <c r="A168" s="86" t="s">
        <v>803</v>
      </c>
      <c r="B168" s="87">
        <v>108.5</v>
      </c>
    </row>
    <row r="169" spans="1:2">
      <c r="A169" s="86" t="s">
        <v>804</v>
      </c>
      <c r="B169" s="87">
        <v>108.5</v>
      </c>
    </row>
    <row r="170" spans="1:2">
      <c r="A170" s="86" t="s">
        <v>805</v>
      </c>
      <c r="B170" s="87">
        <v>108.5</v>
      </c>
    </row>
    <row r="171" spans="1:2">
      <c r="A171" s="86" t="s">
        <v>806</v>
      </c>
      <c r="B171" s="87">
        <v>48.4</v>
      </c>
    </row>
    <row r="172" spans="1:2">
      <c r="A172" s="86" t="s">
        <v>807</v>
      </c>
      <c r="B172" s="87">
        <v>48.6</v>
      </c>
    </row>
    <row r="173" spans="1:2">
      <c r="A173" s="86" t="s">
        <v>808</v>
      </c>
      <c r="B173" s="87">
        <v>48.7</v>
      </c>
    </row>
    <row r="174" spans="1:2">
      <c r="A174" s="86" t="s">
        <v>809</v>
      </c>
      <c r="B174" s="87">
        <v>49.3</v>
      </c>
    </row>
    <row r="175" spans="1:2">
      <c r="A175" s="86" t="s">
        <v>810</v>
      </c>
      <c r="B175" s="87">
        <v>49.5</v>
      </c>
    </row>
    <row r="176" spans="1:2">
      <c r="A176" s="86" t="s">
        <v>811</v>
      </c>
      <c r="B176" s="87">
        <v>49.7</v>
      </c>
    </row>
    <row r="177" spans="1:2">
      <c r="A177" s="86" t="s">
        <v>812</v>
      </c>
      <c r="B177" s="87">
        <v>49.7</v>
      </c>
    </row>
    <row r="178" spans="1:2">
      <c r="A178" s="86" t="s">
        <v>813</v>
      </c>
      <c r="B178" s="87">
        <v>49.9</v>
      </c>
    </row>
    <row r="179" spans="1:2">
      <c r="A179" s="86" t="s">
        <v>814</v>
      </c>
      <c r="B179" s="87">
        <v>50.1</v>
      </c>
    </row>
    <row r="180" spans="1:2">
      <c r="A180" s="86" t="s">
        <v>815</v>
      </c>
      <c r="B180" s="87">
        <v>50.3</v>
      </c>
    </row>
    <row r="181" spans="1:2">
      <c r="A181" s="86" t="s">
        <v>816</v>
      </c>
      <c r="B181" s="87">
        <v>50.5</v>
      </c>
    </row>
    <row r="182" spans="1:2">
      <c r="A182" s="86" t="s">
        <v>817</v>
      </c>
      <c r="B182" s="87">
        <v>50.6</v>
      </c>
    </row>
    <row r="183" spans="1:2">
      <c r="A183" s="86" t="s">
        <v>818</v>
      </c>
      <c r="B183" s="87">
        <v>50.8</v>
      </c>
    </row>
    <row r="184" spans="1:2">
      <c r="A184" s="86" t="s">
        <v>819</v>
      </c>
      <c r="B184" s="87">
        <v>51</v>
      </c>
    </row>
    <row r="185" spans="1:2">
      <c r="A185" s="86" t="s">
        <v>820</v>
      </c>
      <c r="B185" s="87">
        <v>51.2</v>
      </c>
    </row>
    <row r="186" spans="1:2">
      <c r="A186" s="86" t="s">
        <v>821</v>
      </c>
      <c r="B186" s="87">
        <v>51.9</v>
      </c>
    </row>
    <row r="187" spans="1:2">
      <c r="A187" s="86" t="s">
        <v>822</v>
      </c>
      <c r="B187" s="87">
        <v>52.2</v>
      </c>
    </row>
    <row r="188" spans="1:2">
      <c r="A188" s="86" t="s">
        <v>823</v>
      </c>
      <c r="B188" s="87">
        <v>52.3</v>
      </c>
    </row>
    <row r="189" spans="1:2">
      <c r="A189" s="86" t="s">
        <v>824</v>
      </c>
      <c r="B189" s="87">
        <v>52.3</v>
      </c>
    </row>
    <row r="190" spans="1:2">
      <c r="A190" s="86" t="s">
        <v>825</v>
      </c>
      <c r="B190" s="87">
        <v>52.4</v>
      </c>
    </row>
    <row r="191" spans="1:2">
      <c r="A191" s="86" t="s">
        <v>826</v>
      </c>
      <c r="B191" s="87">
        <v>52.7</v>
      </c>
    </row>
    <row r="192" spans="1:2">
      <c r="A192" s="86" t="s">
        <v>827</v>
      </c>
      <c r="B192" s="87">
        <v>53.1</v>
      </c>
    </row>
    <row r="193" spans="1:2">
      <c r="A193" s="86" t="s">
        <v>828</v>
      </c>
      <c r="B193" s="87">
        <v>53.3</v>
      </c>
    </row>
    <row r="194" spans="1:2">
      <c r="A194" s="86" t="s">
        <v>829</v>
      </c>
      <c r="B194" s="87">
        <v>53.4</v>
      </c>
    </row>
    <row r="195" spans="1:2">
      <c r="A195" s="86" t="s">
        <v>830</v>
      </c>
      <c r="B195" s="87">
        <v>53.6</v>
      </c>
    </row>
    <row r="196" spans="1:2">
      <c r="A196" s="86" t="s">
        <v>831</v>
      </c>
      <c r="B196" s="87">
        <v>54</v>
      </c>
    </row>
    <row r="197" spans="1:2">
      <c r="A197" s="86" t="s">
        <v>832</v>
      </c>
      <c r="B197" s="87">
        <v>54.2</v>
      </c>
    </row>
    <row r="198" spans="1:2">
      <c r="A198" s="86" t="s">
        <v>833</v>
      </c>
      <c r="B198" s="87">
        <v>55.2</v>
      </c>
    </row>
    <row r="199" spans="1:2">
      <c r="A199" s="86" t="s">
        <v>834</v>
      </c>
      <c r="B199" s="87">
        <v>55.7</v>
      </c>
    </row>
    <row r="200" spans="1:2">
      <c r="A200" s="86" t="s">
        <v>835</v>
      </c>
      <c r="B200" s="87">
        <v>55.9</v>
      </c>
    </row>
    <row r="201" spans="1:2">
      <c r="A201" s="86" t="s">
        <v>836</v>
      </c>
      <c r="B201" s="87">
        <v>55.8</v>
      </c>
    </row>
    <row r="202" spans="1:2">
      <c r="A202" s="86" t="s">
        <v>837</v>
      </c>
      <c r="B202" s="87">
        <v>56.4</v>
      </c>
    </row>
    <row r="203" spans="1:2">
      <c r="A203" s="86" t="s">
        <v>838</v>
      </c>
      <c r="B203" s="87">
        <v>57</v>
      </c>
    </row>
    <row r="204" spans="1:2">
      <c r="A204" s="86" t="s">
        <v>839</v>
      </c>
      <c r="B204" s="87">
        <v>57.4</v>
      </c>
    </row>
    <row r="205" spans="1:2">
      <c r="A205" s="86" t="s">
        <v>840</v>
      </c>
      <c r="B205" s="87">
        <v>57.5</v>
      </c>
    </row>
    <row r="206" spans="1:2">
      <c r="A206" s="86" t="s">
        <v>841</v>
      </c>
      <c r="B206" s="87">
        <v>57.5</v>
      </c>
    </row>
    <row r="207" spans="1:2">
      <c r="A207" s="86" t="s">
        <v>842</v>
      </c>
      <c r="B207" s="87">
        <v>57.4</v>
      </c>
    </row>
    <row r="208" spans="1:2">
      <c r="A208" s="86" t="s">
        <v>843</v>
      </c>
      <c r="B208" s="87">
        <v>57.7</v>
      </c>
    </row>
    <row r="209" spans="1:2">
      <c r="A209" s="86" t="s">
        <v>844</v>
      </c>
      <c r="B209" s="87">
        <v>57.9</v>
      </c>
    </row>
    <row r="210" spans="1:2">
      <c r="A210" s="86" t="s">
        <v>845</v>
      </c>
      <c r="B210" s="87">
        <v>59.9</v>
      </c>
    </row>
    <row r="211" spans="1:2">
      <c r="A211" s="86" t="s">
        <v>846</v>
      </c>
      <c r="B211" s="87">
        <v>60.3</v>
      </c>
    </row>
    <row r="212" spans="1:2">
      <c r="A212" s="86" t="s">
        <v>847</v>
      </c>
      <c r="B212" s="87">
        <v>60.6</v>
      </c>
    </row>
    <row r="213" spans="1:2">
      <c r="A213" s="86" t="s">
        <v>848</v>
      </c>
      <c r="B213" s="87">
        <v>60.5</v>
      </c>
    </row>
    <row r="214" spans="1:2">
      <c r="A214" s="86" t="s">
        <v>849</v>
      </c>
      <c r="B214" s="87">
        <v>60.9</v>
      </c>
    </row>
    <row r="215" spans="1:2">
      <c r="A215" s="86" t="s">
        <v>850</v>
      </c>
      <c r="B215" s="87">
        <v>61.1</v>
      </c>
    </row>
    <row r="216" spans="1:2">
      <c r="A216" s="86" t="s">
        <v>851</v>
      </c>
      <c r="B216" s="87">
        <v>61.3</v>
      </c>
    </row>
    <row r="217" spans="1:2">
      <c r="A217" s="86" t="s">
        <v>852</v>
      </c>
      <c r="B217" s="87">
        <v>61.5</v>
      </c>
    </row>
    <row r="218" spans="1:2">
      <c r="A218" s="86" t="s">
        <v>853</v>
      </c>
      <c r="B218" s="87">
        <v>61.6</v>
      </c>
    </row>
    <row r="219" spans="1:2">
      <c r="A219" s="86" t="s">
        <v>854</v>
      </c>
      <c r="B219" s="87">
        <v>61.4</v>
      </c>
    </row>
    <row r="220" spans="1:2">
      <c r="A220" s="86" t="s">
        <v>855</v>
      </c>
      <c r="B220" s="87">
        <v>61.7</v>
      </c>
    </row>
    <row r="221" spans="1:2">
      <c r="A221" s="86" t="s">
        <v>856</v>
      </c>
      <c r="B221" s="87">
        <v>62</v>
      </c>
    </row>
    <row r="222" spans="1:2">
      <c r="A222" s="86" t="s">
        <v>857</v>
      </c>
      <c r="B222" s="87">
        <v>62.7</v>
      </c>
    </row>
    <row r="223" spans="1:2">
      <c r="A223" s="86" t="s">
        <v>858</v>
      </c>
      <c r="B223" s="87">
        <v>62.9</v>
      </c>
    </row>
    <row r="224" spans="1:2">
      <c r="A224" s="86" t="s">
        <v>859</v>
      </c>
      <c r="B224" s="87">
        <v>62.9</v>
      </c>
    </row>
    <row r="225" spans="1:2">
      <c r="A225" s="86" t="s">
        <v>860</v>
      </c>
      <c r="B225" s="87">
        <v>62.6</v>
      </c>
    </row>
    <row r="226" spans="1:2">
      <c r="A226" s="86" t="s">
        <v>861</v>
      </c>
      <c r="B226" s="87">
        <v>62.7</v>
      </c>
    </row>
    <row r="227" spans="1:2">
      <c r="A227" s="86" t="s">
        <v>862</v>
      </c>
      <c r="B227" s="87">
        <v>62.9</v>
      </c>
    </row>
    <row r="228" spans="1:2">
      <c r="A228" s="86" t="s">
        <v>863</v>
      </c>
      <c r="B228" s="87">
        <v>63.1</v>
      </c>
    </row>
    <row r="229" spans="1:2">
      <c r="A229" s="86" t="s">
        <v>864</v>
      </c>
      <c r="B229" s="87">
        <v>63.1</v>
      </c>
    </row>
    <row r="230" spans="1:2">
      <c r="A230" s="86" t="s">
        <v>865</v>
      </c>
      <c r="B230" s="87">
        <v>63.2</v>
      </c>
    </row>
    <row r="231" spans="1:2">
      <c r="A231" s="86" t="s">
        <v>866</v>
      </c>
      <c r="B231" s="87">
        <v>62.8</v>
      </c>
    </row>
    <row r="232" spans="1:2">
      <c r="A232" s="86" t="s">
        <v>867</v>
      </c>
      <c r="B232" s="87">
        <v>63.2</v>
      </c>
    </row>
    <row r="233" spans="1:2">
      <c r="A233" s="86" t="s">
        <v>868</v>
      </c>
      <c r="B233" s="87">
        <v>63.6</v>
      </c>
    </row>
    <row r="234" spans="1:2">
      <c r="A234" s="86" t="s">
        <v>869</v>
      </c>
      <c r="B234" s="87">
        <v>64.3</v>
      </c>
    </row>
    <row r="235" spans="1:2">
      <c r="A235" s="86" t="s">
        <v>870</v>
      </c>
      <c r="B235" s="87">
        <v>64.5</v>
      </c>
    </row>
    <row r="236" spans="1:2">
      <c r="A236" s="86" t="s">
        <v>871</v>
      </c>
      <c r="B236" s="87">
        <v>64.5</v>
      </c>
    </row>
    <row r="237" spans="1:2">
      <c r="A237" s="86" t="s">
        <v>872</v>
      </c>
      <c r="B237" s="87">
        <v>64.2</v>
      </c>
    </row>
    <row r="238" spans="1:2">
      <c r="A238" s="86" t="s">
        <v>873</v>
      </c>
      <c r="B238" s="87">
        <v>64.5</v>
      </c>
    </row>
    <row r="239" spans="1:2">
      <c r="A239" s="86" t="s">
        <v>874</v>
      </c>
      <c r="B239" s="87">
        <v>64.8</v>
      </c>
    </row>
    <row r="240" spans="1:2">
      <c r="A240" s="86" t="s">
        <v>875</v>
      </c>
      <c r="B240" s="87">
        <v>64.7</v>
      </c>
    </row>
    <row r="241" spans="1:2">
      <c r="A241" s="86" t="s">
        <v>876</v>
      </c>
      <c r="B241" s="87">
        <v>64.599999999999994</v>
      </c>
    </row>
    <row r="242" spans="1:2">
      <c r="A242" s="86" t="s">
        <v>877</v>
      </c>
      <c r="B242" s="87">
        <v>64.7</v>
      </c>
    </row>
    <row r="243" spans="1:2">
      <c r="A243" s="86" t="s">
        <v>878</v>
      </c>
      <c r="B243" s="87">
        <v>64.5</v>
      </c>
    </row>
    <row r="244" spans="1:2">
      <c r="A244" s="86" t="s">
        <v>879</v>
      </c>
      <c r="B244" s="87">
        <v>64.8</v>
      </c>
    </row>
    <row r="245" spans="1:2">
      <c r="A245" s="86" t="s">
        <v>880</v>
      </c>
      <c r="B245" s="87">
        <v>65</v>
      </c>
    </row>
    <row r="246" spans="1:2">
      <c r="A246" s="86" t="s">
        <v>881</v>
      </c>
      <c r="B246" s="87">
        <v>65.5</v>
      </c>
    </row>
    <row r="247" spans="1:2">
      <c r="A247" s="86" t="s">
        <v>882</v>
      </c>
      <c r="B247" s="87">
        <v>65.8</v>
      </c>
    </row>
    <row r="248" spans="1:2">
      <c r="A248" s="86" t="s">
        <v>883</v>
      </c>
      <c r="B248" s="87">
        <v>65.8</v>
      </c>
    </row>
    <row r="249" spans="1:2">
      <c r="A249" s="86" t="s">
        <v>884</v>
      </c>
      <c r="B249" s="87">
        <v>65.400000000000006</v>
      </c>
    </row>
    <row r="250" spans="1:2">
      <c r="A250" s="86" t="s">
        <v>885</v>
      </c>
      <c r="B250" s="87">
        <v>65.7</v>
      </c>
    </row>
    <row r="251" spans="1:2">
      <c r="A251" s="86" t="s">
        <v>886</v>
      </c>
      <c r="B251" s="87">
        <v>65.8</v>
      </c>
    </row>
    <row r="252" spans="1:2">
      <c r="A252" s="86" t="s">
        <v>887</v>
      </c>
      <c r="B252" s="87">
        <v>65.7</v>
      </c>
    </row>
    <row r="253" spans="1:2">
      <c r="A253" s="86" t="s">
        <v>888</v>
      </c>
      <c r="B253" s="87">
        <v>65.7</v>
      </c>
    </row>
    <row r="254" spans="1:2">
      <c r="A254" s="86" t="s">
        <v>889</v>
      </c>
      <c r="B254" s="87">
        <v>66</v>
      </c>
    </row>
    <row r="255" spans="1:2">
      <c r="A255" s="86" t="s">
        <v>890</v>
      </c>
      <c r="B255" s="87">
        <v>66</v>
      </c>
    </row>
    <row r="256" spans="1:2">
      <c r="A256" s="86" t="s">
        <v>891</v>
      </c>
      <c r="B256" s="87">
        <v>66.3</v>
      </c>
    </row>
    <row r="257" spans="1:2">
      <c r="A257" s="86" t="s">
        <v>892</v>
      </c>
      <c r="B257" s="87">
        <v>66.7</v>
      </c>
    </row>
    <row r="258" spans="1:2">
      <c r="A258" s="86" t="s">
        <v>893</v>
      </c>
      <c r="B258" s="87">
        <v>67</v>
      </c>
    </row>
    <row r="259" spans="1:2">
      <c r="A259" s="86" t="s">
        <v>894</v>
      </c>
      <c r="B259" s="87">
        <v>67.400000000000006</v>
      </c>
    </row>
    <row r="260" spans="1:2">
      <c r="A260" s="86" t="s">
        <v>895</v>
      </c>
      <c r="B260" s="87">
        <v>67.400000000000006</v>
      </c>
    </row>
    <row r="261" spans="1:2">
      <c r="A261" s="86" t="s">
        <v>896</v>
      </c>
      <c r="B261" s="87">
        <v>67.099999999999994</v>
      </c>
    </row>
    <row r="262" spans="1:2">
      <c r="A262" s="86" t="s">
        <v>897</v>
      </c>
      <c r="B262" s="87">
        <v>67.400000000000006</v>
      </c>
    </row>
    <row r="263" spans="1:2">
      <c r="A263" s="86" t="s">
        <v>898</v>
      </c>
      <c r="B263" s="87">
        <v>67.7</v>
      </c>
    </row>
    <row r="264" spans="1:2">
      <c r="A264" s="86" t="s">
        <v>899</v>
      </c>
      <c r="B264" s="87">
        <v>67.599999999999994</v>
      </c>
    </row>
    <row r="265" spans="1:2">
      <c r="A265" s="86" t="s">
        <v>900</v>
      </c>
      <c r="B265" s="87">
        <v>67.599999999999994</v>
      </c>
    </row>
    <row r="266" spans="1:2">
      <c r="A266" s="86" t="s">
        <v>901</v>
      </c>
      <c r="B266" s="87">
        <v>68</v>
      </c>
    </row>
    <row r="267" spans="1:2">
      <c r="A267" s="86" t="s">
        <v>902</v>
      </c>
      <c r="B267" s="87">
        <v>67.8</v>
      </c>
    </row>
    <row r="268" spans="1:2">
      <c r="A268" s="86" t="s">
        <v>903</v>
      </c>
      <c r="B268" s="87">
        <v>68.099999999999994</v>
      </c>
    </row>
    <row r="269" spans="1:2">
      <c r="A269" s="86" t="s">
        <v>904</v>
      </c>
      <c r="B269" s="87">
        <v>68.400000000000006</v>
      </c>
    </row>
    <row r="270" spans="1:2">
      <c r="A270" s="86" t="s">
        <v>905</v>
      </c>
      <c r="B270" s="87">
        <v>68.7</v>
      </c>
    </row>
    <row r="271" spans="1:2">
      <c r="A271" s="86" t="s">
        <v>906</v>
      </c>
      <c r="B271" s="87">
        <v>68.900000000000006</v>
      </c>
    </row>
    <row r="272" spans="1:2">
      <c r="A272" s="86" t="s">
        <v>907</v>
      </c>
      <c r="B272" s="87">
        <v>69</v>
      </c>
    </row>
    <row r="273" spans="1:2">
      <c r="A273" s="86" t="s">
        <v>908</v>
      </c>
      <c r="B273" s="87">
        <v>68.599999999999994</v>
      </c>
    </row>
    <row r="274" spans="1:2">
      <c r="A274" s="86" t="s">
        <v>909</v>
      </c>
      <c r="B274" s="87">
        <v>68.900000000000006</v>
      </c>
    </row>
    <row r="275" spans="1:2">
      <c r="A275" s="86" t="s">
        <v>910</v>
      </c>
      <c r="B275" s="87">
        <v>69.3</v>
      </c>
    </row>
    <row r="276" spans="1:2">
      <c r="A276" s="86" t="s">
        <v>911</v>
      </c>
      <c r="B276" s="87">
        <v>69.3</v>
      </c>
    </row>
    <row r="277" spans="1:2">
      <c r="A277" s="86" t="s">
        <v>912</v>
      </c>
      <c r="B277" s="87">
        <v>69.3</v>
      </c>
    </row>
    <row r="278" spans="1:2">
      <c r="A278" s="86" t="s">
        <v>913</v>
      </c>
      <c r="B278" s="87">
        <v>69.5</v>
      </c>
    </row>
    <row r="279" spans="1:2">
      <c r="A279" s="86" t="s">
        <v>914</v>
      </c>
      <c r="B279" s="87">
        <v>69.2</v>
      </c>
    </row>
    <row r="280" spans="1:2">
      <c r="A280" s="86" t="s">
        <v>915</v>
      </c>
      <c r="B280" s="87">
        <v>69.400000000000006</v>
      </c>
    </row>
    <row r="281" spans="1:2">
      <c r="A281" s="86" t="s">
        <v>916</v>
      </c>
      <c r="B281" s="87">
        <v>69.5</v>
      </c>
    </row>
    <row r="282" spans="1:2">
      <c r="A282" s="86" t="s">
        <v>917</v>
      </c>
      <c r="B282" s="87">
        <v>69.8</v>
      </c>
    </row>
    <row r="283" spans="1:2">
      <c r="A283" s="86" t="s">
        <v>918</v>
      </c>
      <c r="B283" s="87">
        <v>70</v>
      </c>
    </row>
    <row r="284" spans="1:2">
      <c r="A284" s="86" t="s">
        <v>919</v>
      </c>
      <c r="B284" s="87">
        <v>70.2</v>
      </c>
    </row>
    <row r="285" spans="1:2">
      <c r="A285" s="86" t="s">
        <v>920</v>
      </c>
      <c r="B285" s="87">
        <v>69.900000000000006</v>
      </c>
    </row>
    <row r="286" spans="1:2">
      <c r="A286" s="86" t="s">
        <v>921</v>
      </c>
      <c r="B286" s="87">
        <v>70.3</v>
      </c>
    </row>
    <row r="287" spans="1:2">
      <c r="A287" s="86" t="s">
        <v>922</v>
      </c>
      <c r="B287" s="87">
        <v>70.599999999999994</v>
      </c>
    </row>
    <row r="288" spans="1:2">
      <c r="A288" s="86" t="s">
        <v>923</v>
      </c>
      <c r="B288" s="87">
        <v>70.599999999999994</v>
      </c>
    </row>
    <row r="289" spans="1:2">
      <c r="A289" s="86" t="s">
        <v>924</v>
      </c>
      <c r="B289" s="87">
        <v>70.599999999999994</v>
      </c>
    </row>
    <row r="290" spans="1:2">
      <c r="A290" s="86" t="s">
        <v>925</v>
      </c>
      <c r="B290" s="87">
        <v>70.7</v>
      </c>
    </row>
    <row r="291" spans="1:2">
      <c r="A291" s="86" t="s">
        <v>926</v>
      </c>
      <c r="B291" s="87">
        <v>70.3</v>
      </c>
    </row>
    <row r="292" spans="1:2">
      <c r="A292" s="86" t="s">
        <v>927</v>
      </c>
      <c r="B292" s="87">
        <v>70.5</v>
      </c>
    </row>
    <row r="293" spans="1:2">
      <c r="A293" s="86" t="s">
        <v>928</v>
      </c>
      <c r="B293" s="87">
        <v>70.7</v>
      </c>
    </row>
    <row r="294" spans="1:2">
      <c r="A294" s="86" t="s">
        <v>929</v>
      </c>
      <c r="B294" s="87">
        <v>71.099999999999994</v>
      </c>
    </row>
    <row r="295" spans="1:2">
      <c r="A295" s="86" t="s">
        <v>930</v>
      </c>
      <c r="B295" s="87">
        <v>71.400000000000006</v>
      </c>
    </row>
    <row r="296" spans="1:2">
      <c r="A296" s="86" t="s">
        <v>931</v>
      </c>
      <c r="B296" s="87">
        <v>71.3</v>
      </c>
    </row>
    <row r="297" spans="1:2">
      <c r="A297" s="86" t="s">
        <v>932</v>
      </c>
      <c r="B297" s="87">
        <v>71</v>
      </c>
    </row>
    <row r="298" spans="1:2">
      <c r="A298" s="86" t="s">
        <v>933</v>
      </c>
      <c r="B298" s="87">
        <v>71.2</v>
      </c>
    </row>
    <row r="299" spans="1:2">
      <c r="A299" s="86" t="s">
        <v>934</v>
      </c>
      <c r="B299" s="87">
        <v>71.5</v>
      </c>
    </row>
    <row r="300" spans="1:2">
      <c r="A300" s="86" t="s">
        <v>935</v>
      </c>
      <c r="B300" s="87">
        <v>71.5</v>
      </c>
    </row>
    <row r="301" spans="1:2">
      <c r="A301" s="86" t="s">
        <v>936</v>
      </c>
      <c r="B301" s="87">
        <v>71.599999999999994</v>
      </c>
    </row>
    <row r="302" spans="1:2">
      <c r="A302" s="86" t="s">
        <v>937</v>
      </c>
      <c r="B302" s="87">
        <v>71.8</v>
      </c>
    </row>
    <row r="303" spans="1:2">
      <c r="A303" s="86" t="s">
        <v>938</v>
      </c>
      <c r="B303" s="87">
        <v>71.400000000000006</v>
      </c>
    </row>
    <row r="304" spans="1:2">
      <c r="A304" s="86" t="s">
        <v>939</v>
      </c>
      <c r="B304" s="87">
        <v>71.5</v>
      </c>
    </row>
    <row r="305" spans="1:2">
      <c r="A305" s="86" t="s">
        <v>940</v>
      </c>
      <c r="B305" s="87">
        <v>71.900000000000006</v>
      </c>
    </row>
    <row r="306" spans="1:2">
      <c r="A306" s="86" t="s">
        <v>941</v>
      </c>
      <c r="B306" s="87">
        <v>72.2</v>
      </c>
    </row>
    <row r="307" spans="1:2">
      <c r="A307" s="86" t="s">
        <v>942</v>
      </c>
      <c r="B307" s="87">
        <v>72.400000000000006</v>
      </c>
    </row>
    <row r="308" spans="1:2">
      <c r="A308" s="86" t="s">
        <v>943</v>
      </c>
      <c r="B308" s="87">
        <v>72.3</v>
      </c>
    </row>
    <row r="309" spans="1:2">
      <c r="A309" s="86" t="s">
        <v>944</v>
      </c>
      <c r="B309" s="87">
        <v>71.900000000000006</v>
      </c>
    </row>
    <row r="310" spans="1:2">
      <c r="A310" s="86" t="s">
        <v>945</v>
      </c>
      <c r="B310" s="87">
        <v>72.099999999999994</v>
      </c>
    </row>
    <row r="311" spans="1:2">
      <c r="A311" s="86" t="s">
        <v>946</v>
      </c>
      <c r="B311" s="87">
        <v>72.400000000000006</v>
      </c>
    </row>
    <row r="312" spans="1:2">
      <c r="A312" s="86" t="s">
        <v>947</v>
      </c>
      <c r="B312" s="87">
        <v>72.3</v>
      </c>
    </row>
    <row r="313" spans="1:2">
      <c r="A313" s="86" t="s">
        <v>948</v>
      </c>
      <c r="B313" s="87">
        <v>72.400000000000006</v>
      </c>
    </row>
    <row r="314" spans="1:2">
      <c r="A314" s="86" t="s">
        <v>949</v>
      </c>
      <c r="B314" s="87">
        <v>72.599999999999994</v>
      </c>
    </row>
    <row r="315" spans="1:2">
      <c r="A315" s="86" t="s">
        <v>950</v>
      </c>
      <c r="B315" s="87">
        <v>71.900000000000006</v>
      </c>
    </row>
    <row r="316" spans="1:2">
      <c r="A316" s="86" t="s">
        <v>951</v>
      </c>
      <c r="B316" s="87">
        <v>72.2</v>
      </c>
    </row>
    <row r="317" spans="1:2">
      <c r="A317" s="86" t="s">
        <v>952</v>
      </c>
      <c r="B317" s="87">
        <v>72.3</v>
      </c>
    </row>
    <row r="318" spans="1:2">
      <c r="A318" s="86" t="s">
        <v>953</v>
      </c>
      <c r="B318" s="87">
        <v>72.599999999999994</v>
      </c>
    </row>
    <row r="319" spans="1:2">
      <c r="A319" s="86" t="s">
        <v>954</v>
      </c>
      <c r="B319" s="87">
        <v>72.8</v>
      </c>
    </row>
    <row r="320" spans="1:2">
      <c r="A320" s="86" t="s">
        <v>955</v>
      </c>
      <c r="B320" s="87">
        <v>72.900000000000006</v>
      </c>
    </row>
    <row r="321" spans="1:2">
      <c r="A321" s="86" t="s">
        <v>956</v>
      </c>
      <c r="B321" s="87">
        <v>72.5</v>
      </c>
    </row>
    <row r="322" spans="1:2">
      <c r="A322" s="86" t="s">
        <v>957</v>
      </c>
      <c r="B322" s="87">
        <v>72.5</v>
      </c>
    </row>
    <row r="323" spans="1:2">
      <c r="A323" s="86" t="s">
        <v>958</v>
      </c>
      <c r="B323" s="87">
        <v>73.099999999999994</v>
      </c>
    </row>
    <row r="324" spans="1:2">
      <c r="A324" s="86" t="s">
        <v>959</v>
      </c>
      <c r="B324" s="87">
        <v>73.099999999999994</v>
      </c>
    </row>
    <row r="325" spans="1:2">
      <c r="A325" s="86" t="s">
        <v>960</v>
      </c>
      <c r="B325" s="87">
        <v>73.2</v>
      </c>
    </row>
    <row r="326" spans="1:2">
      <c r="A326" s="86" t="s">
        <v>961</v>
      </c>
      <c r="B326" s="87">
        <v>73.2</v>
      </c>
    </row>
    <row r="327" spans="1:2">
      <c r="A327" s="86" t="s">
        <v>962</v>
      </c>
      <c r="B327" s="87">
        <v>72.599999999999994</v>
      </c>
    </row>
    <row r="328" spans="1:2">
      <c r="A328" s="86" t="s">
        <v>963</v>
      </c>
      <c r="B328" s="87">
        <v>72.7</v>
      </c>
    </row>
    <row r="329" spans="1:2">
      <c r="A329" s="86" t="s">
        <v>964</v>
      </c>
      <c r="B329" s="87">
        <v>73</v>
      </c>
    </row>
    <row r="330" spans="1:2">
      <c r="A330" s="86" t="s">
        <v>965</v>
      </c>
      <c r="B330" s="87">
        <v>73.400000000000006</v>
      </c>
    </row>
    <row r="331" spans="1:2">
      <c r="A331" s="86" t="s">
        <v>966</v>
      </c>
      <c r="B331" s="87">
        <v>74</v>
      </c>
    </row>
    <row r="332" spans="1:2">
      <c r="A332" s="86" t="s">
        <v>967</v>
      </c>
      <c r="B332" s="87">
        <v>74.099999999999994</v>
      </c>
    </row>
    <row r="333" spans="1:2">
      <c r="A333" s="86" t="s">
        <v>968</v>
      </c>
      <c r="B333" s="87">
        <v>73.599999999999994</v>
      </c>
    </row>
    <row r="334" spans="1:2">
      <c r="A334" s="86" t="s">
        <v>969</v>
      </c>
      <c r="B334" s="87">
        <v>73.900000000000006</v>
      </c>
    </row>
    <row r="335" spans="1:2">
      <c r="A335" s="86" t="s">
        <v>970</v>
      </c>
      <c r="B335" s="87">
        <v>74.099999999999994</v>
      </c>
    </row>
    <row r="336" spans="1:2">
      <c r="A336" s="86" t="s">
        <v>971</v>
      </c>
      <c r="B336" s="87">
        <v>73.900000000000006</v>
      </c>
    </row>
    <row r="337" spans="1:2">
      <c r="A337" s="86" t="s">
        <v>972</v>
      </c>
      <c r="B337" s="87">
        <v>73.8</v>
      </c>
    </row>
    <row r="338" spans="1:2">
      <c r="A338" s="86" t="s">
        <v>973</v>
      </c>
      <c r="B338" s="87">
        <v>74</v>
      </c>
    </row>
    <row r="339" spans="1:2">
      <c r="A339" s="86" t="s">
        <v>974</v>
      </c>
      <c r="B339" s="87">
        <v>73.7</v>
      </c>
    </row>
    <row r="340" spans="1:2">
      <c r="A340" s="86" t="s">
        <v>975</v>
      </c>
      <c r="B340" s="87">
        <v>73.8</v>
      </c>
    </row>
    <row r="341" spans="1:2">
      <c r="A341" s="86" t="s">
        <v>976</v>
      </c>
      <c r="B341" s="87">
        <v>74.099999999999994</v>
      </c>
    </row>
    <row r="342" spans="1:2">
      <c r="A342" s="86" t="s">
        <v>977</v>
      </c>
      <c r="B342" s="87">
        <v>74.400000000000006</v>
      </c>
    </row>
    <row r="343" spans="1:2">
      <c r="A343" s="86" t="s">
        <v>978</v>
      </c>
      <c r="B343" s="87">
        <v>74.599999999999994</v>
      </c>
    </row>
    <row r="344" spans="1:2">
      <c r="A344" s="86" t="s">
        <v>979</v>
      </c>
      <c r="B344" s="87">
        <v>74.599999999999994</v>
      </c>
    </row>
    <row r="345" spans="1:2">
      <c r="A345" s="86" t="s">
        <v>980</v>
      </c>
      <c r="B345" s="87">
        <v>74.400000000000006</v>
      </c>
    </row>
    <row r="346" spans="1:2">
      <c r="A346" s="86" t="s">
        <v>981</v>
      </c>
      <c r="B346" s="87">
        <v>74.599999999999994</v>
      </c>
    </row>
    <row r="347" spans="1:2">
      <c r="A347" s="86" t="s">
        <v>982</v>
      </c>
      <c r="B347" s="87">
        <v>74.8</v>
      </c>
    </row>
    <row r="348" spans="1:2">
      <c r="A348" s="86" t="s">
        <v>983</v>
      </c>
      <c r="B348" s="87">
        <v>74.900000000000006</v>
      </c>
    </row>
    <row r="349" spans="1:2">
      <c r="A349" s="86" t="s">
        <v>984</v>
      </c>
      <c r="B349" s="87">
        <v>74.900000000000006</v>
      </c>
    </row>
    <row r="350" spans="1:2">
      <c r="A350" s="86" t="s">
        <v>985</v>
      </c>
      <c r="B350" s="87">
        <v>75.2</v>
      </c>
    </row>
    <row r="351" spans="1:2">
      <c r="A351" s="86" t="s">
        <v>986</v>
      </c>
      <c r="B351" s="87">
        <v>74.7</v>
      </c>
    </row>
    <row r="352" spans="1:2">
      <c r="A352" s="86" t="s">
        <v>987</v>
      </c>
      <c r="B352" s="87">
        <v>75</v>
      </c>
    </row>
    <row r="353" spans="1:2">
      <c r="A353" s="86" t="s">
        <v>988</v>
      </c>
      <c r="B353" s="87">
        <v>75.3</v>
      </c>
    </row>
    <row r="354" spans="1:2">
      <c r="A354" s="86" t="s">
        <v>989</v>
      </c>
      <c r="B354" s="87">
        <v>75.5</v>
      </c>
    </row>
    <row r="355" spans="1:2">
      <c r="A355" s="86" t="s">
        <v>990</v>
      </c>
      <c r="B355" s="87">
        <v>75.5</v>
      </c>
    </row>
    <row r="356" spans="1:2">
      <c r="A356" s="86" t="s">
        <v>991</v>
      </c>
      <c r="B356" s="87">
        <v>75.400000000000006</v>
      </c>
    </row>
    <row r="357" spans="1:2">
      <c r="A357" s="86" t="s">
        <v>992</v>
      </c>
      <c r="B357" s="87">
        <v>75.3</v>
      </c>
    </row>
    <row r="358" spans="1:2">
      <c r="A358" s="86" t="s">
        <v>993</v>
      </c>
      <c r="B358" s="87">
        <v>75.599999999999994</v>
      </c>
    </row>
    <row r="359" spans="1:2">
      <c r="A359" s="86" t="s">
        <v>994</v>
      </c>
      <c r="B359" s="87">
        <v>75.900000000000006</v>
      </c>
    </row>
    <row r="360" spans="1:2">
      <c r="A360" s="86" t="s">
        <v>995</v>
      </c>
      <c r="B360" s="87">
        <v>76</v>
      </c>
    </row>
    <row r="361" spans="1:2">
      <c r="A361" s="86" t="s">
        <v>996</v>
      </c>
      <c r="B361" s="87">
        <v>75.900000000000006</v>
      </c>
    </row>
    <row r="362" spans="1:2">
      <c r="A362" s="86" t="s">
        <v>997</v>
      </c>
      <c r="B362" s="87">
        <v>76.2</v>
      </c>
    </row>
    <row r="363" spans="1:2">
      <c r="A363" s="86" t="s">
        <v>998</v>
      </c>
      <c r="B363" s="87">
        <v>75.8</v>
      </c>
    </row>
    <row r="364" spans="1:2">
      <c r="A364" s="86" t="s">
        <v>999</v>
      </c>
      <c r="B364" s="87">
        <v>76</v>
      </c>
    </row>
    <row r="365" spans="1:2">
      <c r="A365" s="86" t="s">
        <v>1000</v>
      </c>
      <c r="B365" s="87">
        <v>76.099999999999994</v>
      </c>
    </row>
    <row r="366" spans="1:2">
      <c r="A366" s="86" t="s">
        <v>1001</v>
      </c>
      <c r="B366" s="87">
        <v>76.400000000000006</v>
      </c>
    </row>
    <row r="367" spans="1:2">
      <c r="A367" s="86" t="s">
        <v>1002</v>
      </c>
      <c r="B367" s="87">
        <v>76.599999999999994</v>
      </c>
    </row>
    <row r="368" spans="1:2">
      <c r="A368" s="86" t="s">
        <v>1003</v>
      </c>
      <c r="B368" s="87">
        <v>76.599999999999994</v>
      </c>
    </row>
    <row r="369" spans="1:2">
      <c r="A369" s="86" t="s">
        <v>1004</v>
      </c>
      <c r="B369" s="87">
        <v>76.400000000000006</v>
      </c>
    </row>
    <row r="370" spans="1:2">
      <c r="A370" s="86" t="s">
        <v>1005</v>
      </c>
      <c r="B370" s="87">
        <v>76.599999999999994</v>
      </c>
    </row>
    <row r="371" spans="1:2">
      <c r="A371" s="86" t="s">
        <v>1006</v>
      </c>
      <c r="B371" s="87">
        <v>76.7</v>
      </c>
    </row>
    <row r="372" spans="1:2">
      <c r="A372" s="86" t="s">
        <v>1007</v>
      </c>
      <c r="B372" s="87">
        <v>76.900000000000006</v>
      </c>
    </row>
    <row r="373" spans="1:2">
      <c r="A373" s="86" t="s">
        <v>1008</v>
      </c>
      <c r="B373" s="87">
        <v>77</v>
      </c>
    </row>
    <row r="374" spans="1:2">
      <c r="A374" s="86" t="s">
        <v>1009</v>
      </c>
      <c r="B374" s="87">
        <v>77.400000000000006</v>
      </c>
    </row>
    <row r="375" spans="1:2">
      <c r="A375" s="86" t="s">
        <v>1010</v>
      </c>
      <c r="B375" s="87">
        <v>77</v>
      </c>
    </row>
    <row r="376" spans="1:2">
      <c r="A376" s="86" t="s">
        <v>1011</v>
      </c>
      <c r="B376" s="87">
        <v>77.2</v>
      </c>
    </row>
    <row r="377" spans="1:2">
      <c r="A377" s="86" t="s">
        <v>1012</v>
      </c>
      <c r="B377" s="87">
        <v>77.5</v>
      </c>
    </row>
    <row r="378" spans="1:2">
      <c r="A378" s="86" t="s">
        <v>1013</v>
      </c>
      <c r="B378" s="87">
        <v>77.8</v>
      </c>
    </row>
    <row r="379" spans="1:2">
      <c r="A379" s="86" t="s">
        <v>1014</v>
      </c>
      <c r="B379" s="87">
        <v>78.099999999999994</v>
      </c>
    </row>
    <row r="380" spans="1:2">
      <c r="A380" s="86" t="s">
        <v>1015</v>
      </c>
      <c r="B380" s="87">
        <v>78.099999999999994</v>
      </c>
    </row>
    <row r="381" spans="1:2">
      <c r="A381" s="86" t="s">
        <v>1016</v>
      </c>
      <c r="B381" s="87">
        <v>78.2</v>
      </c>
    </row>
    <row r="382" spans="1:2">
      <c r="A382" s="86" t="s">
        <v>1017</v>
      </c>
      <c r="B382" s="87">
        <v>78.400000000000006</v>
      </c>
    </row>
    <row r="383" spans="1:2">
      <c r="A383" s="86" t="s">
        <v>1018</v>
      </c>
      <c r="B383" s="87">
        <v>78.599999999999994</v>
      </c>
    </row>
    <row r="384" spans="1:2">
      <c r="A384" s="86" t="s">
        <v>1019</v>
      </c>
      <c r="B384" s="87">
        <v>78.7</v>
      </c>
    </row>
    <row r="385" spans="1:2">
      <c r="A385" s="86" t="s">
        <v>1020</v>
      </c>
      <c r="B385" s="87">
        <v>78.7</v>
      </c>
    </row>
    <row r="386" spans="1:2">
      <c r="A386" s="86" t="s">
        <v>1021</v>
      </c>
      <c r="B386" s="87">
        <v>78.900000000000006</v>
      </c>
    </row>
    <row r="387" spans="1:2">
      <c r="A387" s="86" t="s">
        <v>1022</v>
      </c>
      <c r="B387" s="87">
        <v>78.5</v>
      </c>
    </row>
    <row r="388" spans="1:2">
      <c r="A388" s="86" t="s">
        <v>1023</v>
      </c>
      <c r="B388" s="87">
        <v>78.8</v>
      </c>
    </row>
    <row r="389" spans="1:2">
      <c r="A389" s="86" t="s">
        <v>1024</v>
      </c>
      <c r="B389" s="87">
        <v>78.900000000000006</v>
      </c>
    </row>
    <row r="390" spans="1:2">
      <c r="A390" s="86" t="s">
        <v>1025</v>
      </c>
      <c r="B390" s="87">
        <v>79.400000000000006</v>
      </c>
    </row>
    <row r="391" spans="1:2">
      <c r="A391" s="86" t="s">
        <v>1026</v>
      </c>
      <c r="B391" s="87">
        <v>79.900000000000006</v>
      </c>
    </row>
    <row r="392" spans="1:2">
      <c r="A392" s="86" t="s">
        <v>1027</v>
      </c>
      <c r="B392" s="87">
        <v>80.099999999999994</v>
      </c>
    </row>
    <row r="393" spans="1:2">
      <c r="A393" s="86" t="s">
        <v>1028</v>
      </c>
      <c r="B393" s="87">
        <v>80</v>
      </c>
    </row>
    <row r="394" spans="1:2">
      <c r="A394" s="86" t="s">
        <v>1029</v>
      </c>
      <c r="B394" s="87">
        <v>80.400000000000006</v>
      </c>
    </row>
    <row r="395" spans="1:2">
      <c r="A395" s="86" t="s">
        <v>1030</v>
      </c>
      <c r="B395" s="87">
        <v>80.5</v>
      </c>
    </row>
    <row r="396" spans="1:2">
      <c r="A396" s="86" t="s">
        <v>1031</v>
      </c>
      <c r="B396" s="87">
        <v>80.599999999999994</v>
      </c>
    </row>
    <row r="397" spans="1:2">
      <c r="A397" s="86" t="s">
        <v>1032</v>
      </c>
      <c r="B397" s="87">
        <v>80.8</v>
      </c>
    </row>
    <row r="398" spans="1:2">
      <c r="A398" s="86" t="s">
        <v>1033</v>
      </c>
      <c r="B398" s="87">
        <v>81.3</v>
      </c>
    </row>
    <row r="399" spans="1:2">
      <c r="A399" s="86" t="s">
        <v>1034</v>
      </c>
      <c r="B399" s="87">
        <v>80.599999999999994</v>
      </c>
    </row>
    <row r="400" spans="1:2">
      <c r="A400" s="86" t="s">
        <v>1035</v>
      </c>
      <c r="B400" s="87">
        <v>81</v>
      </c>
    </row>
    <row r="401" spans="1:2">
      <c r="A401" s="86" t="s">
        <v>1036</v>
      </c>
      <c r="B401" s="87">
        <v>81.400000000000006</v>
      </c>
    </row>
    <row r="402" spans="1:2">
      <c r="A402" s="86" t="s">
        <v>1037</v>
      </c>
      <c r="B402" s="87">
        <v>81.599999999999994</v>
      </c>
    </row>
    <row r="403" spans="1:2">
      <c r="A403" s="86" t="s">
        <v>1038</v>
      </c>
      <c r="B403" s="87">
        <v>81.8</v>
      </c>
    </row>
    <row r="404" spans="1:2">
      <c r="A404" s="86" t="s">
        <v>1039</v>
      </c>
      <c r="B404" s="87">
        <v>82</v>
      </c>
    </row>
    <row r="405" spans="1:2">
      <c r="A405" s="86" t="s">
        <v>1040</v>
      </c>
      <c r="B405" s="87">
        <v>81.5</v>
      </c>
    </row>
    <row r="406" spans="1:2">
      <c r="A406" s="86" t="s">
        <v>1041</v>
      </c>
      <c r="B406" s="87">
        <v>81.8</v>
      </c>
    </row>
    <row r="407" spans="1:2">
      <c r="A407" s="86" t="s">
        <v>1042</v>
      </c>
      <c r="B407" s="87">
        <v>81.900000000000006</v>
      </c>
    </row>
    <row r="408" spans="1:2">
      <c r="A408" s="86" t="s">
        <v>1043</v>
      </c>
      <c r="B408" s="87">
        <v>82.3</v>
      </c>
    </row>
    <row r="409" spans="1:2">
      <c r="A409" s="86" t="s">
        <v>1044</v>
      </c>
      <c r="B409" s="87">
        <v>82.5</v>
      </c>
    </row>
    <row r="410" spans="1:2">
      <c r="A410" s="86" t="s">
        <v>1045</v>
      </c>
      <c r="B410" s="87">
        <v>83</v>
      </c>
    </row>
    <row r="411" spans="1:2">
      <c r="A411" s="86" t="s">
        <v>1046</v>
      </c>
      <c r="B411" s="87">
        <v>82.4</v>
      </c>
    </row>
    <row r="412" spans="1:2">
      <c r="A412" s="86" t="s">
        <v>1047</v>
      </c>
      <c r="B412" s="87">
        <v>83</v>
      </c>
    </row>
    <row r="413" spans="1:2">
      <c r="A413" s="86" t="s">
        <v>1048</v>
      </c>
      <c r="B413" s="87">
        <v>83.4</v>
      </c>
    </row>
    <row r="414" spans="1:2">
      <c r="A414" s="86" t="s">
        <v>1049</v>
      </c>
      <c r="B414" s="87">
        <v>84</v>
      </c>
    </row>
    <row r="415" spans="1:2">
      <c r="A415" s="86" t="s">
        <v>1050</v>
      </c>
      <c r="B415" s="87">
        <v>84.6</v>
      </c>
    </row>
    <row r="416" spans="1:2">
      <c r="A416" s="86" t="s">
        <v>1051</v>
      </c>
      <c r="B416" s="87">
        <v>85.2</v>
      </c>
    </row>
    <row r="417" spans="1:2">
      <c r="A417" s="86" t="s">
        <v>1052</v>
      </c>
      <c r="B417" s="87">
        <v>85.1</v>
      </c>
    </row>
    <row r="418" spans="1:2">
      <c r="A418" s="86" t="s">
        <v>1053</v>
      </c>
      <c r="B418" s="87">
        <v>85.7</v>
      </c>
    </row>
    <row r="419" spans="1:2">
      <c r="A419" s="86" t="s">
        <v>1054</v>
      </c>
      <c r="B419" s="87">
        <v>86.1</v>
      </c>
    </row>
    <row r="420" spans="1:2">
      <c r="A420" s="86" t="s">
        <v>1055</v>
      </c>
      <c r="B420" s="87">
        <v>85.9</v>
      </c>
    </row>
    <row r="421" spans="1:2">
      <c r="A421" s="86" t="s">
        <v>1056</v>
      </c>
      <c r="B421" s="87">
        <v>85.8</v>
      </c>
    </row>
    <row r="422" spans="1:2">
      <c r="A422" s="86" t="s">
        <v>1057</v>
      </c>
      <c r="B422" s="87">
        <v>85.5</v>
      </c>
    </row>
    <row r="423" spans="1:2">
      <c r="A423" s="86" t="s">
        <v>1058</v>
      </c>
      <c r="B423" s="87">
        <v>84.9</v>
      </c>
    </row>
    <row r="424" spans="1:2">
      <c r="A424" s="86" t="s">
        <v>1059</v>
      </c>
      <c r="B424" s="87">
        <v>85.6</v>
      </c>
    </row>
    <row r="425" spans="1:2">
      <c r="A425" s="86" t="s">
        <v>1060</v>
      </c>
      <c r="B425" s="87">
        <v>85.8</v>
      </c>
    </row>
    <row r="426" spans="1:2">
      <c r="A426" s="86" t="s">
        <v>1061</v>
      </c>
      <c r="B426" s="87">
        <v>86</v>
      </c>
    </row>
    <row r="427" spans="1:2">
      <c r="A427" s="86" t="s">
        <v>1062</v>
      </c>
      <c r="B427" s="87">
        <v>86.4</v>
      </c>
    </row>
    <row r="428" spans="1:2">
      <c r="A428" s="86" t="s">
        <v>1063</v>
      </c>
      <c r="B428" s="87">
        <v>86.7</v>
      </c>
    </row>
    <row r="429" spans="1:2">
      <c r="A429" s="86" t="s">
        <v>1064</v>
      </c>
      <c r="B429" s="87">
        <v>86.7</v>
      </c>
    </row>
    <row r="430" spans="1:2">
      <c r="A430" s="86" t="s">
        <v>1065</v>
      </c>
      <c r="B430" s="87">
        <v>87</v>
      </c>
    </row>
    <row r="431" spans="1:2">
      <c r="A431" s="86" t="s">
        <v>1066</v>
      </c>
      <c r="B431" s="87">
        <v>87.1</v>
      </c>
    </row>
    <row r="432" spans="1:2">
      <c r="A432" s="86" t="s">
        <v>1067</v>
      </c>
      <c r="B432" s="87">
        <v>87.2</v>
      </c>
    </row>
    <row r="433" spans="1:2">
      <c r="A433" s="86" t="s">
        <v>1068</v>
      </c>
      <c r="B433" s="87">
        <v>87.5</v>
      </c>
    </row>
    <row r="434" spans="1:2">
      <c r="A434" s="86" t="s">
        <v>1069</v>
      </c>
      <c r="B434" s="87">
        <v>88</v>
      </c>
    </row>
    <row r="435" spans="1:2">
      <c r="A435" s="86" t="s">
        <v>1070</v>
      </c>
      <c r="B435" s="87">
        <v>87.8</v>
      </c>
    </row>
    <row r="436" spans="1:2">
      <c r="A436" s="86" t="s">
        <v>1071</v>
      </c>
      <c r="B436" s="87">
        <v>88.2</v>
      </c>
    </row>
    <row r="437" spans="1:2">
      <c r="A437" s="86" t="s">
        <v>1072</v>
      </c>
      <c r="B437" s="87">
        <v>88.7</v>
      </c>
    </row>
    <row r="438" spans="1:2">
      <c r="A438" s="86" t="s">
        <v>1073</v>
      </c>
      <c r="B438" s="87">
        <v>89.2</v>
      </c>
    </row>
    <row r="439" spans="1:2">
      <c r="A439" s="86" t="s">
        <v>1074</v>
      </c>
      <c r="B439" s="87">
        <v>89.4</v>
      </c>
    </row>
    <row r="440" spans="1:2">
      <c r="A440" s="86" t="s">
        <v>1075</v>
      </c>
      <c r="B440" s="87">
        <v>89.5</v>
      </c>
    </row>
    <row r="441" spans="1:2">
      <c r="A441" s="86" t="s">
        <v>1076</v>
      </c>
      <c r="B441" s="87">
        <v>89.3</v>
      </c>
    </row>
    <row r="442" spans="1:2">
      <c r="A442" s="86" t="s">
        <v>1077</v>
      </c>
      <c r="B442" s="87">
        <v>89.8</v>
      </c>
    </row>
    <row r="443" spans="1:2">
      <c r="A443" s="86" t="s">
        <v>1078</v>
      </c>
      <c r="B443" s="87">
        <v>89.8</v>
      </c>
    </row>
    <row r="444" spans="1:2">
      <c r="A444" s="86" t="s">
        <v>1079</v>
      </c>
      <c r="B444" s="87">
        <v>90</v>
      </c>
    </row>
    <row r="445" spans="1:2">
      <c r="A445" s="86" t="s">
        <v>1080</v>
      </c>
      <c r="B445" s="87">
        <v>90.3</v>
      </c>
    </row>
    <row r="446" spans="1:2">
      <c r="A446" s="86" t="s">
        <v>1081</v>
      </c>
      <c r="B446" s="87">
        <v>91.2</v>
      </c>
    </row>
    <row r="447" spans="1:2">
      <c r="A447" s="86" t="s">
        <v>1082</v>
      </c>
      <c r="B447" s="87">
        <v>91.3</v>
      </c>
    </row>
    <row r="448" spans="1:2">
      <c r="A448" s="86" t="s">
        <v>1083</v>
      </c>
      <c r="B448" s="87">
        <v>92</v>
      </c>
    </row>
    <row r="449" spans="1:2">
      <c r="A449" s="86" t="s">
        <v>1084</v>
      </c>
      <c r="B449" s="87">
        <v>92.2</v>
      </c>
    </row>
    <row r="450" spans="1:2">
      <c r="A450" s="86" t="s">
        <v>1085</v>
      </c>
      <c r="B450" s="87">
        <v>93.2</v>
      </c>
    </row>
    <row r="451" spans="1:2">
      <c r="A451" s="86" t="s">
        <v>1086</v>
      </c>
      <c r="B451" s="87">
        <v>93.4</v>
      </c>
    </row>
    <row r="452" spans="1:2">
      <c r="A452" s="86" t="s">
        <v>1087</v>
      </c>
      <c r="B452" s="87">
        <v>93.3</v>
      </c>
    </row>
    <row r="453" spans="1:2">
      <c r="A453" s="86" t="s">
        <v>1088</v>
      </c>
      <c r="B453" s="87">
        <v>93.3</v>
      </c>
    </row>
    <row r="454" spans="1:2">
      <c r="A454" s="86" t="s">
        <v>1089</v>
      </c>
      <c r="B454" s="87">
        <v>93.8</v>
      </c>
    </row>
    <row r="455" spans="1:2">
      <c r="A455" s="86" t="s">
        <v>1090</v>
      </c>
      <c r="B455" s="87">
        <v>94.4</v>
      </c>
    </row>
    <row r="456" spans="1:2">
      <c r="A456" s="86" t="s">
        <v>1091</v>
      </c>
      <c r="B456" s="87">
        <v>94.5</v>
      </c>
    </row>
    <row r="457" spans="1:2">
      <c r="A457" s="86" t="s">
        <v>1092</v>
      </c>
      <c r="B457" s="87">
        <v>94.6</v>
      </c>
    </row>
    <row r="458" spans="1:2">
      <c r="A458" s="86" t="s">
        <v>1093</v>
      </c>
      <c r="B458" s="87">
        <v>95.1</v>
      </c>
    </row>
    <row r="459" spans="1:2">
      <c r="A459" s="86" t="s">
        <v>1094</v>
      </c>
      <c r="B459" s="87">
        <v>94.6</v>
      </c>
    </row>
    <row r="460" spans="1:2">
      <c r="A460" s="86" t="s">
        <v>1095</v>
      </c>
      <c r="B460" s="87">
        <v>95.1</v>
      </c>
    </row>
    <row r="461" spans="1:2">
      <c r="A461" s="86" t="s">
        <v>1096</v>
      </c>
      <c r="B461" s="87">
        <v>95.4</v>
      </c>
    </row>
    <row r="462" spans="1:2">
      <c r="A462" s="86" t="s">
        <v>1097</v>
      </c>
      <c r="B462" s="87">
        <v>96</v>
      </c>
    </row>
    <row r="463" spans="1:2">
      <c r="A463" s="86" t="s">
        <v>1098</v>
      </c>
      <c r="B463" s="87">
        <v>95.9</v>
      </c>
    </row>
    <row r="464" spans="1:2">
      <c r="A464" s="86" t="s">
        <v>1099</v>
      </c>
      <c r="B464" s="87">
        <v>95.5</v>
      </c>
    </row>
    <row r="465" spans="1:2">
      <c r="A465" s="86" t="s">
        <v>1100</v>
      </c>
      <c r="B465" s="87">
        <v>95.6</v>
      </c>
    </row>
    <row r="466" spans="1:2">
      <c r="A466" s="86" t="s">
        <v>1101</v>
      </c>
      <c r="B466" s="87">
        <v>96.1</v>
      </c>
    </row>
    <row r="467" spans="1:2">
      <c r="A467" s="86" t="s">
        <v>1102</v>
      </c>
      <c r="B467" s="87">
        <v>96.5</v>
      </c>
    </row>
    <row r="468" spans="1:2">
      <c r="A468" s="86" t="s">
        <v>1103</v>
      </c>
      <c r="B468" s="87">
        <v>97</v>
      </c>
    </row>
    <row r="469" spans="1:2">
      <c r="A469" s="86" t="s">
        <v>1104</v>
      </c>
      <c r="B469" s="87">
        <v>97.2</v>
      </c>
    </row>
    <row r="470" spans="1:2">
      <c r="A470" s="86" t="s">
        <v>1105</v>
      </c>
      <c r="B470" s="87">
        <v>97.6</v>
      </c>
    </row>
    <row r="471" spans="1:2">
      <c r="A471" s="86" t="s">
        <v>1106</v>
      </c>
      <c r="B471" s="87">
        <v>97.1</v>
      </c>
    </row>
    <row r="472" spans="1:2">
      <c r="A472" s="86" t="s">
        <v>1107</v>
      </c>
      <c r="B472" s="87">
        <v>97.8</v>
      </c>
    </row>
    <row r="473" spans="1:2">
      <c r="A473" s="86" t="s">
        <v>1108</v>
      </c>
      <c r="B473" s="87">
        <v>98.1</v>
      </c>
    </row>
    <row r="474" spans="1:2">
      <c r="A474" s="86" t="s">
        <v>1109</v>
      </c>
      <c r="B474" s="87">
        <v>98.3</v>
      </c>
    </row>
    <row r="475" spans="1:2">
      <c r="A475" s="86" t="s">
        <v>1110</v>
      </c>
      <c r="B475" s="87">
        <v>98.5</v>
      </c>
    </row>
    <row r="476" spans="1:2">
      <c r="A476" s="86" t="s">
        <v>1111</v>
      </c>
      <c r="B476" s="87">
        <v>98.3</v>
      </c>
    </row>
    <row r="477" spans="1:2">
      <c r="A477" s="86" t="s">
        <v>1112</v>
      </c>
      <c r="B477" s="87">
        <v>98.3</v>
      </c>
    </row>
    <row r="478" spans="1:2">
      <c r="A478" s="86" t="s">
        <v>1113</v>
      </c>
      <c r="B478" s="87">
        <v>98.7</v>
      </c>
    </row>
    <row r="479" spans="1:2">
      <c r="A479" s="86" t="s">
        <v>1114</v>
      </c>
      <c r="B479" s="87">
        <v>99.1</v>
      </c>
    </row>
    <row r="480" spans="1:2">
      <c r="A480" s="86" t="s">
        <v>1115</v>
      </c>
      <c r="B480" s="87">
        <v>99.1</v>
      </c>
    </row>
    <row r="481" spans="1:2">
      <c r="A481" s="86" t="s">
        <v>1116</v>
      </c>
      <c r="B481" s="87">
        <v>99.2</v>
      </c>
    </row>
    <row r="482" spans="1:2">
      <c r="A482" s="86" t="s">
        <v>1117</v>
      </c>
      <c r="B482" s="87">
        <v>99.6</v>
      </c>
    </row>
    <row r="483" spans="1:2">
      <c r="A483" s="86" t="s">
        <v>1118</v>
      </c>
      <c r="B483" s="87">
        <v>99</v>
      </c>
    </row>
    <row r="484" spans="1:2">
      <c r="A484" s="86" t="s">
        <v>1119</v>
      </c>
      <c r="B484" s="87">
        <v>99.5</v>
      </c>
    </row>
    <row r="485" spans="1:2">
      <c r="A485" s="86" t="s">
        <v>1120</v>
      </c>
      <c r="B485" s="87">
        <v>99.7</v>
      </c>
    </row>
    <row r="486" spans="1:2">
      <c r="A486" s="86" t="s">
        <v>1121</v>
      </c>
      <c r="B486" s="87">
        <v>100.1</v>
      </c>
    </row>
    <row r="487" spans="1:2">
      <c r="A487" s="86" t="s">
        <v>1122</v>
      </c>
      <c r="B487" s="87">
        <v>100</v>
      </c>
    </row>
    <row r="488" spans="1:2">
      <c r="A488" s="86" t="s">
        <v>1123</v>
      </c>
      <c r="B488" s="87">
        <v>100.2</v>
      </c>
    </row>
    <row r="489" spans="1:2">
      <c r="A489" s="86" t="s">
        <v>1124</v>
      </c>
      <c r="B489" s="87">
        <v>99.9</v>
      </c>
    </row>
    <row r="490" spans="1:2">
      <c r="A490" s="86" t="s">
        <v>1125</v>
      </c>
      <c r="B490" s="87">
        <v>100.2</v>
      </c>
    </row>
    <row r="491" spans="1:2">
      <c r="A491" s="86" t="s">
        <v>1126</v>
      </c>
      <c r="B491" s="87">
        <v>100.3</v>
      </c>
    </row>
    <row r="492" spans="1:2">
      <c r="A492" s="86" t="s">
        <v>1127</v>
      </c>
      <c r="B492" s="87">
        <v>100.4</v>
      </c>
    </row>
    <row r="493" spans="1:2">
      <c r="A493" s="86" t="s">
        <v>1128</v>
      </c>
      <c r="B493" s="87">
        <v>100.1</v>
      </c>
    </row>
    <row r="494" spans="1:2">
      <c r="A494" s="86" t="s">
        <v>1129</v>
      </c>
      <c r="B494" s="87">
        <v>100.1</v>
      </c>
    </row>
    <row r="495" spans="1:2">
      <c r="A495" s="86" t="s">
        <v>1130</v>
      </c>
      <c r="B495" s="87">
        <v>99.3</v>
      </c>
    </row>
    <row r="496" spans="1:2">
      <c r="A496" s="86" t="s">
        <v>1131</v>
      </c>
      <c r="B496" s="87">
        <v>99.5</v>
      </c>
    </row>
    <row r="497" spans="1:2">
      <c r="A497" s="86" t="s">
        <v>1132</v>
      </c>
      <c r="B497" s="87">
        <v>99.7</v>
      </c>
    </row>
    <row r="498" spans="1:2">
      <c r="A498" s="86" t="s">
        <v>1133</v>
      </c>
      <c r="B498" s="87">
        <v>99.9</v>
      </c>
    </row>
    <row r="499" spans="1:2">
      <c r="A499" s="86" t="s">
        <v>1134</v>
      </c>
      <c r="B499" s="87">
        <v>100.1</v>
      </c>
    </row>
    <row r="500" spans="1:2">
      <c r="A500" s="86" t="s">
        <v>1135</v>
      </c>
      <c r="B500" s="87">
        <v>100.2</v>
      </c>
    </row>
    <row r="501" spans="1:2">
      <c r="A501" s="86" t="s">
        <v>1136</v>
      </c>
      <c r="B501" s="87">
        <v>100</v>
      </c>
    </row>
    <row r="502" spans="1:2">
      <c r="A502" s="86" t="s">
        <v>1137</v>
      </c>
      <c r="B502" s="87">
        <v>100.3</v>
      </c>
    </row>
    <row r="503" spans="1:2">
      <c r="A503" s="86" t="s">
        <v>1138</v>
      </c>
      <c r="B503" s="87">
        <v>100.2</v>
      </c>
    </row>
    <row r="504" spans="1:2">
      <c r="A504" s="86" t="s">
        <v>1139</v>
      </c>
      <c r="B504" s="87">
        <v>100.3</v>
      </c>
    </row>
    <row r="505" spans="1:2">
      <c r="A505" s="86" t="s">
        <v>1140</v>
      </c>
      <c r="B505" s="87">
        <v>100.3</v>
      </c>
    </row>
    <row r="506" spans="1:2">
      <c r="A506" s="86" t="s">
        <v>1141</v>
      </c>
      <c r="B506" s="87">
        <v>100.3</v>
      </c>
    </row>
    <row r="507" spans="1:2">
      <c r="A507" s="86" t="s">
        <v>1142</v>
      </c>
      <c r="B507" s="87">
        <v>99.5</v>
      </c>
    </row>
    <row r="508" spans="1:2">
      <c r="A508" s="86" t="s">
        <v>1143</v>
      </c>
      <c r="B508" s="87">
        <v>99.8</v>
      </c>
    </row>
    <row r="509" spans="1:2">
      <c r="A509" s="86" t="s">
        <v>1144</v>
      </c>
      <c r="B509" s="87">
        <v>100.2</v>
      </c>
    </row>
    <row r="510" spans="1:2">
      <c r="A510" s="86" t="s">
        <v>1145</v>
      </c>
      <c r="B510" s="87">
        <v>100.2</v>
      </c>
    </row>
    <row r="511" spans="1:2">
      <c r="A511" s="86" t="s">
        <v>1146</v>
      </c>
      <c r="B511" s="87">
        <v>100.4</v>
      </c>
    </row>
    <row r="512" spans="1:2">
      <c r="A512" s="86" t="s">
        <v>1147</v>
      </c>
      <c r="B512" s="87">
        <v>100.6</v>
      </c>
    </row>
    <row r="513" spans="1:2">
      <c r="A513" s="86" t="s">
        <v>1148</v>
      </c>
      <c r="B513" s="87">
        <v>100.6</v>
      </c>
    </row>
    <row r="514" spans="1:2">
      <c r="A514" s="86" t="s">
        <v>1149</v>
      </c>
      <c r="B514" s="87">
        <v>100.9</v>
      </c>
    </row>
    <row r="515" spans="1:2">
      <c r="A515" s="86" t="s">
        <v>1150</v>
      </c>
      <c r="B515" s="87">
        <v>101.1</v>
      </c>
    </row>
    <row r="516" spans="1:2">
      <c r="A516" s="86" t="s">
        <v>1151</v>
      </c>
      <c r="B516" s="87">
        <v>101.2</v>
      </c>
    </row>
    <row r="517" spans="1:2">
      <c r="A517" s="86" t="s">
        <v>1152</v>
      </c>
      <c r="B517" s="87">
        <v>101.4</v>
      </c>
    </row>
    <row r="518" spans="1:2">
      <c r="A518" s="86" t="s">
        <v>1153</v>
      </c>
      <c r="B518" s="87">
        <v>101.9</v>
      </c>
    </row>
    <row r="519" spans="1:2">
      <c r="A519" s="86" t="s">
        <v>1154</v>
      </c>
      <c r="B519" s="87">
        <v>101.4</v>
      </c>
    </row>
    <row r="520" spans="1:2">
      <c r="A520" s="86" t="s">
        <v>1155</v>
      </c>
      <c r="B520" s="87">
        <v>102.1</v>
      </c>
    </row>
    <row r="521" spans="1:2">
      <c r="A521" s="86" t="s">
        <v>1156</v>
      </c>
      <c r="B521" s="87">
        <v>102.5</v>
      </c>
    </row>
    <row r="522" spans="1:2">
      <c r="A522" s="86" t="s">
        <v>1157</v>
      </c>
      <c r="B522" s="87">
        <v>102.9</v>
      </c>
    </row>
    <row r="523" spans="1:2">
      <c r="A523" s="86" t="s">
        <v>1158</v>
      </c>
      <c r="B523" s="87">
        <v>103.3</v>
      </c>
    </row>
    <row r="524" spans="1:2">
      <c r="A524" s="86" t="s">
        <v>1159</v>
      </c>
      <c r="B524" s="87">
        <v>103.3</v>
      </c>
    </row>
    <row r="525" spans="1:2">
      <c r="A525" s="86" t="s">
        <v>1160</v>
      </c>
      <c r="B525" s="87">
        <v>103.2</v>
      </c>
    </row>
    <row r="526" spans="1:2">
      <c r="A526" s="86" t="s">
        <v>1161</v>
      </c>
      <c r="B526" s="87">
        <v>103.8</v>
      </c>
    </row>
    <row r="527" spans="1:2">
      <c r="A527" s="86" t="s">
        <v>1162</v>
      </c>
      <c r="B527" s="87">
        <v>104.1</v>
      </c>
    </row>
    <row r="528" spans="1:2">
      <c r="A528" s="86" t="s">
        <v>1163</v>
      </c>
      <c r="B528" s="87">
        <v>104.2</v>
      </c>
    </row>
    <row r="529" spans="1:2">
      <c r="A529" s="86" t="s">
        <v>1164</v>
      </c>
      <c r="B529" s="87">
        <v>104.6</v>
      </c>
    </row>
    <row r="530" spans="1:2">
      <c r="A530" s="86" t="s">
        <v>1165</v>
      </c>
      <c r="B530" s="87">
        <v>104.9</v>
      </c>
    </row>
    <row r="531" spans="1:2">
      <c r="A531" s="86" t="s">
        <v>1166</v>
      </c>
      <c r="B531" s="87">
        <v>104.4</v>
      </c>
    </row>
    <row r="532" spans="1:2">
      <c r="A532" s="86" t="s">
        <v>1167</v>
      </c>
      <c r="B532" s="87">
        <v>104.9</v>
      </c>
    </row>
    <row r="533" spans="1:2">
      <c r="A533" s="86" t="s">
        <v>1168</v>
      </c>
      <c r="B533" s="87">
        <v>105</v>
      </c>
    </row>
    <row r="534" spans="1:2">
      <c r="A534" s="86" t="s">
        <v>1169</v>
      </c>
      <c r="B534" s="87">
        <v>105.4</v>
      </c>
    </row>
    <row r="535" spans="1:2">
      <c r="A535" s="86" t="s">
        <v>1170</v>
      </c>
      <c r="B535" s="87">
        <v>105.8</v>
      </c>
    </row>
    <row r="536" spans="1:2">
      <c r="A536" s="86" t="s">
        <v>1171</v>
      </c>
      <c r="B536" s="87">
        <v>105.8</v>
      </c>
    </row>
    <row r="537" spans="1:2">
      <c r="A537" s="86" t="s">
        <v>1172</v>
      </c>
      <c r="B537" s="87">
        <v>105.8</v>
      </c>
    </row>
    <row r="538" spans="1:2">
      <c r="A538" s="86" t="s">
        <v>1173</v>
      </c>
      <c r="B538" s="87">
        <v>106.5</v>
      </c>
    </row>
    <row r="539" spans="1:2">
      <c r="A539" s="86" t="s">
        <v>1174</v>
      </c>
      <c r="B539" s="87">
        <v>106.6</v>
      </c>
    </row>
    <row r="540" spans="1:2">
      <c r="A540" s="86" t="s">
        <v>1175</v>
      </c>
      <c r="B540" s="87">
        <v>106.7</v>
      </c>
    </row>
    <row r="541" spans="1:2">
      <c r="A541" s="86" t="s">
        <v>1176</v>
      </c>
      <c r="B541" s="87">
        <v>107</v>
      </c>
    </row>
    <row r="542" spans="1:2">
      <c r="A542" s="86" t="s">
        <v>1177</v>
      </c>
      <c r="B542" s="87">
        <v>107.1</v>
      </c>
    </row>
    <row r="543" spans="1:2">
      <c r="A543" s="86" t="s">
        <v>1178</v>
      </c>
      <c r="B543" s="87">
        <v>106.3</v>
      </c>
    </row>
    <row r="544" spans="1:2">
      <c r="A544" s="86" t="s">
        <v>1179</v>
      </c>
      <c r="B544" s="87">
        <v>106.8</v>
      </c>
    </row>
    <row r="545" spans="1:2">
      <c r="A545" s="86" t="s">
        <v>1180</v>
      </c>
      <c r="B545" s="87">
        <v>107</v>
      </c>
    </row>
    <row r="546" spans="1:2">
      <c r="A546" s="86" t="s">
        <v>1181</v>
      </c>
      <c r="B546" s="87">
        <v>107.6</v>
      </c>
    </row>
    <row r="547" spans="1:2">
      <c r="A547" s="86" t="s">
        <v>1182</v>
      </c>
      <c r="B547" s="87">
        <v>107.9</v>
      </c>
    </row>
    <row r="548" spans="1:2">
      <c r="A548" s="86" t="s">
        <v>1183</v>
      </c>
      <c r="B548" s="87">
        <v>107.9</v>
      </c>
    </row>
    <row r="549" spans="1:2">
      <c r="A549" s="86" t="s">
        <v>1184</v>
      </c>
      <c r="B549" s="87">
        <v>107.9</v>
      </c>
    </row>
    <row r="550" spans="1:2">
      <c r="A550" s="86" t="s">
        <v>1185</v>
      </c>
      <c r="B550" s="87">
        <v>108.4</v>
      </c>
    </row>
    <row r="551" spans="1:2">
      <c r="A551" s="86" t="s">
        <v>1186</v>
      </c>
      <c r="B551" s="87">
        <v>108.5</v>
      </c>
    </row>
    <row r="552" spans="1:2">
      <c r="A552" s="86" t="s">
        <v>1187</v>
      </c>
      <c r="B552" s="87">
        <v>108.3</v>
      </c>
    </row>
    <row r="553" spans="1:2">
      <c r="A553" s="86" t="s">
        <v>1188</v>
      </c>
      <c r="B553" s="87">
        <v>108.5</v>
      </c>
    </row>
    <row r="554" spans="1:2">
      <c r="A554" s="86" t="s">
        <v>1189</v>
      </c>
      <c r="B554" s="87">
        <v>108.5</v>
      </c>
    </row>
    <row r="555" spans="1:2">
      <c r="A555" s="86" t="s">
        <v>1190</v>
      </c>
      <c r="B555" s="87">
        <v>108.2</v>
      </c>
    </row>
    <row r="556" spans="1:2">
      <c r="A556" s="86" t="s">
        <v>1191</v>
      </c>
      <c r="B556" s="87">
        <v>108.6</v>
      </c>
    </row>
    <row r="557" spans="1:2">
      <c r="A557" s="86" t="s">
        <v>1192</v>
      </c>
      <c r="B557" s="87">
        <v>108.6</v>
      </c>
    </row>
    <row r="558" spans="1:2">
      <c r="A558" s="86" t="s">
        <v>1193</v>
      </c>
      <c r="B558" s="87">
        <v>108.5</v>
      </c>
    </row>
    <row r="559" spans="1:2">
      <c r="A559" s="86" t="s">
        <v>1194</v>
      </c>
      <c r="B559" s="87">
        <v>108.5</v>
      </c>
    </row>
    <row r="560" spans="1:2">
      <c r="A560" s="86" t="s">
        <v>1195</v>
      </c>
      <c r="B560" s="87">
        <v>108.6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AEB1-6636-49FC-AA88-98D45BDEE045}">
  <sheetPr>
    <tabColor theme="4" tint="0.79998168889431442"/>
  </sheetPr>
  <dimension ref="A1:Z37"/>
  <sheetViews>
    <sheetView workbookViewId="0">
      <selection activeCell="G9" sqref="G9"/>
    </sheetView>
  </sheetViews>
  <sheetFormatPr defaultRowHeight="15"/>
  <cols>
    <col min="1" max="1" width="10" bestFit="1" customWidth="1"/>
    <col min="2" max="2" width="24.7109375" bestFit="1" customWidth="1"/>
    <col min="3" max="3" width="11.5703125" bestFit="1" customWidth="1"/>
    <col min="4" max="4" width="15.85546875" bestFit="1" customWidth="1"/>
    <col min="5" max="5" width="16.7109375" customWidth="1"/>
    <col min="6" max="6" width="14.5703125" customWidth="1"/>
    <col min="7" max="8" width="15.5703125" customWidth="1"/>
    <col min="9" max="9" width="13.140625" customWidth="1"/>
    <col min="16" max="16" width="13.85546875" customWidth="1"/>
    <col min="17" max="17" width="12.7109375" bestFit="1" customWidth="1"/>
    <col min="22" max="22" width="9.140625" style="114"/>
    <col min="24" max="24" width="15.28515625" customWidth="1"/>
  </cols>
  <sheetData>
    <row r="1" spans="1:26" ht="103.5" thickBot="1">
      <c r="A1" t="s">
        <v>1196</v>
      </c>
      <c r="B1" t="s">
        <v>1197</v>
      </c>
      <c r="C1" t="s">
        <v>1198</v>
      </c>
      <c r="D1" t="s">
        <v>1199</v>
      </c>
      <c r="E1" s="106" t="s">
        <v>1200</v>
      </c>
      <c r="F1" s="106" t="s">
        <v>1201</v>
      </c>
      <c r="G1" s="106" t="s">
        <v>1202</v>
      </c>
      <c r="H1" s="106" t="s">
        <v>1203</v>
      </c>
      <c r="I1" s="106" t="s">
        <v>1204</v>
      </c>
      <c r="J1" s="106" t="s">
        <v>1205</v>
      </c>
      <c r="K1" s="106" t="s">
        <v>1206</v>
      </c>
      <c r="L1" s="106" t="s">
        <v>1207</v>
      </c>
      <c r="M1" s="106" t="s">
        <v>1208</v>
      </c>
      <c r="N1" s="106" t="s">
        <v>1209</v>
      </c>
      <c r="P1" s="108" t="s">
        <v>1210</v>
      </c>
      <c r="Q1" s="108" t="s">
        <v>1211</v>
      </c>
      <c r="R1" s="108" t="s">
        <v>1212</v>
      </c>
      <c r="S1" s="108" t="s">
        <v>1213</v>
      </c>
      <c r="T1" s="108" t="s">
        <v>1214</v>
      </c>
      <c r="U1" s="108" t="s">
        <v>1215</v>
      </c>
      <c r="V1" s="112" t="s">
        <v>1216</v>
      </c>
      <c r="X1" s="108" t="s">
        <v>1217</v>
      </c>
    </row>
    <row r="2" spans="1:26" ht="15.75" thickTop="1">
      <c r="A2" t="s">
        <v>1218</v>
      </c>
      <c r="B2" t="s">
        <v>1219</v>
      </c>
      <c r="C2" s="105">
        <v>6540</v>
      </c>
      <c r="D2" s="105">
        <v>6680</v>
      </c>
      <c r="E2" s="107">
        <v>3985</v>
      </c>
      <c r="F2" s="107">
        <v>3818</v>
      </c>
      <c r="G2" s="107">
        <v>1140</v>
      </c>
      <c r="H2" s="107">
        <v>875</v>
      </c>
      <c r="I2" s="107">
        <v>265</v>
      </c>
      <c r="J2" s="107">
        <v>2678</v>
      </c>
      <c r="K2" s="107">
        <v>1462</v>
      </c>
      <c r="L2" s="107">
        <v>0</v>
      </c>
      <c r="M2" s="107">
        <v>1169</v>
      </c>
      <c r="N2" s="107">
        <v>47</v>
      </c>
      <c r="P2" s="110">
        <f t="shared" ref="P2:P34" si="0">H2/D2</f>
        <v>0.1309880239520958</v>
      </c>
      <c r="Q2" s="104">
        <f>C2/D2</f>
        <v>0.97904191616766467</v>
      </c>
      <c r="R2" s="111">
        <v>0.5</v>
      </c>
      <c r="S2" s="109">
        <f>P2/(Q2*R2+(1-Q2))</f>
        <v>0.25659824046920821</v>
      </c>
      <c r="T2" s="110">
        <f>S2*R2</f>
        <v>0.1282991202346041</v>
      </c>
      <c r="U2" s="110">
        <f>S2</f>
        <v>0.25659824046920821</v>
      </c>
      <c r="V2" s="113">
        <f>(T2*Q2+(1-Q2)*U2)-P2</f>
        <v>0</v>
      </c>
      <c r="X2" s="104">
        <f>G2/F2</f>
        <v>0.29858564693556838</v>
      </c>
      <c r="Z2" s="119"/>
    </row>
    <row r="3" spans="1:26">
      <c r="A3" t="s">
        <v>1220</v>
      </c>
      <c r="B3" t="s">
        <v>1221</v>
      </c>
      <c r="C3" s="105">
        <v>22380</v>
      </c>
      <c r="D3" s="105">
        <v>73350</v>
      </c>
      <c r="E3" s="107">
        <v>95567</v>
      </c>
      <c r="F3" s="107">
        <v>86072</v>
      </c>
      <c r="G3" s="107">
        <v>20391</v>
      </c>
      <c r="H3" s="107">
        <v>12307</v>
      </c>
      <c r="I3" s="107">
        <v>8084</v>
      </c>
      <c r="J3" s="107">
        <v>65681</v>
      </c>
      <c r="K3" s="107">
        <v>47687</v>
      </c>
      <c r="L3" s="107">
        <v>10678</v>
      </c>
      <c r="M3" s="107">
        <v>5081</v>
      </c>
      <c r="N3" s="107">
        <v>2235</v>
      </c>
      <c r="P3" s="110">
        <f t="shared" si="0"/>
        <v>0.16778459441036128</v>
      </c>
      <c r="Q3" s="104">
        <f t="shared" ref="Q3:Q34" si="1">C3/D3</f>
        <v>0.30511247443762779</v>
      </c>
      <c r="R3" s="111">
        <v>0.5</v>
      </c>
      <c r="S3" s="109">
        <f t="shared" ref="S3:S34" si="2">P3/(Q3*R3+(1-Q3))</f>
        <v>0.19798906048906048</v>
      </c>
      <c r="T3" s="110">
        <f t="shared" ref="T3:T34" si="3">S3*R3</f>
        <v>9.8994530244530241E-2</v>
      </c>
      <c r="U3" s="110">
        <f t="shared" ref="U3:U34" si="4">S3</f>
        <v>0.19798906048906048</v>
      </c>
      <c r="V3" s="113">
        <f t="shared" ref="V3:V34" si="5">(T3*Q3+(1-Q3)*U3)-P3</f>
        <v>0</v>
      </c>
      <c r="X3" s="104">
        <f t="shared" ref="X3:X34" si="6">G3/F3</f>
        <v>0.23690631099544568</v>
      </c>
      <c r="Z3" s="119"/>
    </row>
    <row r="4" spans="1:26">
      <c r="A4" t="s">
        <v>1222</v>
      </c>
      <c r="B4" t="s">
        <v>1223</v>
      </c>
      <c r="C4" s="105">
        <v>65160</v>
      </c>
      <c r="D4" s="105">
        <v>143990</v>
      </c>
      <c r="E4" s="107">
        <v>155299</v>
      </c>
      <c r="F4" s="107">
        <v>140316</v>
      </c>
      <c r="G4" s="107">
        <v>48578</v>
      </c>
      <c r="H4" s="107">
        <v>30544</v>
      </c>
      <c r="I4" s="107">
        <v>18034</v>
      </c>
      <c r="J4" s="107">
        <v>91739</v>
      </c>
      <c r="K4" s="107">
        <v>78302</v>
      </c>
      <c r="L4" s="107">
        <v>3921</v>
      </c>
      <c r="M4" s="107">
        <v>6833</v>
      </c>
      <c r="N4" s="107">
        <v>2682</v>
      </c>
      <c r="P4" s="110">
        <f t="shared" si="0"/>
        <v>0.21212584207236615</v>
      </c>
      <c r="Q4" s="104">
        <f t="shared" si="1"/>
        <v>0.4525314257934579</v>
      </c>
      <c r="R4" s="111">
        <v>0.5</v>
      </c>
      <c r="S4" s="109">
        <f t="shared" si="2"/>
        <v>0.27415851359842025</v>
      </c>
      <c r="T4" s="110">
        <f t="shared" si="3"/>
        <v>0.13707925679921013</v>
      </c>
      <c r="U4" s="110">
        <f t="shared" si="4"/>
        <v>0.27415851359842025</v>
      </c>
      <c r="V4" s="113">
        <f t="shared" si="5"/>
        <v>0</v>
      </c>
      <c r="X4" s="104">
        <f t="shared" si="6"/>
        <v>0.34620428176401835</v>
      </c>
      <c r="Z4" s="119"/>
    </row>
    <row r="5" spans="1:26">
      <c r="A5" t="s">
        <v>1224</v>
      </c>
      <c r="B5" t="s">
        <v>1225</v>
      </c>
      <c r="C5" s="105">
        <v>23510</v>
      </c>
      <c r="D5" s="105">
        <v>96400</v>
      </c>
      <c r="E5" s="107">
        <v>120247</v>
      </c>
      <c r="F5" s="107">
        <v>99516</v>
      </c>
      <c r="G5" s="107">
        <v>53865</v>
      </c>
      <c r="H5" s="107">
        <v>30975</v>
      </c>
      <c r="I5" s="107">
        <v>22890</v>
      </c>
      <c r="J5" s="107">
        <v>45651</v>
      </c>
      <c r="K5" s="107">
        <v>33529</v>
      </c>
      <c r="L5" s="107">
        <v>6961</v>
      </c>
      <c r="M5" s="107">
        <v>4865</v>
      </c>
      <c r="N5" s="107">
        <v>296</v>
      </c>
      <c r="P5" s="110">
        <f t="shared" si="0"/>
        <v>0.32131742738589214</v>
      </c>
      <c r="Q5" s="104">
        <f t="shared" si="1"/>
        <v>0.24387966804979253</v>
      </c>
      <c r="R5" s="111">
        <v>0.5</v>
      </c>
      <c r="S5" s="109">
        <f t="shared" si="2"/>
        <v>0.36594010278220807</v>
      </c>
      <c r="T5" s="110">
        <f t="shared" si="3"/>
        <v>0.18297005139110403</v>
      </c>
      <c r="U5" s="110">
        <f t="shared" si="4"/>
        <v>0.36594010278220807</v>
      </c>
      <c r="V5" s="113">
        <f t="shared" si="5"/>
        <v>0</v>
      </c>
      <c r="X5" s="104">
        <f t="shared" si="6"/>
        <v>0.54126974556855179</v>
      </c>
      <c r="Z5" s="119"/>
    </row>
    <row r="6" spans="1:26">
      <c r="A6" t="s">
        <v>1226</v>
      </c>
      <c r="B6" t="s">
        <v>1227</v>
      </c>
      <c r="C6" s="105">
        <v>64070</v>
      </c>
      <c r="D6" s="105">
        <v>114890</v>
      </c>
      <c r="E6" s="107">
        <v>107801</v>
      </c>
      <c r="F6" s="107">
        <v>94326</v>
      </c>
      <c r="G6" s="107">
        <v>34548</v>
      </c>
      <c r="H6" s="107">
        <v>22378</v>
      </c>
      <c r="I6" s="107">
        <v>12170</v>
      </c>
      <c r="J6" s="107">
        <v>59778</v>
      </c>
      <c r="K6" s="107">
        <v>51111</v>
      </c>
      <c r="L6" s="107">
        <v>1985</v>
      </c>
      <c r="M6" s="107">
        <v>3312</v>
      </c>
      <c r="N6" s="107">
        <v>3370</v>
      </c>
      <c r="P6" s="110">
        <f t="shared" si="0"/>
        <v>0.19477761336930977</v>
      </c>
      <c r="Q6" s="104">
        <f t="shared" si="1"/>
        <v>0.55766385238053795</v>
      </c>
      <c r="R6" s="111">
        <v>0.5</v>
      </c>
      <c r="S6" s="109">
        <f t="shared" si="2"/>
        <v>0.27008629533522416</v>
      </c>
      <c r="T6" s="110">
        <f t="shared" si="3"/>
        <v>0.13504314766761208</v>
      </c>
      <c r="U6" s="110">
        <f t="shared" si="4"/>
        <v>0.27008629533522416</v>
      </c>
      <c r="V6" s="113">
        <f t="shared" si="5"/>
        <v>0</v>
      </c>
      <c r="X6" s="104">
        <f t="shared" si="6"/>
        <v>0.36626168818777433</v>
      </c>
      <c r="Z6" s="119"/>
    </row>
    <row r="7" spans="1:26">
      <c r="A7" t="s">
        <v>1228</v>
      </c>
      <c r="B7" t="s">
        <v>1229</v>
      </c>
      <c r="C7" s="105">
        <v>41750</v>
      </c>
      <c r="D7" s="105">
        <v>137560</v>
      </c>
      <c r="E7" s="107">
        <v>140928</v>
      </c>
      <c r="F7" s="107">
        <v>119926</v>
      </c>
      <c r="G7" s="107">
        <v>60073</v>
      </c>
      <c r="H7" s="107">
        <v>32951</v>
      </c>
      <c r="I7" s="107">
        <v>27123</v>
      </c>
      <c r="J7" s="107">
        <v>59853</v>
      </c>
      <c r="K7" s="107">
        <v>47994</v>
      </c>
      <c r="L7" s="107">
        <v>1928</v>
      </c>
      <c r="M7" s="107">
        <v>8347</v>
      </c>
      <c r="N7" s="107">
        <v>1583</v>
      </c>
      <c r="P7" s="110">
        <f t="shared" si="0"/>
        <v>0.23953911020645535</v>
      </c>
      <c r="Q7" s="104">
        <f t="shared" si="1"/>
        <v>0.30350392555975575</v>
      </c>
      <c r="R7" s="111">
        <v>0.5</v>
      </c>
      <c r="S7" s="109">
        <f t="shared" si="2"/>
        <v>0.2823927668509234</v>
      </c>
      <c r="T7" s="110">
        <f t="shared" si="3"/>
        <v>0.1411963834254617</v>
      </c>
      <c r="U7" s="110">
        <f t="shared" si="4"/>
        <v>0.2823927668509234</v>
      </c>
      <c r="V7" s="113">
        <f t="shared" si="5"/>
        <v>0</v>
      </c>
      <c r="X7" s="104">
        <f t="shared" si="6"/>
        <v>0.50091723229324747</v>
      </c>
      <c r="Z7" s="119"/>
    </row>
    <row r="8" spans="1:26">
      <c r="A8" t="s">
        <v>1230</v>
      </c>
      <c r="B8" t="s">
        <v>1231</v>
      </c>
      <c r="C8" s="105">
        <v>91330</v>
      </c>
      <c r="D8" s="105">
        <v>106230</v>
      </c>
      <c r="E8" s="107">
        <v>102007</v>
      </c>
      <c r="F8" s="107">
        <v>56807</v>
      </c>
      <c r="G8" s="107">
        <v>17652</v>
      </c>
      <c r="H8" s="107">
        <v>13377</v>
      </c>
      <c r="I8" s="107">
        <v>4275</v>
      </c>
      <c r="J8" s="107">
        <v>39155</v>
      </c>
      <c r="K8" s="107">
        <v>28420</v>
      </c>
      <c r="L8" s="107">
        <v>1255</v>
      </c>
      <c r="M8" s="107">
        <v>6570</v>
      </c>
      <c r="N8" s="107">
        <v>2911</v>
      </c>
      <c r="P8" s="110">
        <f t="shared" si="0"/>
        <v>0.12592487997740751</v>
      </c>
      <c r="Q8" s="104">
        <f t="shared" si="1"/>
        <v>0.85973830368069282</v>
      </c>
      <c r="R8" s="111">
        <v>0.5</v>
      </c>
      <c r="S8" s="109">
        <f t="shared" si="2"/>
        <v>0.22087013951952444</v>
      </c>
      <c r="T8" s="110">
        <f t="shared" si="3"/>
        <v>0.11043506975976222</v>
      </c>
      <c r="U8" s="110">
        <f t="shared" si="4"/>
        <v>0.22087013951952444</v>
      </c>
      <c r="V8" s="113">
        <f t="shared" si="5"/>
        <v>0</v>
      </c>
      <c r="X8" s="104">
        <f t="shared" si="6"/>
        <v>0.3107363529142535</v>
      </c>
      <c r="Z8" s="119"/>
    </row>
    <row r="9" spans="1:26">
      <c r="A9" t="s">
        <v>1232</v>
      </c>
      <c r="B9" t="s">
        <v>1233</v>
      </c>
      <c r="C9" s="105">
        <v>55860</v>
      </c>
      <c r="D9" s="105">
        <v>150680</v>
      </c>
      <c r="E9" s="107">
        <v>163861</v>
      </c>
      <c r="F9" s="107">
        <v>127946</v>
      </c>
      <c r="G9" s="107">
        <v>60566</v>
      </c>
      <c r="H9" s="107">
        <v>31841</v>
      </c>
      <c r="I9" s="107">
        <v>28725</v>
      </c>
      <c r="J9" s="107">
        <v>67380</v>
      </c>
      <c r="K9" s="107">
        <v>54786</v>
      </c>
      <c r="L9" s="107">
        <v>7760</v>
      </c>
      <c r="M9" s="107">
        <v>3329</v>
      </c>
      <c r="N9" s="107">
        <v>1506</v>
      </c>
      <c r="P9" s="110">
        <f t="shared" si="0"/>
        <v>0.21131537032121051</v>
      </c>
      <c r="Q9" s="104">
        <f t="shared" si="1"/>
        <v>0.37071940536235731</v>
      </c>
      <c r="R9" s="111">
        <v>0.5</v>
      </c>
      <c r="S9" s="109">
        <f t="shared" si="2"/>
        <v>0.25939714867617109</v>
      </c>
      <c r="T9" s="110">
        <f t="shared" si="3"/>
        <v>0.12969857433808554</v>
      </c>
      <c r="U9" s="110">
        <f t="shared" si="4"/>
        <v>0.25939714867617109</v>
      </c>
      <c r="V9" s="113">
        <f t="shared" si="5"/>
        <v>0</v>
      </c>
      <c r="X9" s="104">
        <f t="shared" si="6"/>
        <v>0.47337157863473656</v>
      </c>
      <c r="Z9" s="119"/>
    </row>
    <row r="10" spans="1:26">
      <c r="A10" t="s">
        <v>1234</v>
      </c>
      <c r="B10" t="s">
        <v>1235</v>
      </c>
      <c r="C10" s="105">
        <v>63630</v>
      </c>
      <c r="D10" s="105">
        <v>132190</v>
      </c>
      <c r="E10" s="107">
        <v>119074</v>
      </c>
      <c r="F10" s="107">
        <v>81369</v>
      </c>
      <c r="G10" s="107">
        <v>42778</v>
      </c>
      <c r="H10" s="107">
        <v>28872</v>
      </c>
      <c r="I10" s="107">
        <v>13906</v>
      </c>
      <c r="J10" s="107">
        <v>38591</v>
      </c>
      <c r="K10" s="107">
        <v>28129</v>
      </c>
      <c r="L10" s="107">
        <v>6776</v>
      </c>
      <c r="M10" s="107">
        <v>1248</v>
      </c>
      <c r="N10" s="107">
        <v>2438</v>
      </c>
      <c r="P10" s="110">
        <f t="shared" si="0"/>
        <v>0.21841289053634919</v>
      </c>
      <c r="Q10" s="104">
        <f t="shared" si="1"/>
        <v>0.48135259853241547</v>
      </c>
      <c r="R10" s="111">
        <v>0.5</v>
      </c>
      <c r="S10" s="109">
        <f t="shared" si="2"/>
        <v>0.28764134495641341</v>
      </c>
      <c r="T10" s="110">
        <f t="shared" si="3"/>
        <v>0.14382067247820671</v>
      </c>
      <c r="U10" s="110">
        <f t="shared" si="4"/>
        <v>0.28764134495641341</v>
      </c>
      <c r="V10" s="113">
        <f t="shared" si="5"/>
        <v>0</v>
      </c>
      <c r="X10" s="104">
        <f t="shared" si="6"/>
        <v>0.52572847153092706</v>
      </c>
      <c r="Z10" s="119"/>
    </row>
    <row r="11" spans="1:26">
      <c r="A11" t="s">
        <v>1236</v>
      </c>
      <c r="B11" t="s">
        <v>1237</v>
      </c>
      <c r="C11" s="105">
        <v>48010</v>
      </c>
      <c r="D11" s="105">
        <v>122990</v>
      </c>
      <c r="E11" s="107">
        <v>131947</v>
      </c>
      <c r="F11" s="107">
        <v>118449</v>
      </c>
      <c r="G11" s="107">
        <v>39562</v>
      </c>
      <c r="H11" s="107">
        <v>23408</v>
      </c>
      <c r="I11" s="107">
        <v>16153</v>
      </c>
      <c r="J11" s="107">
        <v>78888</v>
      </c>
      <c r="K11" s="107">
        <v>65712</v>
      </c>
      <c r="L11" s="107">
        <v>120</v>
      </c>
      <c r="M11" s="107">
        <v>10890</v>
      </c>
      <c r="N11" s="107">
        <v>2165</v>
      </c>
      <c r="P11" s="110">
        <f t="shared" si="0"/>
        <v>0.19032441661923732</v>
      </c>
      <c r="Q11" s="104">
        <f t="shared" si="1"/>
        <v>0.39035693958858442</v>
      </c>
      <c r="R11" s="111">
        <v>0.5</v>
      </c>
      <c r="S11" s="109">
        <f t="shared" si="2"/>
        <v>0.23648027478910943</v>
      </c>
      <c r="T11" s="110">
        <f t="shared" si="3"/>
        <v>0.11824013739455472</v>
      </c>
      <c r="U11" s="110">
        <f t="shared" si="4"/>
        <v>0.23648027478910943</v>
      </c>
      <c r="V11" s="113">
        <f t="shared" si="5"/>
        <v>0</v>
      </c>
      <c r="X11" s="104">
        <f t="shared" si="6"/>
        <v>0.33400028704336887</v>
      </c>
      <c r="Z11" s="119"/>
    </row>
    <row r="12" spans="1:26">
      <c r="A12" t="s">
        <v>1238</v>
      </c>
      <c r="B12" t="s">
        <v>1239</v>
      </c>
      <c r="C12" s="105">
        <v>52460</v>
      </c>
      <c r="D12" s="105">
        <v>108690</v>
      </c>
      <c r="E12" s="107">
        <v>119597</v>
      </c>
      <c r="F12" s="107">
        <v>107052</v>
      </c>
      <c r="G12" s="107">
        <v>35765</v>
      </c>
      <c r="H12" s="107">
        <v>21020</v>
      </c>
      <c r="I12" s="107">
        <v>14745</v>
      </c>
      <c r="J12" s="107">
        <v>71287</v>
      </c>
      <c r="K12" s="107">
        <v>59044</v>
      </c>
      <c r="L12" s="107">
        <v>3874</v>
      </c>
      <c r="M12" s="107">
        <v>5469</v>
      </c>
      <c r="N12" s="107">
        <v>2901</v>
      </c>
      <c r="P12" s="110">
        <f t="shared" si="0"/>
        <v>0.19339405649093752</v>
      </c>
      <c r="Q12" s="104">
        <f t="shared" si="1"/>
        <v>0.48265709816910479</v>
      </c>
      <c r="R12" s="111">
        <v>0.5</v>
      </c>
      <c r="S12" s="109">
        <f t="shared" si="2"/>
        <v>0.25491147222895949</v>
      </c>
      <c r="T12" s="110">
        <f t="shared" si="3"/>
        <v>0.12745573611447975</v>
      </c>
      <c r="U12" s="110">
        <f t="shared" si="4"/>
        <v>0.25491147222895949</v>
      </c>
      <c r="V12" s="113">
        <f t="shared" si="5"/>
        <v>0</v>
      </c>
      <c r="X12" s="104">
        <f t="shared" si="6"/>
        <v>0.33408997496543735</v>
      </c>
      <c r="Z12" s="119"/>
    </row>
    <row r="13" spans="1:26">
      <c r="A13" t="s">
        <v>1240</v>
      </c>
      <c r="B13" t="s">
        <v>4</v>
      </c>
      <c r="C13" s="105">
        <v>86820</v>
      </c>
      <c r="D13" s="105">
        <v>108650</v>
      </c>
      <c r="E13" s="107">
        <v>120926</v>
      </c>
      <c r="F13" s="107">
        <v>83658</v>
      </c>
      <c r="G13" s="107">
        <v>23364</v>
      </c>
      <c r="H13" s="107">
        <v>17167</v>
      </c>
      <c r="I13" s="107">
        <v>6196</v>
      </c>
      <c r="J13" s="107">
        <v>60294</v>
      </c>
      <c r="K13" s="107">
        <v>51706</v>
      </c>
      <c r="L13" s="107">
        <v>647</v>
      </c>
      <c r="M13" s="107">
        <v>6284</v>
      </c>
      <c r="N13" s="107">
        <v>1657</v>
      </c>
      <c r="P13" s="110">
        <f t="shared" si="0"/>
        <v>0.15800276115968706</v>
      </c>
      <c r="Q13" s="104">
        <f t="shared" si="1"/>
        <v>0.79907961343764378</v>
      </c>
      <c r="R13" s="111">
        <v>0.5</v>
      </c>
      <c r="S13" s="109">
        <f t="shared" si="2"/>
        <v>0.26313611281422433</v>
      </c>
      <c r="T13" s="110">
        <f t="shared" si="3"/>
        <v>0.13156805640711217</v>
      </c>
      <c r="U13" s="110">
        <f t="shared" si="4"/>
        <v>0.26313611281422433</v>
      </c>
      <c r="V13" s="113">
        <f t="shared" si="5"/>
        <v>0</v>
      </c>
      <c r="X13" s="104">
        <f t="shared" si="6"/>
        <v>0.27927992541060032</v>
      </c>
      <c r="Z13" s="119"/>
    </row>
    <row r="14" spans="1:26">
      <c r="A14" t="s">
        <v>1241</v>
      </c>
      <c r="B14" t="s">
        <v>1242</v>
      </c>
      <c r="C14" s="105">
        <v>62330</v>
      </c>
      <c r="D14" s="105">
        <v>85150</v>
      </c>
      <c r="E14" s="107">
        <v>71388</v>
      </c>
      <c r="F14" s="107">
        <v>47075</v>
      </c>
      <c r="G14" s="107">
        <v>11184</v>
      </c>
      <c r="H14" s="107">
        <v>10309</v>
      </c>
      <c r="I14" s="107">
        <v>875</v>
      </c>
      <c r="J14" s="107">
        <v>35891</v>
      </c>
      <c r="K14" s="107">
        <v>33674</v>
      </c>
      <c r="L14" s="107">
        <v>0</v>
      </c>
      <c r="M14" s="107">
        <v>601</v>
      </c>
      <c r="N14" s="107">
        <v>1616</v>
      </c>
      <c r="P14" s="110">
        <f t="shared" si="0"/>
        <v>0.12106870229007634</v>
      </c>
      <c r="Q14" s="104">
        <f t="shared" si="1"/>
        <v>0.73200234879624193</v>
      </c>
      <c r="R14" s="111">
        <v>0.5</v>
      </c>
      <c r="S14" s="109">
        <f t="shared" si="2"/>
        <v>0.19096045197740114</v>
      </c>
      <c r="T14" s="110">
        <f t="shared" si="3"/>
        <v>9.5480225988700568E-2</v>
      </c>
      <c r="U14" s="110">
        <f t="shared" si="4"/>
        <v>0.19096045197740114</v>
      </c>
      <c r="V14" s="113">
        <f t="shared" si="5"/>
        <v>0</v>
      </c>
      <c r="X14" s="104">
        <f t="shared" si="6"/>
        <v>0.23757833244822094</v>
      </c>
      <c r="Z14" s="119"/>
    </row>
    <row r="15" spans="1:26">
      <c r="A15" t="s">
        <v>1243</v>
      </c>
      <c r="B15" t="s">
        <v>1244</v>
      </c>
      <c r="C15" s="105">
        <v>64980</v>
      </c>
      <c r="D15" s="105">
        <v>106650</v>
      </c>
      <c r="E15" s="107">
        <v>100887</v>
      </c>
      <c r="F15" s="107">
        <v>81402</v>
      </c>
      <c r="G15" s="107">
        <v>23839</v>
      </c>
      <c r="H15" s="107">
        <v>17453</v>
      </c>
      <c r="I15" s="107">
        <v>6385</v>
      </c>
      <c r="J15" s="107">
        <v>57563</v>
      </c>
      <c r="K15" s="107">
        <v>46842</v>
      </c>
      <c r="L15" s="107">
        <v>2387</v>
      </c>
      <c r="M15" s="107">
        <v>4514</v>
      </c>
      <c r="N15" s="107">
        <v>3820</v>
      </c>
      <c r="P15" s="110">
        <f t="shared" si="0"/>
        <v>0.16364744491326769</v>
      </c>
      <c r="Q15" s="104">
        <f t="shared" si="1"/>
        <v>0.60928270042194088</v>
      </c>
      <c r="R15" s="111">
        <v>0.5</v>
      </c>
      <c r="S15" s="109">
        <f t="shared" si="2"/>
        <v>0.2353425026968716</v>
      </c>
      <c r="T15" s="110">
        <f t="shared" si="3"/>
        <v>0.1176712513484358</v>
      </c>
      <c r="U15" s="110">
        <f t="shared" si="4"/>
        <v>0.2353425026968716</v>
      </c>
      <c r="V15" s="113">
        <f t="shared" si="5"/>
        <v>0</v>
      </c>
      <c r="X15" s="104">
        <f t="shared" si="6"/>
        <v>0.29285521240264367</v>
      </c>
      <c r="Z15" s="119"/>
    </row>
    <row r="16" spans="1:26">
      <c r="A16" t="s">
        <v>1245</v>
      </c>
      <c r="B16" t="s">
        <v>1246</v>
      </c>
      <c r="C16" s="105">
        <v>28760</v>
      </c>
      <c r="D16" s="105">
        <v>88360</v>
      </c>
      <c r="E16" s="107">
        <v>98100</v>
      </c>
      <c r="F16" s="107">
        <v>89640</v>
      </c>
      <c r="G16" s="107">
        <v>36056</v>
      </c>
      <c r="H16" s="107">
        <v>18065</v>
      </c>
      <c r="I16" s="107">
        <v>17991</v>
      </c>
      <c r="J16" s="107">
        <v>53584</v>
      </c>
      <c r="K16" s="107">
        <v>41372</v>
      </c>
      <c r="L16" s="107">
        <v>8827</v>
      </c>
      <c r="M16" s="107">
        <v>4341</v>
      </c>
      <c r="N16" s="107">
        <v>-955</v>
      </c>
      <c r="P16" s="110">
        <f t="shared" si="0"/>
        <v>0.20444771389769126</v>
      </c>
      <c r="Q16" s="104">
        <f t="shared" si="1"/>
        <v>0.32548664554096879</v>
      </c>
      <c r="R16" s="111">
        <v>0.5</v>
      </c>
      <c r="S16" s="109">
        <f t="shared" si="2"/>
        <v>0.24418761827520952</v>
      </c>
      <c r="T16" s="110">
        <f t="shared" si="3"/>
        <v>0.12209380913760476</v>
      </c>
      <c r="U16" s="110">
        <f t="shared" si="4"/>
        <v>0.24418761827520952</v>
      </c>
      <c r="V16" s="113">
        <f t="shared" si="5"/>
        <v>0</v>
      </c>
      <c r="X16" s="104">
        <f t="shared" si="6"/>
        <v>0.40223114680946004</v>
      </c>
      <c r="Z16" s="119"/>
    </row>
    <row r="17" spans="1:26">
      <c r="A17" t="s">
        <v>1247</v>
      </c>
      <c r="B17" t="s">
        <v>1248</v>
      </c>
      <c r="C17" s="105">
        <v>23390</v>
      </c>
      <c r="D17" s="105">
        <v>102570</v>
      </c>
      <c r="E17" s="107">
        <v>109470</v>
      </c>
      <c r="F17" s="107">
        <v>102204</v>
      </c>
      <c r="G17" s="107">
        <v>38256</v>
      </c>
      <c r="H17" s="107">
        <v>23649</v>
      </c>
      <c r="I17" s="107">
        <v>14607</v>
      </c>
      <c r="J17" s="107">
        <v>63948</v>
      </c>
      <c r="K17" s="107">
        <v>48067</v>
      </c>
      <c r="L17" s="107">
        <v>9965</v>
      </c>
      <c r="M17" s="107">
        <v>4167</v>
      </c>
      <c r="N17" s="107">
        <v>1749</v>
      </c>
      <c r="P17" s="110">
        <f t="shared" si="0"/>
        <v>0.23056449254167885</v>
      </c>
      <c r="Q17" s="104">
        <f t="shared" si="1"/>
        <v>0.22803938773520521</v>
      </c>
      <c r="R17" s="111">
        <v>0.5</v>
      </c>
      <c r="S17" s="109">
        <f t="shared" si="2"/>
        <v>0.26023658872077027</v>
      </c>
      <c r="T17" s="110">
        <f t="shared" si="3"/>
        <v>0.13011829436038513</v>
      </c>
      <c r="U17" s="110">
        <f t="shared" si="4"/>
        <v>0.26023658872077027</v>
      </c>
      <c r="V17" s="113">
        <f t="shared" si="5"/>
        <v>0</v>
      </c>
      <c r="X17" s="104">
        <f t="shared" si="6"/>
        <v>0.37431020312316543</v>
      </c>
      <c r="Z17" s="119"/>
    </row>
    <row r="18" spans="1:26">
      <c r="A18" t="s">
        <v>1249</v>
      </c>
      <c r="B18" t="s">
        <v>1250</v>
      </c>
      <c r="C18" s="105">
        <v>31590</v>
      </c>
      <c r="D18" s="105">
        <v>108510</v>
      </c>
      <c r="E18" s="107">
        <v>124180</v>
      </c>
      <c r="F18" s="107">
        <v>99802</v>
      </c>
      <c r="G18" s="107">
        <v>36583</v>
      </c>
      <c r="H18" s="107">
        <v>18769</v>
      </c>
      <c r="I18" s="107">
        <v>17814</v>
      </c>
      <c r="J18" s="107">
        <v>63219</v>
      </c>
      <c r="K18" s="107">
        <v>47803</v>
      </c>
      <c r="L18" s="107">
        <v>9763</v>
      </c>
      <c r="M18" s="107">
        <v>3276</v>
      </c>
      <c r="N18" s="107">
        <v>2377</v>
      </c>
      <c r="P18" s="110">
        <f t="shared" si="0"/>
        <v>0.17297023315823426</v>
      </c>
      <c r="Q18" s="104">
        <f t="shared" si="1"/>
        <v>0.29112524191318773</v>
      </c>
      <c r="R18" s="111">
        <v>0.5</v>
      </c>
      <c r="S18" s="109">
        <f t="shared" si="2"/>
        <v>0.20243757752251523</v>
      </c>
      <c r="T18" s="110">
        <f t="shared" si="3"/>
        <v>0.10121878876125762</v>
      </c>
      <c r="U18" s="110">
        <f t="shared" si="4"/>
        <v>0.20243757752251523</v>
      </c>
      <c r="V18" s="113">
        <f t="shared" si="5"/>
        <v>0</v>
      </c>
      <c r="X18" s="104">
        <f t="shared" si="6"/>
        <v>0.36655578044528164</v>
      </c>
      <c r="Z18" s="119"/>
    </row>
    <row r="19" spans="1:26">
      <c r="A19" t="s">
        <v>1251</v>
      </c>
      <c r="B19" t="s">
        <v>1252</v>
      </c>
      <c r="C19" s="105">
        <v>43220</v>
      </c>
      <c r="D19" s="105">
        <v>99090</v>
      </c>
      <c r="E19" s="107">
        <v>98003</v>
      </c>
      <c r="F19" s="107">
        <v>85930</v>
      </c>
      <c r="G19" s="107">
        <v>26955</v>
      </c>
      <c r="H19" s="107">
        <v>16863</v>
      </c>
      <c r="I19" s="107">
        <v>10092</v>
      </c>
      <c r="J19" s="107">
        <v>58975</v>
      </c>
      <c r="K19" s="107">
        <v>45203</v>
      </c>
      <c r="L19" s="107">
        <v>8262</v>
      </c>
      <c r="M19" s="107">
        <v>2802</v>
      </c>
      <c r="N19" s="107">
        <v>2708</v>
      </c>
      <c r="P19" s="110">
        <f t="shared" si="0"/>
        <v>0.17017862549197699</v>
      </c>
      <c r="Q19" s="104">
        <f t="shared" si="1"/>
        <v>0.43616913916641437</v>
      </c>
      <c r="R19" s="111">
        <v>0.5</v>
      </c>
      <c r="S19" s="109">
        <f t="shared" si="2"/>
        <v>0.21764326277749096</v>
      </c>
      <c r="T19" s="110">
        <f t="shared" si="3"/>
        <v>0.10882163138874548</v>
      </c>
      <c r="U19" s="110">
        <f t="shared" si="4"/>
        <v>0.21764326277749096</v>
      </c>
      <c r="V19" s="113">
        <f t="shared" si="5"/>
        <v>0</v>
      </c>
      <c r="X19" s="104">
        <f t="shared" si="6"/>
        <v>0.31368555801233561</v>
      </c>
      <c r="Z19" s="119"/>
    </row>
    <row r="20" spans="1:26">
      <c r="A20" t="s">
        <v>1253</v>
      </c>
      <c r="B20" t="s">
        <v>1254</v>
      </c>
      <c r="C20" s="105">
        <v>86820</v>
      </c>
      <c r="D20" s="105">
        <v>105370</v>
      </c>
      <c r="E20" s="107">
        <v>101252</v>
      </c>
      <c r="F20" s="107">
        <v>55539</v>
      </c>
      <c r="G20" s="107">
        <v>16104</v>
      </c>
      <c r="H20" s="107">
        <v>11764</v>
      </c>
      <c r="I20" s="107">
        <v>4340</v>
      </c>
      <c r="J20" s="107">
        <v>39435</v>
      </c>
      <c r="K20" s="107">
        <v>25745</v>
      </c>
      <c r="L20" s="107">
        <v>1506</v>
      </c>
      <c r="M20" s="107">
        <v>9993</v>
      </c>
      <c r="N20" s="107">
        <v>2192</v>
      </c>
      <c r="P20" s="110">
        <f t="shared" si="0"/>
        <v>0.11164468064914113</v>
      </c>
      <c r="Q20" s="104">
        <f t="shared" si="1"/>
        <v>0.82395368700768723</v>
      </c>
      <c r="R20" s="111">
        <v>0.5</v>
      </c>
      <c r="S20" s="109">
        <f t="shared" si="2"/>
        <v>0.18986442866365397</v>
      </c>
      <c r="T20" s="110">
        <f t="shared" si="3"/>
        <v>9.4932214331826983E-2</v>
      </c>
      <c r="U20" s="110">
        <f t="shared" si="4"/>
        <v>0.18986442866365397</v>
      </c>
      <c r="V20" s="113">
        <f t="shared" si="5"/>
        <v>0</v>
      </c>
      <c r="X20" s="104">
        <f t="shared" si="6"/>
        <v>0.28995840760546643</v>
      </c>
      <c r="Z20" s="119"/>
    </row>
    <row r="21" spans="1:26">
      <c r="A21" t="s">
        <v>1255</v>
      </c>
      <c r="B21" t="s">
        <v>1256</v>
      </c>
      <c r="C21" s="105">
        <v>71770</v>
      </c>
      <c r="D21" s="105">
        <v>88110</v>
      </c>
      <c r="E21" s="107">
        <v>78780</v>
      </c>
      <c r="F21" s="107">
        <v>52817</v>
      </c>
      <c r="G21" s="107">
        <v>14239</v>
      </c>
      <c r="H21" s="107">
        <v>12669</v>
      </c>
      <c r="I21" s="107">
        <v>1570</v>
      </c>
      <c r="J21" s="107">
        <v>38579</v>
      </c>
      <c r="K21" s="107">
        <v>36557</v>
      </c>
      <c r="L21" s="107">
        <v>0</v>
      </c>
      <c r="M21" s="107">
        <v>585</v>
      </c>
      <c r="N21" s="107">
        <v>1437</v>
      </c>
      <c r="P21" s="110">
        <f t="shared" si="0"/>
        <v>0.14378617637044602</v>
      </c>
      <c r="Q21" s="104">
        <f t="shared" si="1"/>
        <v>0.8145499943252752</v>
      </c>
      <c r="R21" s="111">
        <v>0.5</v>
      </c>
      <c r="S21" s="109">
        <f t="shared" si="2"/>
        <v>0.24258496888463377</v>
      </c>
      <c r="T21" s="110">
        <f t="shared" si="3"/>
        <v>0.12129248444231688</v>
      </c>
      <c r="U21" s="110">
        <f t="shared" si="4"/>
        <v>0.24258496888463377</v>
      </c>
      <c r="V21" s="113">
        <f t="shared" si="5"/>
        <v>0</v>
      </c>
      <c r="X21" s="104">
        <f t="shared" si="6"/>
        <v>0.26959123009637048</v>
      </c>
      <c r="Z21" s="119"/>
    </row>
    <row r="22" spans="1:26">
      <c r="A22" t="s">
        <v>1257</v>
      </c>
      <c r="B22" t="s">
        <v>1258</v>
      </c>
      <c r="C22" s="105">
        <v>25240</v>
      </c>
      <c r="D22" s="105">
        <v>65950</v>
      </c>
      <c r="E22" s="107">
        <v>64003</v>
      </c>
      <c r="F22" s="107">
        <v>61219</v>
      </c>
      <c r="G22" s="107">
        <v>30249</v>
      </c>
      <c r="H22" s="107">
        <v>18125</v>
      </c>
      <c r="I22" s="107">
        <v>12124</v>
      </c>
      <c r="J22" s="107">
        <v>30970</v>
      </c>
      <c r="K22" s="107">
        <v>25511</v>
      </c>
      <c r="L22" s="107">
        <v>2813</v>
      </c>
      <c r="M22" s="107">
        <v>2047</v>
      </c>
      <c r="N22" s="107">
        <v>598</v>
      </c>
      <c r="P22" s="110">
        <f t="shared" si="0"/>
        <v>0.27482941622441243</v>
      </c>
      <c r="Q22" s="104">
        <f t="shared" si="1"/>
        <v>0.3827141774071266</v>
      </c>
      <c r="R22" s="111">
        <v>0.5</v>
      </c>
      <c r="S22" s="109">
        <f t="shared" si="2"/>
        <v>0.33986499156197258</v>
      </c>
      <c r="T22" s="110">
        <f t="shared" si="3"/>
        <v>0.16993249578098629</v>
      </c>
      <c r="U22" s="110">
        <f t="shared" si="4"/>
        <v>0.33986499156197258</v>
      </c>
      <c r="V22" s="113">
        <f t="shared" si="5"/>
        <v>0</v>
      </c>
      <c r="X22" s="104">
        <f t="shared" si="6"/>
        <v>0.49411130531370978</v>
      </c>
      <c r="Z22" s="119"/>
    </row>
    <row r="23" spans="1:26">
      <c r="A23" t="s">
        <v>1259</v>
      </c>
      <c r="B23" t="s">
        <v>1260</v>
      </c>
      <c r="C23" s="105">
        <v>102880</v>
      </c>
      <c r="D23" s="105">
        <v>137960</v>
      </c>
      <c r="E23" s="107">
        <v>118490</v>
      </c>
      <c r="F23" s="107">
        <v>80966</v>
      </c>
      <c r="G23" s="107">
        <v>24400</v>
      </c>
      <c r="H23" s="107">
        <v>18831</v>
      </c>
      <c r="I23" s="107">
        <v>5569</v>
      </c>
      <c r="J23" s="107">
        <v>56567</v>
      </c>
      <c r="K23" s="107">
        <v>52067</v>
      </c>
      <c r="L23" s="107">
        <v>0</v>
      </c>
      <c r="M23" s="107">
        <v>1250</v>
      </c>
      <c r="N23" s="107">
        <v>3249</v>
      </c>
      <c r="P23" s="110">
        <f t="shared" si="0"/>
        <v>0.13649608582197739</v>
      </c>
      <c r="Q23" s="104">
        <f t="shared" si="1"/>
        <v>0.74572339808640187</v>
      </c>
      <c r="R23" s="111">
        <v>0.5</v>
      </c>
      <c r="S23" s="109">
        <f t="shared" si="2"/>
        <v>0.21764909847434122</v>
      </c>
      <c r="T23" s="110">
        <f t="shared" si="3"/>
        <v>0.10882454923717061</v>
      </c>
      <c r="U23" s="110">
        <f t="shared" si="4"/>
        <v>0.21764909847434122</v>
      </c>
      <c r="V23" s="113">
        <f t="shared" si="5"/>
        <v>0</v>
      </c>
      <c r="X23" s="104">
        <f t="shared" si="6"/>
        <v>0.30136106513845318</v>
      </c>
      <c r="Z23" s="119"/>
    </row>
    <row r="24" spans="1:26">
      <c r="A24" t="s">
        <v>1261</v>
      </c>
      <c r="B24" t="s">
        <v>1262</v>
      </c>
      <c r="C24" s="105">
        <v>67190</v>
      </c>
      <c r="D24" s="105">
        <v>122160</v>
      </c>
      <c r="E24" s="107">
        <v>117583</v>
      </c>
      <c r="F24" s="107">
        <v>96775</v>
      </c>
      <c r="G24" s="107">
        <v>27108</v>
      </c>
      <c r="H24" s="107">
        <v>15227</v>
      </c>
      <c r="I24" s="107">
        <v>11881</v>
      </c>
      <c r="J24" s="107">
        <v>69667</v>
      </c>
      <c r="K24" s="107">
        <v>55746</v>
      </c>
      <c r="L24" s="107">
        <v>4131</v>
      </c>
      <c r="M24" s="107">
        <v>7896</v>
      </c>
      <c r="N24" s="107">
        <v>1894</v>
      </c>
      <c r="P24" s="110">
        <f t="shared" si="0"/>
        <v>0.12464800261951539</v>
      </c>
      <c r="Q24" s="104">
        <f t="shared" si="1"/>
        <v>0.55001637197118536</v>
      </c>
      <c r="R24" s="111">
        <v>0.5</v>
      </c>
      <c r="S24" s="109">
        <f t="shared" si="2"/>
        <v>0.17193022074182804</v>
      </c>
      <c r="T24" s="110">
        <f t="shared" si="3"/>
        <v>8.5965110370914019E-2</v>
      </c>
      <c r="U24" s="110">
        <f t="shared" si="4"/>
        <v>0.17193022074182804</v>
      </c>
      <c r="V24" s="113">
        <f t="shared" si="5"/>
        <v>0</v>
      </c>
      <c r="X24" s="104">
        <f t="shared" si="6"/>
        <v>0.28011366571945234</v>
      </c>
      <c r="Z24" s="119"/>
    </row>
    <row r="25" spans="1:26">
      <c r="A25" t="s">
        <v>1263</v>
      </c>
      <c r="B25" t="s">
        <v>1264</v>
      </c>
      <c r="C25" s="105">
        <v>32090</v>
      </c>
      <c r="D25" s="105">
        <v>82850</v>
      </c>
      <c r="E25" s="107">
        <v>80346</v>
      </c>
      <c r="F25" s="107">
        <v>70258</v>
      </c>
      <c r="G25" s="107">
        <v>27052</v>
      </c>
      <c r="H25" s="107">
        <v>18286</v>
      </c>
      <c r="I25" s="107">
        <v>8765</v>
      </c>
      <c r="J25" s="107">
        <v>43206</v>
      </c>
      <c r="K25" s="107">
        <v>38534</v>
      </c>
      <c r="L25" s="107">
        <v>2278</v>
      </c>
      <c r="M25" s="107">
        <v>1640</v>
      </c>
      <c r="N25" s="107">
        <v>755</v>
      </c>
      <c r="P25" s="110">
        <f t="shared" si="0"/>
        <v>0.22071213035606518</v>
      </c>
      <c r="Q25" s="104">
        <f t="shared" si="1"/>
        <v>0.38732649366324684</v>
      </c>
      <c r="R25" s="111">
        <v>0.5</v>
      </c>
      <c r="S25" s="109">
        <f t="shared" si="2"/>
        <v>0.27372202679440161</v>
      </c>
      <c r="T25" s="110">
        <f t="shared" si="3"/>
        <v>0.1368610133972008</v>
      </c>
      <c r="U25" s="110">
        <f t="shared" si="4"/>
        <v>0.27372202679440161</v>
      </c>
      <c r="V25" s="113">
        <f t="shared" si="5"/>
        <v>0</v>
      </c>
      <c r="X25" s="104">
        <f t="shared" si="6"/>
        <v>0.38503800278971789</v>
      </c>
      <c r="Z25" s="119"/>
    </row>
    <row r="26" spans="1:26">
      <c r="A26" t="s">
        <v>1265</v>
      </c>
      <c r="B26" t="s">
        <v>1266</v>
      </c>
      <c r="C26" s="105">
        <v>55320</v>
      </c>
      <c r="D26" s="105">
        <v>109620</v>
      </c>
      <c r="E26" s="107">
        <v>129399</v>
      </c>
      <c r="F26" s="107">
        <v>120309</v>
      </c>
      <c r="G26" s="107">
        <v>20374</v>
      </c>
      <c r="H26" s="107">
        <v>15740</v>
      </c>
      <c r="I26" s="107">
        <v>4634</v>
      </c>
      <c r="J26" s="107">
        <v>99936</v>
      </c>
      <c r="K26" s="107">
        <v>75665</v>
      </c>
      <c r="L26" s="107">
        <v>8846</v>
      </c>
      <c r="M26" s="107">
        <v>11140</v>
      </c>
      <c r="N26" s="107">
        <v>4285</v>
      </c>
      <c r="P26" s="110">
        <f t="shared" si="0"/>
        <v>0.14358693669038497</v>
      </c>
      <c r="Q26" s="104">
        <f t="shared" si="1"/>
        <v>0.50465243568691842</v>
      </c>
      <c r="R26" s="111">
        <v>0.5</v>
      </c>
      <c r="S26" s="109">
        <f t="shared" si="2"/>
        <v>0.1920448999511957</v>
      </c>
      <c r="T26" s="110">
        <f t="shared" si="3"/>
        <v>9.6022449975597848E-2</v>
      </c>
      <c r="U26" s="110">
        <f t="shared" si="4"/>
        <v>0.1920448999511957</v>
      </c>
      <c r="V26" s="113">
        <f t="shared" si="5"/>
        <v>0</v>
      </c>
      <c r="X26" s="104">
        <f t="shared" si="6"/>
        <v>0.16934726412820322</v>
      </c>
      <c r="Z26" s="119"/>
    </row>
    <row r="27" spans="1:26">
      <c r="A27" t="s">
        <v>1267</v>
      </c>
      <c r="B27" t="s">
        <v>1268</v>
      </c>
      <c r="C27" s="105">
        <v>33480</v>
      </c>
      <c r="D27" s="105">
        <v>102250</v>
      </c>
      <c r="E27" s="107">
        <v>112983</v>
      </c>
      <c r="F27" s="107">
        <v>106128</v>
      </c>
      <c r="G27" s="107">
        <v>26404</v>
      </c>
      <c r="H27" s="107">
        <v>17700</v>
      </c>
      <c r="I27" s="107">
        <v>8704</v>
      </c>
      <c r="J27" s="107">
        <v>79725</v>
      </c>
      <c r="K27" s="107">
        <v>69569</v>
      </c>
      <c r="L27" s="107">
        <v>2743</v>
      </c>
      <c r="M27" s="107">
        <v>6887</v>
      </c>
      <c r="N27" s="107">
        <v>526</v>
      </c>
      <c r="P27" s="110">
        <f t="shared" si="0"/>
        <v>0.17310513447432763</v>
      </c>
      <c r="Q27" s="104">
        <f t="shared" si="1"/>
        <v>0.32743276283618583</v>
      </c>
      <c r="R27" s="111">
        <v>0.5</v>
      </c>
      <c r="S27" s="109">
        <f t="shared" si="2"/>
        <v>0.20699333411296922</v>
      </c>
      <c r="T27" s="110">
        <f t="shared" si="3"/>
        <v>0.10349666705648461</v>
      </c>
      <c r="U27" s="110">
        <f t="shared" si="4"/>
        <v>0.20699333411296922</v>
      </c>
      <c r="V27" s="113">
        <f t="shared" si="5"/>
        <v>0</v>
      </c>
      <c r="X27" s="104">
        <f t="shared" si="6"/>
        <v>0.24879390924167044</v>
      </c>
      <c r="Z27" s="119"/>
    </row>
    <row r="28" spans="1:26">
      <c r="A28" t="s">
        <v>1269</v>
      </c>
      <c r="B28" t="s">
        <v>1270</v>
      </c>
      <c r="C28" s="105">
        <v>33480</v>
      </c>
      <c r="D28" s="105">
        <v>83080</v>
      </c>
      <c r="E28" s="107">
        <v>88409</v>
      </c>
      <c r="F28" s="107">
        <v>75100</v>
      </c>
      <c r="G28" s="107">
        <v>31910</v>
      </c>
      <c r="H28" s="107">
        <v>20107</v>
      </c>
      <c r="I28" s="107">
        <v>11803</v>
      </c>
      <c r="J28" s="107">
        <v>43191</v>
      </c>
      <c r="K28" s="107">
        <v>33097</v>
      </c>
      <c r="L28" s="107">
        <v>6041</v>
      </c>
      <c r="M28" s="107">
        <v>3503</v>
      </c>
      <c r="N28" s="107">
        <v>549</v>
      </c>
      <c r="P28" s="110">
        <f t="shared" si="0"/>
        <v>0.24201974000962928</v>
      </c>
      <c r="Q28" s="104">
        <f t="shared" si="1"/>
        <v>0.40298507462686567</v>
      </c>
      <c r="R28" s="111">
        <v>0.5</v>
      </c>
      <c r="S28" s="109">
        <f t="shared" si="2"/>
        <v>0.3030901416943021</v>
      </c>
      <c r="T28" s="110">
        <f t="shared" si="3"/>
        <v>0.15154507084715105</v>
      </c>
      <c r="U28" s="110">
        <f t="shared" si="4"/>
        <v>0.3030901416943021</v>
      </c>
      <c r="V28" s="113">
        <f t="shared" si="5"/>
        <v>0</v>
      </c>
      <c r="X28" s="104">
        <f t="shared" si="6"/>
        <v>0.42490013315579228</v>
      </c>
      <c r="Z28" s="119"/>
    </row>
    <row r="29" spans="1:26">
      <c r="A29" t="s">
        <v>1271</v>
      </c>
      <c r="B29" t="s">
        <v>1272</v>
      </c>
      <c r="C29" s="105">
        <v>98880</v>
      </c>
      <c r="D29" s="105">
        <v>132510</v>
      </c>
      <c r="E29" s="107">
        <v>115302</v>
      </c>
      <c r="F29" s="107">
        <v>110431</v>
      </c>
      <c r="G29" s="107">
        <v>38839</v>
      </c>
      <c r="H29" s="107">
        <v>28565</v>
      </c>
      <c r="I29" s="107">
        <v>10273</v>
      </c>
      <c r="J29" s="107">
        <v>71593</v>
      </c>
      <c r="K29" s="107">
        <v>51818</v>
      </c>
      <c r="L29" s="107">
        <v>1628</v>
      </c>
      <c r="M29" s="107">
        <v>16001</v>
      </c>
      <c r="N29" s="107">
        <v>2145</v>
      </c>
      <c r="P29" s="110">
        <f t="shared" si="0"/>
        <v>0.21556863632933362</v>
      </c>
      <c r="Q29" s="104">
        <f t="shared" si="1"/>
        <v>0.74620783337106633</v>
      </c>
      <c r="R29" s="111">
        <v>0.5</v>
      </c>
      <c r="S29" s="109">
        <f t="shared" si="2"/>
        <v>0.34386661851450584</v>
      </c>
      <c r="T29" s="110">
        <f t="shared" si="3"/>
        <v>0.17193330925725292</v>
      </c>
      <c r="U29" s="110">
        <f t="shared" si="4"/>
        <v>0.34386661851450584</v>
      </c>
      <c r="V29" s="113">
        <f t="shared" si="5"/>
        <v>0</v>
      </c>
      <c r="X29" s="104">
        <f t="shared" si="6"/>
        <v>0.35170377883021975</v>
      </c>
      <c r="Z29" s="119"/>
    </row>
    <row r="30" spans="1:26">
      <c r="A30" t="s">
        <v>1273</v>
      </c>
      <c r="B30" t="s">
        <v>1274</v>
      </c>
      <c r="C30" s="105">
        <v>29000</v>
      </c>
      <c r="D30" s="105">
        <v>81370</v>
      </c>
      <c r="E30" s="107">
        <v>80233</v>
      </c>
      <c r="F30" s="107">
        <v>72604</v>
      </c>
      <c r="G30" s="107">
        <v>35625</v>
      </c>
      <c r="H30" s="107">
        <v>18969</v>
      </c>
      <c r="I30" s="107">
        <v>16656</v>
      </c>
      <c r="J30" s="107">
        <v>36979</v>
      </c>
      <c r="K30" s="107">
        <v>28000</v>
      </c>
      <c r="L30" s="107">
        <v>4282</v>
      </c>
      <c r="M30" s="107">
        <v>3532</v>
      </c>
      <c r="N30" s="107">
        <v>1164</v>
      </c>
      <c r="P30" s="110">
        <f t="shared" si="0"/>
        <v>0.23312031461226496</v>
      </c>
      <c r="Q30" s="104">
        <f t="shared" si="1"/>
        <v>0.35639670640285115</v>
      </c>
      <c r="R30" s="111">
        <v>0.5</v>
      </c>
      <c r="S30" s="109">
        <f t="shared" si="2"/>
        <v>0.28366980708838041</v>
      </c>
      <c r="T30" s="110">
        <f t="shared" si="3"/>
        <v>0.14183490354419021</v>
      </c>
      <c r="U30" s="110">
        <f t="shared" si="4"/>
        <v>0.28366980708838041</v>
      </c>
      <c r="V30" s="113">
        <f t="shared" si="5"/>
        <v>0</v>
      </c>
      <c r="X30" s="104">
        <f t="shared" si="6"/>
        <v>0.49067544487907</v>
      </c>
      <c r="Z30" s="119"/>
    </row>
    <row r="31" spans="1:26">
      <c r="A31" t="s">
        <v>1275</v>
      </c>
      <c r="B31" t="s">
        <v>1276</v>
      </c>
      <c r="C31" s="105">
        <v>102580</v>
      </c>
      <c r="D31" s="105">
        <v>119250</v>
      </c>
      <c r="E31" s="107">
        <v>110490</v>
      </c>
      <c r="F31" s="107">
        <v>73917</v>
      </c>
      <c r="G31" s="107">
        <v>17176</v>
      </c>
      <c r="H31" s="107">
        <v>15205</v>
      </c>
      <c r="I31" s="107">
        <v>1971</v>
      </c>
      <c r="J31" s="107">
        <v>56741</v>
      </c>
      <c r="K31" s="107">
        <v>46243</v>
      </c>
      <c r="L31" s="107">
        <v>902</v>
      </c>
      <c r="M31" s="107">
        <v>6840</v>
      </c>
      <c r="N31" s="107">
        <v>2756</v>
      </c>
      <c r="P31" s="110">
        <f t="shared" si="0"/>
        <v>0.12750524109014674</v>
      </c>
      <c r="Q31" s="104">
        <f t="shared" si="1"/>
        <v>0.86020964360587004</v>
      </c>
      <c r="R31" s="111">
        <v>0.5</v>
      </c>
      <c r="S31" s="109">
        <f t="shared" si="2"/>
        <v>0.22373454973513832</v>
      </c>
      <c r="T31" s="110">
        <f t="shared" si="3"/>
        <v>0.11186727486756916</v>
      </c>
      <c r="U31" s="110">
        <f t="shared" si="4"/>
        <v>0.22373454973513832</v>
      </c>
      <c r="V31" s="113">
        <f t="shared" si="5"/>
        <v>0</v>
      </c>
      <c r="X31" s="104">
        <f t="shared" si="6"/>
        <v>0.23236873790873547</v>
      </c>
      <c r="Z31" s="119"/>
    </row>
    <row r="32" spans="1:26">
      <c r="A32" t="s">
        <v>1277</v>
      </c>
      <c r="B32" t="s">
        <v>1278</v>
      </c>
      <c r="C32" s="105">
        <v>43930</v>
      </c>
      <c r="D32" s="105">
        <v>101090</v>
      </c>
      <c r="E32" s="107">
        <v>105938</v>
      </c>
      <c r="F32" s="107">
        <v>97284</v>
      </c>
      <c r="G32" s="107">
        <v>30727</v>
      </c>
      <c r="H32" s="107">
        <v>20057</v>
      </c>
      <c r="I32" s="107">
        <v>10671</v>
      </c>
      <c r="J32" s="107">
        <v>66556</v>
      </c>
      <c r="K32" s="107">
        <v>54198</v>
      </c>
      <c r="L32" s="107">
        <v>2601</v>
      </c>
      <c r="M32" s="107">
        <v>5884</v>
      </c>
      <c r="N32" s="107">
        <v>3874</v>
      </c>
      <c r="P32" s="110">
        <f t="shared" si="0"/>
        <v>0.19840735977841528</v>
      </c>
      <c r="Q32" s="104">
        <f t="shared" si="1"/>
        <v>0.43456326046097538</v>
      </c>
      <c r="R32" s="111">
        <v>0.5</v>
      </c>
      <c r="S32" s="109">
        <f t="shared" si="2"/>
        <v>0.25348499210110587</v>
      </c>
      <c r="T32" s="110">
        <f t="shared" si="3"/>
        <v>0.12674249605055293</v>
      </c>
      <c r="U32" s="110">
        <f t="shared" si="4"/>
        <v>0.25348499210110587</v>
      </c>
      <c r="V32" s="113">
        <f t="shared" si="5"/>
        <v>0</v>
      </c>
      <c r="X32" s="104">
        <f t="shared" si="6"/>
        <v>0.31584844373175447</v>
      </c>
      <c r="Z32" s="119"/>
    </row>
    <row r="33" spans="1:26">
      <c r="A33" t="s">
        <v>1279</v>
      </c>
      <c r="B33" t="s">
        <v>1280</v>
      </c>
      <c r="C33" s="105">
        <v>94450</v>
      </c>
      <c r="D33" s="105">
        <v>138790</v>
      </c>
      <c r="E33" s="107">
        <v>102163</v>
      </c>
      <c r="F33" s="107">
        <v>94840</v>
      </c>
      <c r="G33" s="107">
        <v>21999</v>
      </c>
      <c r="H33" s="107">
        <v>19854</v>
      </c>
      <c r="I33" s="107">
        <v>2145</v>
      </c>
      <c r="J33" s="107">
        <v>72841</v>
      </c>
      <c r="K33" s="107">
        <v>67264</v>
      </c>
      <c r="L33" s="107">
        <v>0</v>
      </c>
      <c r="M33" s="107">
        <v>2830</v>
      </c>
      <c r="N33" s="107">
        <v>2747</v>
      </c>
      <c r="P33" s="110">
        <f t="shared" si="0"/>
        <v>0.14305065206426976</v>
      </c>
      <c r="Q33" s="104">
        <f t="shared" si="1"/>
        <v>0.68052453346782904</v>
      </c>
      <c r="R33" s="111">
        <v>0.5</v>
      </c>
      <c r="S33" s="109">
        <f t="shared" si="2"/>
        <v>0.21682957461912303</v>
      </c>
      <c r="T33" s="110">
        <f t="shared" si="3"/>
        <v>0.10841478730956151</v>
      </c>
      <c r="U33" s="110">
        <f t="shared" si="4"/>
        <v>0.21682957461912303</v>
      </c>
      <c r="V33" s="113">
        <f t="shared" si="5"/>
        <v>0</v>
      </c>
      <c r="X33" s="104">
        <f t="shared" si="6"/>
        <v>0.2319590889919865</v>
      </c>
      <c r="Z33" s="119"/>
    </row>
    <row r="34" spans="1:26">
      <c r="A34" t="s">
        <v>1281</v>
      </c>
      <c r="B34" t="s">
        <v>1282</v>
      </c>
      <c r="C34" s="105">
        <v>109450</v>
      </c>
      <c r="D34" s="105">
        <v>123610</v>
      </c>
      <c r="E34" s="107">
        <v>194269</v>
      </c>
      <c r="F34" s="107">
        <v>91076</v>
      </c>
      <c r="G34" s="107">
        <v>19779</v>
      </c>
      <c r="H34" s="107">
        <v>18741</v>
      </c>
      <c r="I34" s="107">
        <v>1037</v>
      </c>
      <c r="J34" s="107">
        <v>71297</v>
      </c>
      <c r="K34" s="107">
        <v>51507</v>
      </c>
      <c r="L34" s="107">
        <v>0</v>
      </c>
      <c r="M34" s="107">
        <v>19921</v>
      </c>
      <c r="N34" s="107">
        <v>-131</v>
      </c>
      <c r="P34" s="110">
        <f t="shared" si="0"/>
        <v>0.15161394709165926</v>
      </c>
      <c r="Q34" s="104">
        <f t="shared" si="1"/>
        <v>0.8854461613138096</v>
      </c>
      <c r="R34" s="111">
        <v>0.5</v>
      </c>
      <c r="S34" s="109">
        <f t="shared" si="2"/>
        <v>0.27206213253974015</v>
      </c>
      <c r="T34" s="110">
        <f t="shared" si="3"/>
        <v>0.13603106626987008</v>
      </c>
      <c r="U34" s="110">
        <f t="shared" si="4"/>
        <v>0.27206213253974015</v>
      </c>
      <c r="V34" s="113">
        <f t="shared" si="5"/>
        <v>0</v>
      </c>
      <c r="X34" s="104">
        <f t="shared" si="6"/>
        <v>0.21717027537441258</v>
      </c>
      <c r="Z34" s="119"/>
    </row>
    <row r="36" spans="1:26">
      <c r="B36" t="s">
        <v>1283</v>
      </c>
    </row>
    <row r="37" spans="1:26">
      <c r="B37" t="s">
        <v>1284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D451-A219-4FA5-9FA6-1C7B03870EE1}">
  <dimension ref="A1:L112"/>
  <sheetViews>
    <sheetView workbookViewId="0">
      <selection activeCell="G5" sqref="G5"/>
    </sheetView>
  </sheetViews>
  <sheetFormatPr defaultRowHeight="15"/>
  <cols>
    <col min="1" max="1" width="22.28515625" bestFit="1" customWidth="1"/>
    <col min="2" max="4" width="16.7109375" customWidth="1"/>
  </cols>
  <sheetData>
    <row r="1" spans="1:4">
      <c r="A1" s="96" t="s">
        <v>1285</v>
      </c>
    </row>
    <row r="2" spans="1:4">
      <c r="A2" t="s">
        <v>1286</v>
      </c>
    </row>
    <row r="3" spans="1:4">
      <c r="A3" t="s">
        <v>1287</v>
      </c>
    </row>
    <row r="4" spans="1:4">
      <c r="A4" t="s">
        <v>1288</v>
      </c>
    </row>
    <row r="5" spans="1:4">
      <c r="A5" t="s">
        <v>1289</v>
      </c>
    </row>
    <row r="6" spans="1:4">
      <c r="A6" t="s">
        <v>1290</v>
      </c>
    </row>
    <row r="9" spans="1:4" s="97" customFormat="1"/>
    <row r="11" spans="1:4">
      <c r="B11" s="45" t="s">
        <v>1291</v>
      </c>
      <c r="C11" s="45" t="s">
        <v>1292</v>
      </c>
      <c r="D11" s="45" t="s">
        <v>1293</v>
      </c>
    </row>
    <row r="12" spans="1:4" ht="30">
      <c r="A12" s="46" t="s">
        <v>1294</v>
      </c>
      <c r="B12" s="47" t="s">
        <v>1295</v>
      </c>
      <c r="C12" s="47" t="s">
        <v>1295</v>
      </c>
      <c r="D12" s="47" t="s">
        <v>1295</v>
      </c>
    </row>
    <row r="13" spans="1:4">
      <c r="A13" s="48" t="s">
        <v>1296</v>
      </c>
      <c r="B13" s="49">
        <v>13.852459016393443</v>
      </c>
      <c r="C13" s="49">
        <f>'[1]Post-intervention'!B52*52</f>
        <v>22.403688524590166</v>
      </c>
      <c r="D13" s="49">
        <f>C13-B13</f>
        <v>8.5512295081967231</v>
      </c>
    </row>
    <row r="14" spans="1:4">
      <c r="A14" s="48" t="s">
        <v>1297</v>
      </c>
      <c r="B14" s="49">
        <v>30.443359375</v>
      </c>
      <c r="C14" s="49">
        <f>'[1]Post-intervention'!B53*52</f>
        <v>41.056640625</v>
      </c>
      <c r="D14" s="49">
        <f t="shared" ref="D14:D15" si="0">C14-B14</f>
        <v>10.61328125</v>
      </c>
    </row>
    <row r="15" spans="1:4">
      <c r="A15" s="48" t="s">
        <v>1298</v>
      </c>
      <c r="B15" s="49">
        <v>13.848991228070172</v>
      </c>
      <c r="C15" s="49">
        <f>'[1]Post-intervention'!B54*52</f>
        <v>24.745614035087719</v>
      </c>
      <c r="D15" s="49">
        <f t="shared" si="0"/>
        <v>10.896622807017547</v>
      </c>
    </row>
    <row r="16" spans="1:4">
      <c r="A16" s="50"/>
    </row>
    <row r="17" spans="1:5">
      <c r="A17" s="51" t="s">
        <v>1299</v>
      </c>
      <c r="B17" s="52"/>
      <c r="C17" s="52"/>
      <c r="D17" s="52"/>
    </row>
    <row r="18" spans="1:5">
      <c r="A18" s="48" t="s">
        <v>1300</v>
      </c>
      <c r="B18" s="49">
        <v>89.75</v>
      </c>
      <c r="C18" s="49">
        <f>'[1]Post-intervention'!B36*52</f>
        <v>105.54375</v>
      </c>
      <c r="D18" s="49">
        <f>C18-B18</f>
        <v>15.793750000000003</v>
      </c>
      <c r="E18" s="53">
        <v>4</v>
      </c>
    </row>
    <row r="19" spans="1:5">
      <c r="A19" s="48" t="s">
        <v>1296</v>
      </c>
      <c r="B19" s="49">
        <v>104.90573770491804</v>
      </c>
      <c r="C19" s="49">
        <f>'[1]Post-intervention'!B37*52</f>
        <v>137.24323770491802</v>
      </c>
      <c r="D19" s="49">
        <f t="shared" ref="D19:D28" si="1">C19-B19</f>
        <v>32.337499999999977</v>
      </c>
      <c r="E19" s="53">
        <v>1</v>
      </c>
    </row>
    <row r="20" spans="1:5">
      <c r="A20" s="48" t="s">
        <v>1297</v>
      </c>
      <c r="B20" s="49">
        <v>77.771484375</v>
      </c>
      <c r="C20" s="49">
        <f>'[1]Post-intervention'!B38*52</f>
        <v>99.759765625</v>
      </c>
      <c r="D20" s="49">
        <f t="shared" si="1"/>
        <v>21.98828125</v>
      </c>
      <c r="E20" s="53">
        <v>2</v>
      </c>
    </row>
    <row r="21" spans="1:5">
      <c r="A21" s="48" t="s">
        <v>1301</v>
      </c>
      <c r="B21" s="49">
        <v>61.479166666666671</v>
      </c>
      <c r="C21" s="49">
        <f>'[1]Post-intervention'!B39*52</f>
        <v>79.151041666666671</v>
      </c>
      <c r="D21" s="49">
        <f t="shared" si="1"/>
        <v>17.671875</v>
      </c>
      <c r="E21" s="53" t="s">
        <v>1302</v>
      </c>
    </row>
    <row r="22" spans="1:5">
      <c r="A22" s="48" t="s">
        <v>1303</v>
      </c>
      <c r="B22" s="49">
        <v>87.649224806201545</v>
      </c>
      <c r="C22" s="49">
        <f>'[1]Post-intervention'!B40*52</f>
        <v>92.562015503875969</v>
      </c>
      <c r="D22" s="49">
        <f t="shared" si="1"/>
        <v>4.9127906976744242</v>
      </c>
      <c r="E22" s="53" t="s">
        <v>1302</v>
      </c>
    </row>
    <row r="23" spans="1:5">
      <c r="A23" s="48" t="s">
        <v>1298</v>
      </c>
      <c r="B23" s="49">
        <v>57.131578947368418</v>
      </c>
      <c r="C23" s="49">
        <f>'[1]Post-intervention'!B41*52</f>
        <v>118.68201754385964</v>
      </c>
      <c r="D23" s="49">
        <f t="shared" si="1"/>
        <v>61.550438596491226</v>
      </c>
      <c r="E23" s="53">
        <v>1</v>
      </c>
    </row>
    <row r="24" spans="1:5">
      <c r="A24" s="48" t="s">
        <v>1254</v>
      </c>
      <c r="B24" s="49">
        <v>99.798342541436469</v>
      </c>
      <c r="C24" s="49">
        <f>'[1]Post-intervention'!B42*52</f>
        <v>109.33287292817678</v>
      </c>
      <c r="D24" s="49">
        <f t="shared" si="1"/>
        <v>9.5345303867403146</v>
      </c>
      <c r="E24" s="53">
        <v>5</v>
      </c>
    </row>
    <row r="25" spans="1:5">
      <c r="A25" s="48" t="s">
        <v>1304</v>
      </c>
      <c r="B25" s="49">
        <v>105.04357798165138</v>
      </c>
      <c r="C25" s="49">
        <f>'[1]Post-intervention'!B43*52</f>
        <v>99.706422018348633</v>
      </c>
      <c r="D25" s="49">
        <f t="shared" si="1"/>
        <v>-5.3371559633027488</v>
      </c>
      <c r="E25" s="53">
        <v>5</v>
      </c>
    </row>
    <row r="26" spans="1:5">
      <c r="A26" s="48" t="s">
        <v>1305</v>
      </c>
      <c r="B26" s="49">
        <v>113.35742574257426</v>
      </c>
      <c r="C26" s="49">
        <f>'[1]Post-intervention'!B44*52</f>
        <v>103.56237623762377</v>
      </c>
      <c r="D26" s="49">
        <f t="shared" si="1"/>
        <v>-9.795049504950498</v>
      </c>
      <c r="E26" s="53">
        <v>2</v>
      </c>
    </row>
    <row r="27" spans="1:5">
      <c r="A27" s="48" t="s">
        <v>1306</v>
      </c>
      <c r="B27" s="49">
        <v>131.44280303030303</v>
      </c>
      <c r="C27" s="49">
        <f>'[1]Post-intervention'!B45*52</f>
        <v>95.973484848484844</v>
      </c>
      <c r="D27" s="49">
        <f t="shared" si="1"/>
        <v>-35.469318181818181</v>
      </c>
      <c r="E27" s="53">
        <v>4</v>
      </c>
    </row>
    <row r="28" spans="1:5">
      <c r="A28" s="48" t="s">
        <v>1307</v>
      </c>
      <c r="B28" s="49">
        <v>76.971518987341767</v>
      </c>
      <c r="C28" s="49">
        <f>'[1]Post-intervention'!B46*52</f>
        <v>79.748417721518976</v>
      </c>
      <c r="D28" s="49">
        <f t="shared" si="1"/>
        <v>2.7768987341772089</v>
      </c>
      <c r="E28" s="53">
        <v>3</v>
      </c>
    </row>
    <row r="29" spans="1:5">
      <c r="A29" s="48" t="s">
        <v>1308</v>
      </c>
      <c r="B29" s="49">
        <v>70.367647058823536</v>
      </c>
      <c r="C29" s="49">
        <f>'[1]Post-intervention'!B47*52</f>
        <v>88.661764705882348</v>
      </c>
      <c r="D29" s="49">
        <f>C29-B29</f>
        <v>18.294117647058812</v>
      </c>
      <c r="E29" s="53">
        <v>3</v>
      </c>
    </row>
    <row r="30" spans="1:5">
      <c r="A30" s="50"/>
      <c r="E30" s="53"/>
    </row>
    <row r="31" spans="1:5">
      <c r="A31" s="51" t="s">
        <v>1309</v>
      </c>
      <c r="B31" s="52"/>
      <c r="C31" s="52"/>
      <c r="D31" s="52"/>
      <c r="E31" s="53"/>
    </row>
    <row r="32" spans="1:5">
      <c r="A32" s="48" t="s">
        <v>1300</v>
      </c>
      <c r="B32" s="49">
        <v>551.15625</v>
      </c>
      <c r="C32" s="49">
        <f>'[1]Post-intervention'!B20*52</f>
        <v>537</v>
      </c>
      <c r="D32" s="49">
        <f>C32-B32</f>
        <v>-14.15625</v>
      </c>
      <c r="E32" s="53">
        <v>4</v>
      </c>
    </row>
    <row r="33" spans="1:5">
      <c r="A33" s="48" t="s">
        <v>1296</v>
      </c>
      <c r="B33" s="49">
        <v>718.25</v>
      </c>
      <c r="C33" s="49">
        <f>'[1]Post-intervention'!B21*52</f>
        <v>680.77643442622957</v>
      </c>
      <c r="D33" s="49">
        <f t="shared" ref="D33:D43" si="2">C33-B33</f>
        <v>-37.473565573770429</v>
      </c>
      <c r="E33" s="53">
        <v>1</v>
      </c>
    </row>
    <row r="34" spans="1:5">
      <c r="A34" s="48" t="s">
        <v>1297</v>
      </c>
      <c r="B34" s="49">
        <v>527.30742187499993</v>
      </c>
      <c r="C34" s="49">
        <f>'[1]Post-intervention'!B22*52</f>
        <v>458.046875</v>
      </c>
      <c r="D34" s="49">
        <f t="shared" si="2"/>
        <v>-69.260546874999932</v>
      </c>
      <c r="E34" s="53">
        <v>2</v>
      </c>
    </row>
    <row r="35" spans="1:5">
      <c r="A35" s="48" t="s">
        <v>1301</v>
      </c>
      <c r="B35" s="49">
        <v>266.46840277777778</v>
      </c>
      <c r="C35" s="49">
        <f>'[1]Post-intervention'!B23*52</f>
        <v>256.52430555555554</v>
      </c>
      <c r="D35" s="49">
        <f t="shared" si="2"/>
        <v>-9.9440972222222399</v>
      </c>
      <c r="E35" s="53" t="s">
        <v>1302</v>
      </c>
    </row>
    <row r="36" spans="1:5">
      <c r="A36" s="48" t="s">
        <v>1303</v>
      </c>
      <c r="B36" s="49">
        <v>259.77325581395348</v>
      </c>
      <c r="C36" s="49">
        <f>'[1]Post-intervention'!B24*52</f>
        <v>212.58527131782947</v>
      </c>
      <c r="D36" s="49">
        <f t="shared" si="2"/>
        <v>-47.187984496124017</v>
      </c>
      <c r="E36" s="53" t="s">
        <v>1302</v>
      </c>
    </row>
    <row r="37" spans="1:5">
      <c r="A37" s="48" t="s">
        <v>1298</v>
      </c>
      <c r="B37" s="49">
        <v>352.71052631578948</v>
      </c>
      <c r="C37" s="49">
        <f>'[1]Post-intervention'!B25*52</f>
        <v>429.28508771929825</v>
      </c>
      <c r="D37" s="49">
        <f t="shared" si="2"/>
        <v>76.574561403508767</v>
      </c>
      <c r="E37" s="53">
        <v>1</v>
      </c>
    </row>
    <row r="38" spans="1:5">
      <c r="A38" s="48" t="s">
        <v>1254</v>
      </c>
      <c r="B38" s="49">
        <v>471.59116022099448</v>
      </c>
      <c r="C38" s="49">
        <f>'[1]Post-intervention'!B26*52</f>
        <v>518.34806629834259</v>
      </c>
      <c r="D38" s="49">
        <f t="shared" si="2"/>
        <v>46.756906077348106</v>
      </c>
      <c r="E38" s="53">
        <v>5</v>
      </c>
    </row>
    <row r="39" spans="1:5">
      <c r="A39" s="48" t="s">
        <v>1304</v>
      </c>
      <c r="B39" s="49">
        <v>517.79357798165131</v>
      </c>
      <c r="C39" s="49">
        <f>'[1]Post-intervention'!B27*52</f>
        <v>499.55779816513768</v>
      </c>
      <c r="D39" s="49">
        <f t="shared" si="2"/>
        <v>-18.235779816513627</v>
      </c>
      <c r="E39" s="53">
        <v>5</v>
      </c>
    </row>
    <row r="40" spans="1:5">
      <c r="A40" s="48" t="s">
        <v>1305</v>
      </c>
      <c r="B40" s="49">
        <v>555.36386138613864</v>
      </c>
      <c r="C40" s="49">
        <f>'[1]Post-intervention'!B28*52</f>
        <v>660.43953323903816</v>
      </c>
      <c r="D40" s="49">
        <f t="shared" si="2"/>
        <v>105.07567185289952</v>
      </c>
      <c r="E40" s="53">
        <v>2</v>
      </c>
    </row>
    <row r="41" spans="1:5">
      <c r="A41" s="48" t="s">
        <v>1306</v>
      </c>
      <c r="B41" s="49">
        <v>433.38257575757575</v>
      </c>
      <c r="C41" s="49">
        <f>'[1]Post-intervention'!B29*52</f>
        <v>371.29280303030305</v>
      </c>
      <c r="D41" s="49">
        <f t="shared" si="2"/>
        <v>-62.089772727272702</v>
      </c>
      <c r="E41" s="53">
        <v>4</v>
      </c>
    </row>
    <row r="42" spans="1:5">
      <c r="A42" s="48" t="s">
        <v>1307</v>
      </c>
      <c r="B42" s="49">
        <v>684.86550632911394</v>
      </c>
      <c r="C42" s="49">
        <f>'[1]Post-intervention'!B30*52</f>
        <v>641.29905063291142</v>
      </c>
      <c r="D42" s="49">
        <f t="shared" si="2"/>
        <v>-43.566455696202524</v>
      </c>
      <c r="E42" s="53">
        <v>3</v>
      </c>
    </row>
    <row r="43" spans="1:5">
      <c r="A43" s="48" t="s">
        <v>1308</v>
      </c>
      <c r="B43" s="49">
        <v>445.34705882352944</v>
      </c>
      <c r="C43" s="49">
        <f>'[1]Post-intervention'!B31*52</f>
        <v>363.73529411764702</v>
      </c>
      <c r="D43" s="49">
        <f t="shared" si="2"/>
        <v>-81.611764705882422</v>
      </c>
      <c r="E43" s="53">
        <v>3</v>
      </c>
    </row>
    <row r="45" spans="1:5">
      <c r="A45" s="54" t="s">
        <v>1310</v>
      </c>
    </row>
    <row r="46" spans="1:5">
      <c r="A46" s="54">
        <v>1</v>
      </c>
      <c r="B46" s="49">
        <f>SUMIFS($D$32:$D$43,$E$32:$E$43,A46)/2</f>
        <v>19.550497914869169</v>
      </c>
    </row>
    <row r="47" spans="1:5">
      <c r="A47" s="54">
        <v>2</v>
      </c>
      <c r="B47" s="49">
        <f t="shared" ref="B47:B51" si="3">SUMIFS($D$32:$D$43,$E$32:$E$43,A47)/2</f>
        <v>17.907562488949793</v>
      </c>
    </row>
    <row r="48" spans="1:5">
      <c r="A48" s="54">
        <v>3</v>
      </c>
      <c r="B48" s="49">
        <f t="shared" si="3"/>
        <v>-62.589110201042473</v>
      </c>
    </row>
    <row r="49" spans="1:2">
      <c r="A49" s="54">
        <v>4</v>
      </c>
      <c r="B49" s="49">
        <f t="shared" si="3"/>
        <v>-38.123011363636351</v>
      </c>
    </row>
    <row r="50" spans="1:2">
      <c r="A50" s="54">
        <v>5</v>
      </c>
      <c r="B50" s="49">
        <f t="shared" si="3"/>
        <v>14.260563130417239</v>
      </c>
    </row>
    <row r="51" spans="1:2">
      <c r="A51" s="54" t="s">
        <v>1302</v>
      </c>
      <c r="B51" s="49">
        <f t="shared" si="3"/>
        <v>-28.566040859173128</v>
      </c>
    </row>
    <row r="52" spans="1:2">
      <c r="A52" s="54"/>
      <c r="B52" s="49"/>
    </row>
    <row r="53" spans="1:2">
      <c r="A53" s="54" t="s">
        <v>1311</v>
      </c>
      <c r="B53" s="49">
        <f>AVERAGE(B46:B50)</f>
        <v>-9.7986996060885243</v>
      </c>
    </row>
    <row r="54" spans="1:2">
      <c r="A54" s="54"/>
      <c r="B54" s="49"/>
    </row>
    <row r="55" spans="1:2">
      <c r="A55" s="54"/>
    </row>
    <row r="56" spans="1:2">
      <c r="A56" s="54" t="s">
        <v>1312</v>
      </c>
    </row>
    <row r="57" spans="1:2">
      <c r="A57" s="54">
        <v>1</v>
      </c>
      <c r="B57" s="49">
        <f>SUMIFS($D$18:$D$29,$E$18:$E$29,A57)/2</f>
        <v>46.943969298245605</v>
      </c>
    </row>
    <row r="58" spans="1:2">
      <c r="A58" s="54">
        <v>2</v>
      </c>
      <c r="B58" s="49">
        <f t="shared" ref="B58:B62" si="4">SUMIFS($D$18:$D$29,$E$18:$E$29,A58)/2</f>
        <v>6.096615872524751</v>
      </c>
    </row>
    <row r="59" spans="1:2">
      <c r="A59" s="54">
        <v>3</v>
      </c>
      <c r="B59" s="49">
        <f t="shared" si="4"/>
        <v>10.53550819061801</v>
      </c>
    </row>
    <row r="60" spans="1:2">
      <c r="A60" s="54">
        <v>4</v>
      </c>
      <c r="B60" s="49">
        <f t="shared" si="4"/>
        <v>-9.8377840909090892</v>
      </c>
    </row>
    <row r="61" spans="1:2">
      <c r="A61" s="54">
        <v>5</v>
      </c>
      <c r="B61" s="49">
        <f t="shared" si="4"/>
        <v>2.0986872117187829</v>
      </c>
    </row>
    <row r="62" spans="1:2">
      <c r="A62" s="54" t="s">
        <v>1302</v>
      </c>
      <c r="B62" s="49">
        <f t="shared" si="4"/>
        <v>11.292332848837212</v>
      </c>
    </row>
    <row r="64" spans="1:2">
      <c r="A64" s="54" t="s">
        <v>1311</v>
      </c>
      <c r="B64" s="49">
        <f>AVERAGE(B57:B61)</f>
        <v>11.167399296439612</v>
      </c>
    </row>
    <row r="69" spans="1:2">
      <c r="B69" t="s">
        <v>1313</v>
      </c>
    </row>
    <row r="70" spans="1:2">
      <c r="A70">
        <v>1</v>
      </c>
      <c r="B70" t="s">
        <v>1314</v>
      </c>
    </row>
    <row r="71" spans="1:2">
      <c r="A71">
        <v>2</v>
      </c>
      <c r="B71" t="s">
        <v>1315</v>
      </c>
    </row>
    <row r="72" spans="1:2">
      <c r="A72">
        <v>3</v>
      </c>
      <c r="B72" t="s">
        <v>1316</v>
      </c>
    </row>
    <row r="74" spans="1:2">
      <c r="B74" t="s">
        <v>1317</v>
      </c>
    </row>
    <row r="75" spans="1:2">
      <c r="B75" t="s">
        <v>1318</v>
      </c>
    </row>
    <row r="76" spans="1:2">
      <c r="B76" t="s">
        <v>1319</v>
      </c>
    </row>
    <row r="77" spans="1:2">
      <c r="B77" t="s">
        <v>1320</v>
      </c>
    </row>
    <row r="78" spans="1:2">
      <c r="B78" t="s">
        <v>1321</v>
      </c>
    </row>
    <row r="80" spans="1:2">
      <c r="B80" t="s">
        <v>1322</v>
      </c>
    </row>
    <row r="81" spans="1:2">
      <c r="B81" t="s">
        <v>1323</v>
      </c>
    </row>
    <row r="82" spans="1:2">
      <c r="B82" t="s">
        <v>1324</v>
      </c>
    </row>
    <row r="83" spans="1:2">
      <c r="B83" t="s">
        <v>1325</v>
      </c>
    </row>
    <row r="84" spans="1:2">
      <c r="B84" t="s">
        <v>1326</v>
      </c>
    </row>
    <row r="86" spans="1:2">
      <c r="B86" t="s">
        <v>1327</v>
      </c>
    </row>
    <row r="87" spans="1:2">
      <c r="A87">
        <v>1</v>
      </c>
      <c r="B87" t="s">
        <v>1328</v>
      </c>
    </row>
    <row r="88" spans="1:2">
      <c r="A88">
        <v>2</v>
      </c>
      <c r="B88" t="s">
        <v>1329</v>
      </c>
    </row>
    <row r="89" spans="1:2">
      <c r="A89">
        <v>3</v>
      </c>
      <c r="B89" t="s">
        <v>1330</v>
      </c>
    </row>
    <row r="91" spans="1:2">
      <c r="B91" t="s">
        <v>1317</v>
      </c>
    </row>
    <row r="92" spans="1:2">
      <c r="B92" t="s">
        <v>1331</v>
      </c>
    </row>
    <row r="93" spans="1:2">
      <c r="B93" t="s">
        <v>1332</v>
      </c>
    </row>
    <row r="94" spans="1:2">
      <c r="B94" t="s">
        <v>1333</v>
      </c>
    </row>
    <row r="95" spans="1:2">
      <c r="B95" t="s">
        <v>1334</v>
      </c>
    </row>
    <row r="96" spans="1:2">
      <c r="B96" t="s">
        <v>1335</v>
      </c>
    </row>
    <row r="100" spans="2:12">
      <c r="B100" s="19" t="s">
        <v>1336</v>
      </c>
      <c r="C100" s="11"/>
      <c r="D100" s="11"/>
      <c r="E100" s="11"/>
      <c r="F100" s="11"/>
      <c r="G100" s="11"/>
      <c r="H100" s="11"/>
      <c r="I100" s="11"/>
      <c r="J100" s="1"/>
      <c r="K100" s="1"/>
      <c r="L100" s="1"/>
    </row>
    <row r="101" spans="2:12">
      <c r="B101" s="11" t="s">
        <v>1337</v>
      </c>
      <c r="C101" s="11" t="s">
        <v>1338</v>
      </c>
      <c r="D101" s="11"/>
      <c r="E101" s="11">
        <v>1.67</v>
      </c>
      <c r="F101" s="11"/>
      <c r="G101" s="11" t="s">
        <v>1339</v>
      </c>
      <c r="H101" s="11" t="s">
        <v>468</v>
      </c>
      <c r="I101" s="11" t="s">
        <v>1340</v>
      </c>
      <c r="J101" s="1"/>
      <c r="K101" s="1"/>
      <c r="L101" s="1"/>
    </row>
    <row r="102" spans="2:12">
      <c r="B102" s="11" t="s">
        <v>1341</v>
      </c>
      <c r="C102" s="11" t="s">
        <v>1338</v>
      </c>
      <c r="D102" s="11"/>
      <c r="E102" s="11">
        <v>9.18</v>
      </c>
      <c r="F102" s="11"/>
      <c r="G102" s="11" t="s">
        <v>1339</v>
      </c>
      <c r="H102" s="11" t="s">
        <v>468</v>
      </c>
      <c r="I102" s="11" t="s">
        <v>1340</v>
      </c>
      <c r="J102" s="1"/>
      <c r="K102" s="1"/>
      <c r="L102" s="1"/>
    </row>
    <row r="103" spans="2:12">
      <c r="B103" s="11" t="s">
        <v>1342</v>
      </c>
      <c r="C103" s="11" t="s">
        <v>480</v>
      </c>
      <c r="D103" s="11"/>
      <c r="E103" s="73">
        <v>0.307</v>
      </c>
      <c r="F103" s="11"/>
      <c r="G103" s="11" t="s">
        <v>1339</v>
      </c>
      <c r="H103" s="11" t="s">
        <v>468</v>
      </c>
      <c r="I103" s="11" t="s">
        <v>1340</v>
      </c>
      <c r="J103" s="1"/>
      <c r="K103" s="1"/>
      <c r="L103" s="1"/>
    </row>
    <row r="104" spans="2:12">
      <c r="B104" s="11" t="s">
        <v>1343</v>
      </c>
      <c r="C104" s="11" t="s">
        <v>480</v>
      </c>
      <c r="D104" s="11"/>
      <c r="E104" s="73">
        <v>0.107</v>
      </c>
      <c r="F104" s="11"/>
      <c r="G104" s="11" t="s">
        <v>1339</v>
      </c>
      <c r="H104" s="11" t="s">
        <v>468</v>
      </c>
      <c r="I104" s="11" t="s">
        <v>1340</v>
      </c>
      <c r="J104" s="1"/>
      <c r="K104" s="1"/>
      <c r="L104" s="1"/>
    </row>
    <row r="105" spans="2:12">
      <c r="B105" s="11" t="s">
        <v>1344</v>
      </c>
      <c r="C105" s="11" t="s">
        <v>480</v>
      </c>
      <c r="D105" s="11"/>
      <c r="E105" s="73">
        <v>0.38200000000000001</v>
      </c>
      <c r="F105" s="11"/>
      <c r="G105" s="11" t="s">
        <v>1339</v>
      </c>
      <c r="H105" s="11" t="s">
        <v>468</v>
      </c>
      <c r="I105" s="11" t="s">
        <v>1340</v>
      </c>
      <c r="J105" s="1"/>
      <c r="K105" s="1"/>
      <c r="L105" s="1"/>
    </row>
    <row r="106" spans="2:12">
      <c r="B106" s="11"/>
      <c r="C106" s="11"/>
      <c r="D106" s="11"/>
      <c r="E106" s="11"/>
      <c r="F106" s="11"/>
      <c r="G106" s="11"/>
      <c r="H106" s="11"/>
      <c r="I106" s="11"/>
      <c r="J106" s="1"/>
      <c r="K106" s="1"/>
      <c r="L106" s="1"/>
    </row>
    <row r="107" spans="2:12">
      <c r="B107" s="19" t="s">
        <v>1345</v>
      </c>
      <c r="C107" s="11"/>
      <c r="D107" s="11"/>
      <c r="E107" s="11"/>
      <c r="F107" s="11"/>
      <c r="G107" s="11"/>
      <c r="H107" s="11"/>
      <c r="I107" s="11"/>
      <c r="J107" s="1"/>
      <c r="K107" s="1"/>
      <c r="L107" s="1"/>
    </row>
    <row r="108" spans="2:12">
      <c r="B108" s="11" t="s">
        <v>1346</v>
      </c>
      <c r="C108" s="11" t="s">
        <v>1338</v>
      </c>
      <c r="D108" s="11"/>
      <c r="E108" s="11">
        <v>1.89</v>
      </c>
      <c r="F108" s="11"/>
      <c r="G108" s="11" t="s">
        <v>1339</v>
      </c>
      <c r="H108" s="11" t="s">
        <v>468</v>
      </c>
      <c r="I108" s="11" t="s">
        <v>1340</v>
      </c>
      <c r="J108" s="1"/>
      <c r="K108" s="1"/>
      <c r="L108" s="1"/>
    </row>
    <row r="109" spans="2:12">
      <c r="B109" s="11" t="s">
        <v>1347</v>
      </c>
      <c r="C109" s="11" t="s">
        <v>1338</v>
      </c>
      <c r="D109" s="11"/>
      <c r="E109" s="11">
        <v>8.8699999999999992</v>
      </c>
      <c r="F109" s="11"/>
      <c r="G109" s="11" t="s">
        <v>1339</v>
      </c>
      <c r="H109" s="11" t="s">
        <v>468</v>
      </c>
      <c r="I109" s="11" t="s">
        <v>1340</v>
      </c>
      <c r="J109" s="1"/>
      <c r="K109" s="1"/>
      <c r="L109" s="1"/>
    </row>
    <row r="110" spans="2:12">
      <c r="B110" s="11" t="s">
        <v>1348</v>
      </c>
      <c r="C110" s="11" t="s">
        <v>480</v>
      </c>
      <c r="D110" s="11"/>
      <c r="E110" s="73">
        <v>0.23400000000000001</v>
      </c>
      <c r="F110" s="11"/>
      <c r="G110" s="11" t="s">
        <v>1339</v>
      </c>
      <c r="H110" s="11" t="s">
        <v>468</v>
      </c>
      <c r="I110" s="11" t="s">
        <v>1340</v>
      </c>
      <c r="J110" s="1"/>
      <c r="K110" s="1"/>
      <c r="L110" s="1"/>
    </row>
    <row r="111" spans="2:12">
      <c r="B111" s="11" t="s">
        <v>1349</v>
      </c>
      <c r="C111" s="11" t="s">
        <v>480</v>
      </c>
      <c r="D111" s="11"/>
      <c r="E111" s="73">
        <v>0.13400000000000001</v>
      </c>
      <c r="F111" s="11"/>
      <c r="G111" s="11" t="s">
        <v>1339</v>
      </c>
      <c r="H111" s="11" t="s">
        <v>468</v>
      </c>
      <c r="I111" s="11" t="s">
        <v>1340</v>
      </c>
      <c r="J111" s="1"/>
      <c r="K111" s="1"/>
      <c r="L111" s="1"/>
    </row>
    <row r="112" spans="2:12">
      <c r="B112" s="11" t="s">
        <v>1350</v>
      </c>
      <c r="C112" s="11" t="s">
        <v>480</v>
      </c>
      <c r="D112" s="11"/>
      <c r="E112" s="73">
        <v>0.46800000000000003</v>
      </c>
      <c r="F112" s="11"/>
      <c r="G112" s="11" t="s">
        <v>1339</v>
      </c>
      <c r="H112" s="11" t="s">
        <v>468</v>
      </c>
      <c r="I112" s="11" t="s">
        <v>1340</v>
      </c>
      <c r="J112" s="1"/>
      <c r="K112" s="1"/>
      <c r="L112" s="1"/>
    </row>
  </sheetData>
  <conditionalFormatting sqref="C18:C29">
    <cfRule type="top10" dxfId="2" priority="3" rank="1"/>
  </conditionalFormatting>
  <conditionalFormatting sqref="C13:C15">
    <cfRule type="top10" dxfId="1" priority="2" rank="1"/>
  </conditionalFormatting>
  <conditionalFormatting sqref="C32:C43">
    <cfRule type="top10" dxfId="0" priority="1" rank="1"/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13F5F8115F343AD1F6E639DD69C24" ma:contentTypeVersion="12" ma:contentTypeDescription="Create a new document." ma:contentTypeScope="" ma:versionID="a9e83a1c4ec1213f43ac1263d6f1bc42">
  <xsd:schema xmlns:xsd="http://www.w3.org/2001/XMLSchema" xmlns:xs="http://www.w3.org/2001/XMLSchema" xmlns:p="http://schemas.microsoft.com/office/2006/metadata/properties" xmlns:ns2="d7cb29ae-596a-489f-8ea0-bd6cbb259d89" xmlns:ns3="583a2b9b-d74f-43ff-859a-9a43d61f0482" targetNamespace="http://schemas.microsoft.com/office/2006/metadata/properties" ma:root="true" ma:fieldsID="5c1180d1ad96c06461194753eea9c22f" ns2:_="" ns3:_="">
    <xsd:import namespace="d7cb29ae-596a-489f-8ea0-bd6cbb259d89"/>
    <xsd:import namespace="583a2b9b-d74f-43ff-859a-9a43d61f04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b29ae-596a-489f-8ea0-bd6cbb259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a2b9b-d74f-43ff-859a-9a43d61f0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26BAE-471D-4D0D-92A0-756445435FC0}"/>
</file>

<file path=customXml/itemProps2.xml><?xml version="1.0" encoding="utf-8"?>
<ds:datastoreItem xmlns:ds="http://schemas.openxmlformats.org/officeDocument/2006/customXml" ds:itemID="{3D2B50B5-EBD5-4DC5-81C8-7F94FE50091C}"/>
</file>

<file path=customXml/itemProps3.xml><?xml version="1.0" encoding="utf-8"?>
<ds:datastoreItem xmlns:ds="http://schemas.openxmlformats.org/officeDocument/2006/customXml" ds:itemID="{260E17BE-DCBA-455B-B3D2-D920E4524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Dutfield</dc:creator>
  <cp:keywords/>
  <dc:description/>
  <cp:lastModifiedBy/>
  <cp:revision/>
  <dcterms:created xsi:type="dcterms:W3CDTF">2020-07-13T12:44:25Z</dcterms:created>
  <dcterms:modified xsi:type="dcterms:W3CDTF">2020-08-24T10:10:48Z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0x01010012013F5F8115F343AD1F6E639DD69C24</vt:lpwstr>
  </property>
</Properties>
</file>