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7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8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2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tabRatio="795"/>
  </bookViews>
  <sheets>
    <sheet name="Data" sheetId="1" r:id="rId1"/>
    <sheet name="Charts" sheetId="2" r:id="rId2"/>
    <sheet name="Total X" sheetId="15" r:id="rId3"/>
    <sheet name="PVB (12-720) X" sheetId="7" r:id="rId4"/>
    <sheet name="PVB (34-720) X" sheetId="5" r:id="rId5"/>
    <sheet name="PVB (1-720) X" sheetId="6" r:id="rId6"/>
    <sheet name="PVB (34-420) X" sheetId="8" r:id="rId7"/>
    <sheet name="PVB (1-420) X" sheetId="9" r:id="rId8"/>
    <sheet name="PVB (12-720) +" sheetId="10" r:id="rId9"/>
    <sheet name="PVB (34-720) +" sheetId="11" r:id="rId10"/>
    <sheet name="PVB (1-720) +" sheetId="12" r:id="rId11"/>
    <sheet name="PVB (34-420) +" sheetId="13" r:id="rId12"/>
    <sheet name="PVB (1-420) +" sheetId="14" r:id="rId13"/>
  </sheets>
  <definedNames>
    <definedName name="solver_adj" localSheetId="8" hidden="1">'PVB (12-720) +'!$G$4:$I$4</definedName>
    <definedName name="solver_adj" localSheetId="3" hidden="1">'PVB (12-720) X'!$G$4:$I$4</definedName>
    <definedName name="solver_adj" localSheetId="12" hidden="1">'PVB (1-420) +'!$G$4:$I$4</definedName>
    <definedName name="solver_adj" localSheetId="7" hidden="1">'PVB (1-420) X'!$G$4:$I$4</definedName>
    <definedName name="solver_adj" localSheetId="10" hidden="1">'PVB (1-720) +'!$G$4:$I$4</definedName>
    <definedName name="solver_adj" localSheetId="5" hidden="1">'PVB (1-720) X'!$G$4:$I$4</definedName>
    <definedName name="solver_adj" localSheetId="11" hidden="1">'PVB (34-420) +'!$G$4:$I$4</definedName>
    <definedName name="solver_adj" localSheetId="6" hidden="1">'PVB (34-420) X'!$G$4:$I$4</definedName>
    <definedName name="solver_adj" localSheetId="9" hidden="1">'PVB (34-720) +'!$G$4:$I$4</definedName>
    <definedName name="solver_adj" localSheetId="4" hidden="1">'PVB (34-720) X'!$G$4:$I$4</definedName>
    <definedName name="solver_adj" localSheetId="2" hidden="1">'Total X'!$G$4:$I$4</definedName>
    <definedName name="solver_cvg" localSheetId="8" hidden="1">0.0001</definedName>
    <definedName name="solver_cvg" localSheetId="3" hidden="1">0.0001</definedName>
    <definedName name="solver_cvg" localSheetId="12" hidden="1">0.0001</definedName>
    <definedName name="solver_cvg" localSheetId="7" hidden="1">0.0001</definedName>
    <definedName name="solver_cvg" localSheetId="10" hidden="1">0.0001</definedName>
    <definedName name="solver_cvg" localSheetId="5" hidden="1">0.0001</definedName>
    <definedName name="solver_cvg" localSheetId="11" hidden="1">0.0001</definedName>
    <definedName name="solver_cvg" localSheetId="6" hidden="1">0.0001</definedName>
    <definedName name="solver_cvg" localSheetId="9" hidden="1">0.0001</definedName>
    <definedName name="solver_cvg" localSheetId="4" hidden="1">0.0001</definedName>
    <definedName name="solver_cvg" localSheetId="2" hidden="1">0.0001</definedName>
    <definedName name="solver_drv" localSheetId="8" hidden="1">1</definedName>
    <definedName name="solver_drv" localSheetId="3" hidden="1">1</definedName>
    <definedName name="solver_drv" localSheetId="12" hidden="1">1</definedName>
    <definedName name="solver_drv" localSheetId="7" hidden="1">1</definedName>
    <definedName name="solver_drv" localSheetId="10" hidden="1">1</definedName>
    <definedName name="solver_drv" localSheetId="5" hidden="1">1</definedName>
    <definedName name="solver_drv" localSheetId="11" hidden="1">1</definedName>
    <definedName name="solver_drv" localSheetId="6" hidden="1">1</definedName>
    <definedName name="solver_drv" localSheetId="9" hidden="1">1</definedName>
    <definedName name="solver_drv" localSheetId="4" hidden="1">1</definedName>
    <definedName name="solver_drv" localSheetId="2" hidden="1">1</definedName>
    <definedName name="solver_eng" localSheetId="0" hidden="1">1</definedName>
    <definedName name="solver_eng" localSheetId="8" hidden="1">1</definedName>
    <definedName name="solver_eng" localSheetId="3" hidden="1">1</definedName>
    <definedName name="solver_eng" localSheetId="12" hidden="1">1</definedName>
    <definedName name="solver_eng" localSheetId="7" hidden="1">1</definedName>
    <definedName name="solver_eng" localSheetId="10" hidden="1">1</definedName>
    <definedName name="solver_eng" localSheetId="5" hidden="1">1</definedName>
    <definedName name="solver_eng" localSheetId="11" hidden="1">1</definedName>
    <definedName name="solver_eng" localSheetId="6" hidden="1">1</definedName>
    <definedName name="solver_eng" localSheetId="9" hidden="1">1</definedName>
    <definedName name="solver_eng" localSheetId="4" hidden="1">1</definedName>
    <definedName name="solver_eng" localSheetId="2" hidden="1">1</definedName>
    <definedName name="solver_est" localSheetId="8" hidden="1">1</definedName>
    <definedName name="solver_est" localSheetId="3" hidden="1">1</definedName>
    <definedName name="solver_est" localSheetId="12" hidden="1">1</definedName>
    <definedName name="solver_est" localSheetId="7" hidden="1">1</definedName>
    <definedName name="solver_est" localSheetId="10" hidden="1">1</definedName>
    <definedName name="solver_est" localSheetId="5" hidden="1">1</definedName>
    <definedName name="solver_est" localSheetId="11" hidden="1">1</definedName>
    <definedName name="solver_est" localSheetId="6" hidden="1">1</definedName>
    <definedName name="solver_est" localSheetId="9" hidden="1">1</definedName>
    <definedName name="solver_est" localSheetId="4" hidden="1">1</definedName>
    <definedName name="solver_est" localSheetId="2" hidden="1">1</definedName>
    <definedName name="solver_itr" localSheetId="8" hidden="1">2147483647</definedName>
    <definedName name="solver_itr" localSheetId="3" hidden="1">2147483647</definedName>
    <definedName name="solver_itr" localSheetId="12" hidden="1">2147483647</definedName>
    <definedName name="solver_itr" localSheetId="7" hidden="1">2147483647</definedName>
    <definedName name="solver_itr" localSheetId="10" hidden="1">2147483647</definedName>
    <definedName name="solver_itr" localSheetId="5" hidden="1">2147483647</definedName>
    <definedName name="solver_itr" localSheetId="11" hidden="1">2147483647</definedName>
    <definedName name="solver_itr" localSheetId="6" hidden="1">2147483647</definedName>
    <definedName name="solver_itr" localSheetId="9" hidden="1">2147483647</definedName>
    <definedName name="solver_itr" localSheetId="4" hidden="1">2147483647</definedName>
    <definedName name="solver_itr" localSheetId="2" hidden="1">2147483647</definedName>
    <definedName name="solver_lhs1" localSheetId="8" hidden="1">'PVB (12-720) +'!$G$4:$I$4</definedName>
    <definedName name="solver_lhs1" localSheetId="3" hidden="1">'PVB (12-720) X'!$G$4:$I$4</definedName>
    <definedName name="solver_lhs1" localSheetId="12" hidden="1">'PVB (1-420) +'!$G$4:$I$4</definedName>
    <definedName name="solver_lhs1" localSheetId="7" hidden="1">'PVB (1-420) X'!$G$4:$I$4</definedName>
    <definedName name="solver_lhs1" localSheetId="10" hidden="1">'PVB (1-720) +'!$G$4:$I$4</definedName>
    <definedName name="solver_lhs1" localSheetId="5" hidden="1">'PVB (1-720) X'!$G$4:$I$4</definedName>
    <definedName name="solver_lhs1" localSheetId="11" hidden="1">'PVB (34-420) +'!$G$4:$I$4</definedName>
    <definedName name="solver_lhs1" localSheetId="6" hidden="1">'PVB (34-420) X'!$G$4:$I$4</definedName>
    <definedName name="solver_lhs1" localSheetId="9" hidden="1">'PVB (34-720) +'!$G$4:$I$4</definedName>
    <definedName name="solver_lhs1" localSheetId="4" hidden="1">'PVB (34-720) X'!$G$4:$I$4</definedName>
    <definedName name="solver_lhs1" localSheetId="2" hidden="1">'Total X'!$G$4:$I$4</definedName>
    <definedName name="solver_lhs2" localSheetId="8" hidden="1">'PVB (12-720) +'!$G$4:$I$4</definedName>
    <definedName name="solver_lhs2" localSheetId="3" hidden="1">'PVB (12-720) X'!$G$4:$I$4</definedName>
    <definedName name="solver_lhs2" localSheetId="12" hidden="1">'PVB (1-420) +'!$G$4:$I$4</definedName>
    <definedName name="solver_lhs2" localSheetId="7" hidden="1">'PVB (1-420) X'!$G$4:$I$4</definedName>
    <definedName name="solver_lhs2" localSheetId="10" hidden="1">'PVB (1-720) +'!$G$4:$I$4</definedName>
    <definedName name="solver_lhs2" localSheetId="5" hidden="1">'PVB (1-720) X'!$G$4:$I$4</definedName>
    <definedName name="solver_lhs2" localSheetId="11" hidden="1">'PVB (34-420) +'!$G$4:$I$4</definedName>
    <definedName name="solver_lhs2" localSheetId="6" hidden="1">'PVB (34-420) X'!$G$4:$I$4</definedName>
    <definedName name="solver_lhs2" localSheetId="9" hidden="1">'PVB (34-720) +'!$G$4:$I$4</definedName>
    <definedName name="solver_lhs2" localSheetId="4" hidden="1">'PVB (34-720) X'!$G$4:$I$4</definedName>
    <definedName name="solver_lhs2" localSheetId="2" hidden="1">'Total X'!$G$4:$I$4</definedName>
    <definedName name="solver_mip" localSheetId="8" hidden="1">2147483647</definedName>
    <definedName name="solver_mip" localSheetId="3" hidden="1">2147483647</definedName>
    <definedName name="solver_mip" localSheetId="12" hidden="1">2147483647</definedName>
    <definedName name="solver_mip" localSheetId="7" hidden="1">2147483647</definedName>
    <definedName name="solver_mip" localSheetId="10" hidden="1">2147483647</definedName>
    <definedName name="solver_mip" localSheetId="5" hidden="1">2147483647</definedName>
    <definedName name="solver_mip" localSheetId="11" hidden="1">2147483647</definedName>
    <definedName name="solver_mip" localSheetId="6" hidden="1">2147483647</definedName>
    <definedName name="solver_mip" localSheetId="9" hidden="1">2147483647</definedName>
    <definedName name="solver_mip" localSheetId="4" hidden="1">2147483647</definedName>
    <definedName name="solver_mip" localSheetId="2" hidden="1">2147483647</definedName>
    <definedName name="solver_mni" localSheetId="8" hidden="1">30</definedName>
    <definedName name="solver_mni" localSheetId="3" hidden="1">30</definedName>
    <definedName name="solver_mni" localSheetId="12" hidden="1">30</definedName>
    <definedName name="solver_mni" localSheetId="7" hidden="1">30</definedName>
    <definedName name="solver_mni" localSheetId="10" hidden="1">30</definedName>
    <definedName name="solver_mni" localSheetId="5" hidden="1">30</definedName>
    <definedName name="solver_mni" localSheetId="11" hidden="1">30</definedName>
    <definedName name="solver_mni" localSheetId="6" hidden="1">30</definedName>
    <definedName name="solver_mni" localSheetId="9" hidden="1">30</definedName>
    <definedName name="solver_mni" localSheetId="4" hidden="1">30</definedName>
    <definedName name="solver_mni" localSheetId="2" hidden="1">30</definedName>
    <definedName name="solver_mrt" localSheetId="8" hidden="1">0.075</definedName>
    <definedName name="solver_mrt" localSheetId="3" hidden="1">0.075</definedName>
    <definedName name="solver_mrt" localSheetId="12" hidden="1">0.075</definedName>
    <definedName name="solver_mrt" localSheetId="7" hidden="1">0.075</definedName>
    <definedName name="solver_mrt" localSheetId="10" hidden="1">0.075</definedName>
    <definedName name="solver_mrt" localSheetId="5" hidden="1">0.075</definedName>
    <definedName name="solver_mrt" localSheetId="11" hidden="1">0.075</definedName>
    <definedName name="solver_mrt" localSheetId="6" hidden="1">0.075</definedName>
    <definedName name="solver_mrt" localSheetId="9" hidden="1">0.075</definedName>
    <definedName name="solver_mrt" localSheetId="4" hidden="1">0.075</definedName>
    <definedName name="solver_mrt" localSheetId="2" hidden="1">0.075</definedName>
    <definedName name="solver_msl" localSheetId="8" hidden="1">2</definedName>
    <definedName name="solver_msl" localSheetId="3" hidden="1">2</definedName>
    <definedName name="solver_msl" localSheetId="12" hidden="1">2</definedName>
    <definedName name="solver_msl" localSheetId="7" hidden="1">2</definedName>
    <definedName name="solver_msl" localSheetId="10" hidden="1">2</definedName>
    <definedName name="solver_msl" localSheetId="5" hidden="1">2</definedName>
    <definedName name="solver_msl" localSheetId="11" hidden="1">2</definedName>
    <definedName name="solver_msl" localSheetId="6" hidden="1">2</definedName>
    <definedName name="solver_msl" localSheetId="9" hidden="1">2</definedName>
    <definedName name="solver_msl" localSheetId="4" hidden="1">2</definedName>
    <definedName name="solver_msl" localSheetId="2" hidden="1">2</definedName>
    <definedName name="solver_neg" localSheetId="0" hidden="1">1</definedName>
    <definedName name="solver_neg" localSheetId="8" hidden="1">1</definedName>
    <definedName name="solver_neg" localSheetId="3" hidden="1">1</definedName>
    <definedName name="solver_neg" localSheetId="12" hidden="1">1</definedName>
    <definedName name="solver_neg" localSheetId="7" hidden="1">1</definedName>
    <definedName name="solver_neg" localSheetId="10" hidden="1">1</definedName>
    <definedName name="solver_neg" localSheetId="5" hidden="1">1</definedName>
    <definedName name="solver_neg" localSheetId="11" hidden="1">1</definedName>
    <definedName name="solver_neg" localSheetId="6" hidden="1">1</definedName>
    <definedName name="solver_neg" localSheetId="9" hidden="1">1</definedName>
    <definedName name="solver_neg" localSheetId="4" hidden="1">1</definedName>
    <definedName name="solver_neg" localSheetId="2" hidden="1">1</definedName>
    <definedName name="solver_nod" localSheetId="8" hidden="1">2147483647</definedName>
    <definedName name="solver_nod" localSheetId="3" hidden="1">2147483647</definedName>
    <definedName name="solver_nod" localSheetId="12" hidden="1">2147483647</definedName>
    <definedName name="solver_nod" localSheetId="7" hidden="1">2147483647</definedName>
    <definedName name="solver_nod" localSheetId="10" hidden="1">2147483647</definedName>
    <definedName name="solver_nod" localSheetId="5" hidden="1">2147483647</definedName>
    <definedName name="solver_nod" localSheetId="11" hidden="1">2147483647</definedName>
    <definedName name="solver_nod" localSheetId="6" hidden="1">2147483647</definedName>
    <definedName name="solver_nod" localSheetId="9" hidden="1">2147483647</definedName>
    <definedName name="solver_nod" localSheetId="4" hidden="1">2147483647</definedName>
    <definedName name="solver_nod" localSheetId="2" hidden="1">2147483647</definedName>
    <definedName name="solver_num" localSheetId="0" hidden="1">0</definedName>
    <definedName name="solver_num" localSheetId="8" hidden="1">2</definedName>
    <definedName name="solver_num" localSheetId="3" hidden="1">2</definedName>
    <definedName name="solver_num" localSheetId="12" hidden="1">2</definedName>
    <definedName name="solver_num" localSheetId="7" hidden="1">2</definedName>
    <definedName name="solver_num" localSheetId="10" hidden="1">2</definedName>
    <definedName name="solver_num" localSheetId="5" hidden="1">2</definedName>
    <definedName name="solver_num" localSheetId="11" hidden="1">2</definedName>
    <definedName name="solver_num" localSheetId="6" hidden="1">2</definedName>
    <definedName name="solver_num" localSheetId="9" hidden="1">2</definedName>
    <definedName name="solver_num" localSheetId="4" hidden="1">2</definedName>
    <definedName name="solver_num" localSheetId="2" hidden="1">2</definedName>
    <definedName name="solver_nwt" localSheetId="8" hidden="1">1</definedName>
    <definedName name="solver_nwt" localSheetId="3" hidden="1">1</definedName>
    <definedName name="solver_nwt" localSheetId="12" hidden="1">1</definedName>
    <definedName name="solver_nwt" localSheetId="7" hidden="1">1</definedName>
    <definedName name="solver_nwt" localSheetId="10" hidden="1">1</definedName>
    <definedName name="solver_nwt" localSheetId="5" hidden="1">1</definedName>
    <definedName name="solver_nwt" localSheetId="11" hidden="1">1</definedName>
    <definedName name="solver_nwt" localSheetId="6" hidden="1">1</definedName>
    <definedName name="solver_nwt" localSheetId="9" hidden="1">1</definedName>
    <definedName name="solver_nwt" localSheetId="4" hidden="1">1</definedName>
    <definedName name="solver_nwt" localSheetId="2" hidden="1">1</definedName>
    <definedName name="solver_opt" localSheetId="0" hidden="1">Data!$E$2</definedName>
    <definedName name="solver_opt" localSheetId="8" hidden="1">'PVB (12-720) +'!$V$10</definedName>
    <definedName name="solver_opt" localSheetId="3" hidden="1">'PVB (12-720) X'!$V$10</definedName>
    <definedName name="solver_opt" localSheetId="12" hidden="1">'PVB (1-420) +'!$V$10</definedName>
    <definedName name="solver_opt" localSheetId="7" hidden="1">'PVB (1-420) X'!$V$10</definedName>
    <definedName name="solver_opt" localSheetId="10" hidden="1">'PVB (1-720) +'!$V$10</definedName>
    <definedName name="solver_opt" localSheetId="5" hidden="1">'PVB (1-720) X'!$V$10</definedName>
    <definedName name="solver_opt" localSheetId="11" hidden="1">'PVB (34-420) +'!$V$10</definedName>
    <definedName name="solver_opt" localSheetId="6" hidden="1">'PVB (34-420) X'!$V$10</definedName>
    <definedName name="solver_opt" localSheetId="9" hidden="1">'PVB (34-720) +'!$V$10</definedName>
    <definedName name="solver_opt" localSheetId="4" hidden="1">'PVB (34-720) X'!$V$10</definedName>
    <definedName name="solver_opt" localSheetId="2" hidden="1">'Total X'!$W$10</definedName>
    <definedName name="solver_pre" localSheetId="8" hidden="1">0.000001</definedName>
    <definedName name="solver_pre" localSheetId="3" hidden="1">0.000001</definedName>
    <definedName name="solver_pre" localSheetId="12" hidden="1">0.000001</definedName>
    <definedName name="solver_pre" localSheetId="7" hidden="1">0.000001</definedName>
    <definedName name="solver_pre" localSheetId="10" hidden="1">0.000001</definedName>
    <definedName name="solver_pre" localSheetId="5" hidden="1">0.000001</definedName>
    <definedName name="solver_pre" localSheetId="11" hidden="1">0.000001</definedName>
    <definedName name="solver_pre" localSheetId="6" hidden="1">0.000001</definedName>
    <definedName name="solver_pre" localSheetId="9" hidden="1">0.000001</definedName>
    <definedName name="solver_pre" localSheetId="4" hidden="1">0.000001</definedName>
    <definedName name="solver_pre" localSheetId="2" hidden="1">0.000001</definedName>
    <definedName name="solver_rbv" localSheetId="8" hidden="1">1</definedName>
    <definedName name="solver_rbv" localSheetId="3" hidden="1">1</definedName>
    <definedName name="solver_rbv" localSheetId="12" hidden="1">1</definedName>
    <definedName name="solver_rbv" localSheetId="7" hidden="1">1</definedName>
    <definedName name="solver_rbv" localSheetId="10" hidden="1">1</definedName>
    <definedName name="solver_rbv" localSheetId="5" hidden="1">1</definedName>
    <definedName name="solver_rbv" localSheetId="11" hidden="1">1</definedName>
    <definedName name="solver_rbv" localSheetId="6" hidden="1">1</definedName>
    <definedName name="solver_rbv" localSheetId="9" hidden="1">1</definedName>
    <definedName name="solver_rbv" localSheetId="4" hidden="1">1</definedName>
    <definedName name="solver_rbv" localSheetId="2" hidden="1">1</definedName>
    <definedName name="solver_rel1" localSheetId="8" hidden="1">1</definedName>
    <definedName name="solver_rel1" localSheetId="3" hidden="1">1</definedName>
    <definedName name="solver_rel1" localSheetId="12" hidden="1">1</definedName>
    <definedName name="solver_rel1" localSheetId="7" hidden="1">1</definedName>
    <definedName name="solver_rel1" localSheetId="10" hidden="1">1</definedName>
    <definedName name="solver_rel1" localSheetId="5" hidden="1">1</definedName>
    <definedName name="solver_rel1" localSheetId="11" hidden="1">1</definedName>
    <definedName name="solver_rel1" localSheetId="6" hidden="1">1</definedName>
    <definedName name="solver_rel1" localSheetId="9" hidden="1">1</definedName>
    <definedName name="solver_rel1" localSheetId="4" hidden="1">1</definedName>
    <definedName name="solver_rel1" localSheetId="2" hidden="1">1</definedName>
    <definedName name="solver_rel2" localSheetId="8" hidden="1">3</definedName>
    <definedName name="solver_rel2" localSheetId="3" hidden="1">3</definedName>
    <definedName name="solver_rel2" localSheetId="12" hidden="1">3</definedName>
    <definedName name="solver_rel2" localSheetId="7" hidden="1">3</definedName>
    <definedName name="solver_rel2" localSheetId="10" hidden="1">3</definedName>
    <definedName name="solver_rel2" localSheetId="5" hidden="1">3</definedName>
    <definedName name="solver_rel2" localSheetId="11" hidden="1">3</definedName>
    <definedName name="solver_rel2" localSheetId="6" hidden="1">3</definedName>
    <definedName name="solver_rel2" localSheetId="9" hidden="1">3</definedName>
    <definedName name="solver_rel2" localSheetId="4" hidden="1">3</definedName>
    <definedName name="solver_rel2" localSheetId="2" hidden="1">3</definedName>
    <definedName name="solver_rhs1" localSheetId="8" hidden="1">1</definedName>
    <definedName name="solver_rhs1" localSheetId="3" hidden="1">1</definedName>
    <definedName name="solver_rhs1" localSheetId="12" hidden="1">1</definedName>
    <definedName name="solver_rhs1" localSheetId="7" hidden="1">1</definedName>
    <definedName name="solver_rhs1" localSheetId="10" hidden="1">1</definedName>
    <definedName name="solver_rhs1" localSheetId="5" hidden="1">1</definedName>
    <definedName name="solver_rhs1" localSheetId="11" hidden="1">1</definedName>
    <definedName name="solver_rhs1" localSheetId="6" hidden="1">1</definedName>
    <definedName name="solver_rhs1" localSheetId="9" hidden="1">1</definedName>
    <definedName name="solver_rhs1" localSheetId="4" hidden="1">1</definedName>
    <definedName name="solver_rhs1" localSheetId="2" hidden="1">1</definedName>
    <definedName name="solver_rhs2" localSheetId="8" hidden="1">0</definedName>
    <definedName name="solver_rhs2" localSheetId="3" hidden="1">0</definedName>
    <definedName name="solver_rhs2" localSheetId="12" hidden="1">0</definedName>
    <definedName name="solver_rhs2" localSheetId="7" hidden="1">0</definedName>
    <definedName name="solver_rhs2" localSheetId="10" hidden="1">0</definedName>
    <definedName name="solver_rhs2" localSheetId="5" hidden="1">0</definedName>
    <definedName name="solver_rhs2" localSheetId="11" hidden="1">0</definedName>
    <definedName name="solver_rhs2" localSheetId="6" hidden="1">0</definedName>
    <definedName name="solver_rhs2" localSheetId="9" hidden="1">0</definedName>
    <definedName name="solver_rhs2" localSheetId="4" hidden="1">0</definedName>
    <definedName name="solver_rhs2" localSheetId="2" hidden="1">0</definedName>
    <definedName name="solver_rlx" localSheetId="8" hidden="1">2</definedName>
    <definedName name="solver_rlx" localSheetId="3" hidden="1">2</definedName>
    <definedName name="solver_rlx" localSheetId="12" hidden="1">2</definedName>
    <definedName name="solver_rlx" localSheetId="7" hidden="1">2</definedName>
    <definedName name="solver_rlx" localSheetId="10" hidden="1">2</definedName>
    <definedName name="solver_rlx" localSheetId="5" hidden="1">2</definedName>
    <definedName name="solver_rlx" localSheetId="11" hidden="1">2</definedName>
    <definedName name="solver_rlx" localSheetId="6" hidden="1">2</definedName>
    <definedName name="solver_rlx" localSheetId="9" hidden="1">2</definedName>
    <definedName name="solver_rlx" localSheetId="4" hidden="1">2</definedName>
    <definedName name="solver_rlx" localSheetId="2" hidden="1">2</definedName>
    <definedName name="solver_rsd" localSheetId="8" hidden="1">0</definedName>
    <definedName name="solver_rsd" localSheetId="3" hidden="1">0</definedName>
    <definedName name="solver_rsd" localSheetId="12" hidden="1">0</definedName>
    <definedName name="solver_rsd" localSheetId="7" hidden="1">0</definedName>
    <definedName name="solver_rsd" localSheetId="10" hidden="1">0</definedName>
    <definedName name="solver_rsd" localSheetId="5" hidden="1">0</definedName>
    <definedName name="solver_rsd" localSheetId="11" hidden="1">0</definedName>
    <definedName name="solver_rsd" localSheetId="6" hidden="1">0</definedName>
    <definedName name="solver_rsd" localSheetId="9" hidden="1">0</definedName>
    <definedName name="solver_rsd" localSheetId="4" hidden="1">0</definedName>
    <definedName name="solver_rsd" localSheetId="2" hidden="1">0</definedName>
    <definedName name="solver_scl" localSheetId="8" hidden="1">1</definedName>
    <definedName name="solver_scl" localSheetId="3" hidden="1">1</definedName>
    <definedName name="solver_scl" localSheetId="12" hidden="1">1</definedName>
    <definedName name="solver_scl" localSheetId="7" hidden="1">1</definedName>
    <definedName name="solver_scl" localSheetId="10" hidden="1">1</definedName>
    <definedName name="solver_scl" localSheetId="5" hidden="1">1</definedName>
    <definedName name="solver_scl" localSheetId="11" hidden="1">1</definedName>
    <definedName name="solver_scl" localSheetId="6" hidden="1">1</definedName>
    <definedName name="solver_scl" localSheetId="9" hidden="1">1</definedName>
    <definedName name="solver_scl" localSheetId="4" hidden="1">1</definedName>
    <definedName name="solver_scl" localSheetId="2" hidden="1">1</definedName>
    <definedName name="solver_sho" localSheetId="8" hidden="1">2</definedName>
    <definedName name="solver_sho" localSheetId="3" hidden="1">2</definedName>
    <definedName name="solver_sho" localSheetId="12" hidden="1">2</definedName>
    <definedName name="solver_sho" localSheetId="7" hidden="1">2</definedName>
    <definedName name="solver_sho" localSheetId="10" hidden="1">2</definedName>
    <definedName name="solver_sho" localSheetId="5" hidden="1">2</definedName>
    <definedName name="solver_sho" localSheetId="11" hidden="1">2</definedName>
    <definedName name="solver_sho" localSheetId="6" hidden="1">2</definedName>
    <definedName name="solver_sho" localSheetId="9" hidden="1">2</definedName>
    <definedName name="solver_sho" localSheetId="4" hidden="1">2</definedName>
    <definedName name="solver_sho" localSheetId="2" hidden="1">2</definedName>
    <definedName name="solver_ssz" localSheetId="8" hidden="1">100</definedName>
    <definedName name="solver_ssz" localSheetId="3" hidden="1">100</definedName>
    <definedName name="solver_ssz" localSheetId="12" hidden="1">100</definedName>
    <definedName name="solver_ssz" localSheetId="7" hidden="1">100</definedName>
    <definedName name="solver_ssz" localSheetId="10" hidden="1">100</definedName>
    <definedName name="solver_ssz" localSheetId="5" hidden="1">100</definedName>
    <definedName name="solver_ssz" localSheetId="11" hidden="1">100</definedName>
    <definedName name="solver_ssz" localSheetId="6" hidden="1">100</definedName>
    <definedName name="solver_ssz" localSheetId="9" hidden="1">100</definedName>
    <definedName name="solver_ssz" localSheetId="4" hidden="1">100</definedName>
    <definedName name="solver_ssz" localSheetId="2" hidden="1">100</definedName>
    <definedName name="solver_tim" localSheetId="8" hidden="1">2147483647</definedName>
    <definedName name="solver_tim" localSheetId="3" hidden="1">2147483647</definedName>
    <definedName name="solver_tim" localSheetId="12" hidden="1">2147483647</definedName>
    <definedName name="solver_tim" localSheetId="7" hidden="1">2147483647</definedName>
    <definedName name="solver_tim" localSheetId="10" hidden="1">2147483647</definedName>
    <definedName name="solver_tim" localSheetId="5" hidden="1">2147483647</definedName>
    <definedName name="solver_tim" localSheetId="11" hidden="1">2147483647</definedName>
    <definedName name="solver_tim" localSheetId="6" hidden="1">2147483647</definedName>
    <definedName name="solver_tim" localSheetId="9" hidden="1">2147483647</definedName>
    <definedName name="solver_tim" localSheetId="4" hidden="1">2147483647</definedName>
    <definedName name="solver_tim" localSheetId="2" hidden="1">2147483647</definedName>
    <definedName name="solver_tol" localSheetId="8" hidden="1">0.01</definedName>
    <definedName name="solver_tol" localSheetId="3" hidden="1">0.01</definedName>
    <definedName name="solver_tol" localSheetId="12" hidden="1">0.01</definedName>
    <definedName name="solver_tol" localSheetId="7" hidden="1">0.01</definedName>
    <definedName name="solver_tol" localSheetId="10" hidden="1">0.01</definedName>
    <definedName name="solver_tol" localSheetId="5" hidden="1">0.01</definedName>
    <definedName name="solver_tol" localSheetId="11" hidden="1">0.01</definedName>
    <definedName name="solver_tol" localSheetId="6" hidden="1">0.01</definedName>
    <definedName name="solver_tol" localSheetId="9" hidden="1">0.01</definedName>
    <definedName name="solver_tol" localSheetId="4" hidden="1">0.01</definedName>
    <definedName name="solver_tol" localSheetId="2" hidden="1">0.01</definedName>
    <definedName name="solver_typ" localSheetId="0" hidden="1">1</definedName>
    <definedName name="solver_typ" localSheetId="8" hidden="1">2</definedName>
    <definedName name="solver_typ" localSheetId="3" hidden="1">2</definedName>
    <definedName name="solver_typ" localSheetId="12" hidden="1">2</definedName>
    <definedName name="solver_typ" localSheetId="7" hidden="1">2</definedName>
    <definedName name="solver_typ" localSheetId="10" hidden="1">2</definedName>
    <definedName name="solver_typ" localSheetId="5" hidden="1">2</definedName>
    <definedName name="solver_typ" localSheetId="11" hidden="1">2</definedName>
    <definedName name="solver_typ" localSheetId="6" hidden="1">2</definedName>
    <definedName name="solver_typ" localSheetId="9" hidden="1">2</definedName>
    <definedName name="solver_typ" localSheetId="4" hidden="1">2</definedName>
    <definedName name="solver_typ" localSheetId="2" hidden="1">2</definedName>
    <definedName name="solver_val" localSheetId="0" hidden="1">0</definedName>
    <definedName name="solver_val" localSheetId="8" hidden="1">0</definedName>
    <definedName name="solver_val" localSheetId="3" hidden="1">0</definedName>
    <definedName name="solver_val" localSheetId="12" hidden="1">0</definedName>
    <definedName name="solver_val" localSheetId="7" hidden="1">0</definedName>
    <definedName name="solver_val" localSheetId="10" hidden="1">0</definedName>
    <definedName name="solver_val" localSheetId="5" hidden="1">0</definedName>
    <definedName name="solver_val" localSheetId="11" hidden="1">0</definedName>
    <definedName name="solver_val" localSheetId="6" hidden="1">0</definedName>
    <definedName name="solver_val" localSheetId="9" hidden="1">0</definedName>
    <definedName name="solver_val" localSheetId="4" hidden="1">0</definedName>
    <definedName name="solver_val" localSheetId="2" hidden="1">0</definedName>
    <definedName name="solver_ver" localSheetId="0" hidden="1">3</definedName>
    <definedName name="solver_ver" localSheetId="8" hidden="1">3</definedName>
    <definedName name="solver_ver" localSheetId="3" hidden="1">3</definedName>
    <definedName name="solver_ver" localSheetId="12" hidden="1">3</definedName>
    <definedName name="solver_ver" localSheetId="7" hidden="1">3</definedName>
    <definedName name="solver_ver" localSheetId="10" hidden="1">3</definedName>
    <definedName name="solver_ver" localSheetId="5" hidden="1">3</definedName>
    <definedName name="solver_ver" localSheetId="11" hidden="1">3</definedName>
    <definedName name="solver_ver" localSheetId="6" hidden="1">3</definedName>
    <definedName name="solver_ver" localSheetId="9" hidden="1">3</definedName>
    <definedName name="solver_ver" localSheetId="4" hidden="1">3</definedName>
    <definedName name="solver_ver" localSheetId="2" hidden="1">3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5" l="1"/>
  <c r="O8" i="10" l="1"/>
  <c r="W4" i="10"/>
  <c r="R8" i="5" l="1"/>
  <c r="M8" i="15" l="1"/>
  <c r="J23" i="1"/>
  <c r="AL4" i="15" s="1"/>
  <c r="AH4" i="15"/>
  <c r="AI4" i="15"/>
  <c r="AJ4" i="15"/>
  <c r="AK4" i="15"/>
  <c r="AG4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N23" i="15" s="1"/>
  <c r="L24" i="15"/>
  <c r="L8" i="15"/>
  <c r="N8" i="15" s="1"/>
  <c r="M24" i="15"/>
  <c r="M23" i="15"/>
  <c r="M22" i="15"/>
  <c r="M21" i="15"/>
  <c r="M20" i="15"/>
  <c r="N20" i="15" s="1"/>
  <c r="M19" i="15"/>
  <c r="M18" i="15"/>
  <c r="M17" i="15"/>
  <c r="M16" i="15"/>
  <c r="M15" i="15"/>
  <c r="M14" i="15"/>
  <c r="M13" i="15"/>
  <c r="N13" i="15" s="1"/>
  <c r="M12" i="15"/>
  <c r="M11" i="15"/>
  <c r="M10" i="15"/>
  <c r="M9" i="15"/>
  <c r="AB5" i="15"/>
  <c r="P7" i="15" s="1"/>
  <c r="AB4" i="15"/>
  <c r="O7" i="15" s="1"/>
  <c r="F23" i="1"/>
  <c r="G23" i="1"/>
  <c r="H23" i="1"/>
  <c r="I23" i="1"/>
  <c r="E23" i="1"/>
  <c r="J22" i="1"/>
  <c r="F22" i="1"/>
  <c r="G22" i="1"/>
  <c r="H22" i="1"/>
  <c r="I22" i="1"/>
  <c r="E22" i="1"/>
  <c r="N22" i="15" l="1"/>
  <c r="N21" i="15"/>
  <c r="N14" i="15"/>
  <c r="N24" i="15"/>
  <c r="N16" i="15"/>
  <c r="N15" i="15"/>
  <c r="N10" i="15"/>
  <c r="N9" i="15"/>
  <c r="N17" i="15"/>
  <c r="N18" i="15"/>
  <c r="N11" i="15"/>
  <c r="N19" i="15"/>
  <c r="N12" i="15"/>
  <c r="M8" i="7"/>
  <c r="M24" i="7"/>
  <c r="N24" i="7" s="1"/>
  <c r="L24" i="7"/>
  <c r="W6" i="15" l="1"/>
  <c r="W5" i="15"/>
  <c r="W4" i="15"/>
  <c r="W7" i="15"/>
  <c r="N9" i="14"/>
  <c r="N10" i="14"/>
  <c r="N11" i="14"/>
  <c r="N12" i="14"/>
  <c r="N13" i="14"/>
  <c r="N14" i="14"/>
  <c r="N15" i="14"/>
  <c r="V7" i="14" s="1"/>
  <c r="N16" i="14"/>
  <c r="N17" i="14"/>
  <c r="N18" i="14"/>
  <c r="N19" i="14"/>
  <c r="N20" i="14"/>
  <c r="N21" i="14"/>
  <c r="N22" i="14"/>
  <c r="N23" i="14"/>
  <c r="N24" i="14"/>
  <c r="N8" i="14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8" i="13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AA5" i="14"/>
  <c r="P7" i="14" s="1"/>
  <c r="AA4" i="14"/>
  <c r="O7" i="14" s="1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P7" i="13"/>
  <c r="AA5" i="13"/>
  <c r="AA4" i="13"/>
  <c r="O7" i="13" s="1"/>
  <c r="N9" i="12"/>
  <c r="N10" i="12"/>
  <c r="N11" i="12"/>
  <c r="N12" i="12"/>
  <c r="N13" i="12"/>
  <c r="N14" i="12"/>
  <c r="N15" i="12"/>
  <c r="V7" i="12" s="1"/>
  <c r="N16" i="12"/>
  <c r="N17" i="12"/>
  <c r="N18" i="12"/>
  <c r="N19" i="12"/>
  <c r="N20" i="12"/>
  <c r="N21" i="12"/>
  <c r="N22" i="12"/>
  <c r="N23" i="12"/>
  <c r="N24" i="12"/>
  <c r="N8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V4" i="12" s="1"/>
  <c r="L8" i="12"/>
  <c r="AA5" i="12"/>
  <c r="P7" i="12" s="1"/>
  <c r="AA4" i="12"/>
  <c r="O7" i="12" s="1"/>
  <c r="N9" i="11"/>
  <c r="N10" i="11"/>
  <c r="N11" i="11"/>
  <c r="N12" i="11"/>
  <c r="N13" i="11"/>
  <c r="N14" i="11"/>
  <c r="V6" i="11" s="1"/>
  <c r="N15" i="11"/>
  <c r="N16" i="11"/>
  <c r="N17" i="11"/>
  <c r="N18" i="11"/>
  <c r="N19" i="11"/>
  <c r="N20" i="11"/>
  <c r="N21" i="11"/>
  <c r="N22" i="11"/>
  <c r="N23" i="11"/>
  <c r="N24" i="11"/>
  <c r="N8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AA5" i="11"/>
  <c r="P7" i="11" s="1"/>
  <c r="AA4" i="11"/>
  <c r="O7" i="11" s="1"/>
  <c r="R8" i="10"/>
  <c r="X4" i="15" l="1"/>
  <c r="V6" i="14"/>
  <c r="V5" i="14"/>
  <c r="V4" i="14"/>
  <c r="V5" i="13"/>
  <c r="V7" i="13"/>
  <c r="V6" i="13"/>
  <c r="V6" i="12"/>
  <c r="V5" i="12"/>
  <c r="V5" i="11"/>
  <c r="P8" i="10"/>
  <c r="O9" i="10" s="1"/>
  <c r="Q8" i="10"/>
  <c r="O8" i="9"/>
  <c r="N8" i="9"/>
  <c r="O8" i="8"/>
  <c r="Q8" i="8" s="1"/>
  <c r="O8" i="6"/>
  <c r="Q8" i="6" s="1"/>
  <c r="O8" i="5"/>
  <c r="Q8" i="5" s="1"/>
  <c r="M12" i="10"/>
  <c r="N12" i="10"/>
  <c r="N8" i="10"/>
  <c r="O7" i="10"/>
  <c r="N9" i="10"/>
  <c r="N10" i="10"/>
  <c r="N11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V4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L12" i="10"/>
  <c r="M11" i="10"/>
  <c r="L11" i="10"/>
  <c r="M10" i="10"/>
  <c r="L10" i="10"/>
  <c r="M9" i="10"/>
  <c r="L9" i="10"/>
  <c r="M8" i="10"/>
  <c r="L8" i="10"/>
  <c r="AA5" i="10"/>
  <c r="P7" i="10" s="1"/>
  <c r="AA4" i="10"/>
  <c r="Y5" i="15" l="1"/>
  <c r="AB7" i="15" s="1"/>
  <c r="Q5" i="15" s="1"/>
  <c r="Y4" i="15"/>
  <c r="AB6" i="15" s="1"/>
  <c r="Q4" i="15" s="1"/>
  <c r="O8" i="15" s="1"/>
  <c r="Y6" i="15"/>
  <c r="AB8" i="15" s="1"/>
  <c r="Q6" i="15" s="1"/>
  <c r="Y7" i="15"/>
  <c r="AB9" i="15" s="1"/>
  <c r="Q7" i="15" s="1"/>
  <c r="W4" i="14"/>
  <c r="V4" i="13"/>
  <c r="W4" i="12"/>
  <c r="V4" i="11"/>
  <c r="V7" i="11"/>
  <c r="R9" i="10"/>
  <c r="P9" i="10"/>
  <c r="O10" i="10" s="1"/>
  <c r="Q9" i="10"/>
  <c r="Q8" i="9"/>
  <c r="P8" i="5"/>
  <c r="O9" i="5" s="1"/>
  <c r="Q9" i="5" s="1"/>
  <c r="V5" i="10"/>
  <c r="V7" i="10"/>
  <c r="V6" i="10"/>
  <c r="P8" i="15" l="1"/>
  <c r="Q8" i="15"/>
  <c r="R8" i="15"/>
  <c r="X5" i="14"/>
  <c r="AA7" i="14" s="1"/>
  <c r="Q5" i="14" s="1"/>
  <c r="X6" i="14"/>
  <c r="AA8" i="14" s="1"/>
  <c r="Q6" i="14" s="1"/>
  <c r="X7" i="14"/>
  <c r="AA9" i="14" s="1"/>
  <c r="Q7" i="14" s="1"/>
  <c r="X4" i="14"/>
  <c r="AA6" i="14" s="1"/>
  <c r="Q4" i="14" s="1"/>
  <c r="W4" i="13"/>
  <c r="X7" i="12"/>
  <c r="AA9" i="12" s="1"/>
  <c r="Q7" i="12" s="1"/>
  <c r="X5" i="12"/>
  <c r="X6" i="12"/>
  <c r="AA8" i="12" s="1"/>
  <c r="Q6" i="12" s="1"/>
  <c r="X4" i="12"/>
  <c r="AA6" i="12"/>
  <c r="Q4" i="12" s="1"/>
  <c r="AA7" i="12"/>
  <c r="Q5" i="12" s="1"/>
  <c r="W4" i="11"/>
  <c r="X4" i="11" s="1"/>
  <c r="R10" i="10"/>
  <c r="Q10" i="10"/>
  <c r="P10" i="10"/>
  <c r="O11" i="10" s="1"/>
  <c r="P11" i="10" s="1"/>
  <c r="O12" i="10" s="1"/>
  <c r="AL6" i="15" l="1"/>
  <c r="S8" i="15"/>
  <c r="U8" i="15" s="1"/>
  <c r="R8" i="14"/>
  <c r="O8" i="14"/>
  <c r="X7" i="13"/>
  <c r="AA9" i="13" s="1"/>
  <c r="Q7" i="13" s="1"/>
  <c r="X6" i="13"/>
  <c r="AA8" i="13" s="1"/>
  <c r="Q6" i="13" s="1"/>
  <c r="X5" i="13"/>
  <c r="X4" i="13"/>
  <c r="AA6" i="13" s="1"/>
  <c r="Q4" i="13" s="1"/>
  <c r="S8" i="14"/>
  <c r="AA7" i="13"/>
  <c r="Q5" i="13" s="1"/>
  <c r="R8" i="12"/>
  <c r="S8" i="12" s="1"/>
  <c r="O8" i="12"/>
  <c r="X7" i="11"/>
  <c r="AA9" i="11" s="1"/>
  <c r="Q7" i="11" s="1"/>
  <c r="X6" i="11"/>
  <c r="AA8" i="11" s="1"/>
  <c r="Q6" i="11" s="1"/>
  <c r="X5" i="11"/>
  <c r="AA7" i="11"/>
  <c r="Q5" i="11" s="1"/>
  <c r="AA6" i="11"/>
  <c r="Q4" i="11" s="1"/>
  <c r="Q11" i="10"/>
  <c r="R11" i="10"/>
  <c r="P12" i="10"/>
  <c r="R13" i="10" s="1"/>
  <c r="Q12" i="10"/>
  <c r="R12" i="10"/>
  <c r="X5" i="10"/>
  <c r="AA7" i="10" s="1"/>
  <c r="Q5" i="10" s="1"/>
  <c r="X6" i="10"/>
  <c r="AA8" i="10" s="1"/>
  <c r="Q6" i="10" s="1"/>
  <c r="X7" i="10"/>
  <c r="AA9" i="10" s="1"/>
  <c r="Q7" i="10" s="1"/>
  <c r="X4" i="10"/>
  <c r="AA6" i="10" s="1"/>
  <c r="Q4" i="10" s="1"/>
  <c r="AI6" i="15" l="1"/>
  <c r="AI29" i="15" s="1"/>
  <c r="AI47" i="15" s="1"/>
  <c r="AJ6" i="15"/>
  <c r="AJ29" i="15" s="1"/>
  <c r="AJ47" i="15" s="1"/>
  <c r="AG6" i="15"/>
  <c r="AG29" i="15" s="1"/>
  <c r="AG47" i="15" s="1"/>
  <c r="AK6" i="15"/>
  <c r="AK29" i="15" s="1"/>
  <c r="AK47" i="15" s="1"/>
  <c r="AH6" i="15"/>
  <c r="AH29" i="15" s="1"/>
  <c r="AH47" i="15" s="1"/>
  <c r="O9" i="15"/>
  <c r="R9" i="15"/>
  <c r="Q8" i="14"/>
  <c r="P8" i="14"/>
  <c r="R9" i="14" s="1"/>
  <c r="R8" i="13"/>
  <c r="S8" i="13" s="1"/>
  <c r="O8" i="13"/>
  <c r="T8" i="14"/>
  <c r="Q8" i="12"/>
  <c r="P8" i="12"/>
  <c r="R9" i="12" s="1"/>
  <c r="T8" i="12"/>
  <c r="O8" i="11"/>
  <c r="R8" i="11"/>
  <c r="S8" i="11" s="1"/>
  <c r="O13" i="10"/>
  <c r="S8" i="10"/>
  <c r="T8" i="10" s="1"/>
  <c r="M8" i="8"/>
  <c r="R8" i="8"/>
  <c r="S9" i="15" l="1"/>
  <c r="AL7" i="15"/>
  <c r="Q9" i="15"/>
  <c r="P9" i="15"/>
  <c r="O10" i="15" s="1"/>
  <c r="O9" i="14"/>
  <c r="P9" i="14" s="1"/>
  <c r="O10" i="14" s="1"/>
  <c r="Q8" i="13"/>
  <c r="P8" i="13"/>
  <c r="R9" i="13" s="1"/>
  <c r="S9" i="13" s="1"/>
  <c r="T9" i="13" s="1"/>
  <c r="S9" i="14"/>
  <c r="T8" i="13"/>
  <c r="O9" i="12"/>
  <c r="S9" i="12"/>
  <c r="Q8" i="11"/>
  <c r="P8" i="11"/>
  <c r="R9" i="11" s="1"/>
  <c r="T8" i="11"/>
  <c r="P13" i="10"/>
  <c r="O14" i="10" s="1"/>
  <c r="Q13" i="10"/>
  <c r="S9" i="10"/>
  <c r="P8" i="8"/>
  <c r="O9" i="8" s="1"/>
  <c r="Q9" i="8" s="1"/>
  <c r="L9" i="9"/>
  <c r="L10" i="9"/>
  <c r="L11" i="9"/>
  <c r="N11" i="9" s="1"/>
  <c r="L12" i="9"/>
  <c r="L13" i="9"/>
  <c r="L14" i="9"/>
  <c r="L15" i="9"/>
  <c r="L16" i="9"/>
  <c r="L17" i="9"/>
  <c r="L18" i="9"/>
  <c r="N18" i="9" s="1"/>
  <c r="L19" i="9"/>
  <c r="N19" i="9" s="1"/>
  <c r="L20" i="9"/>
  <c r="L21" i="9"/>
  <c r="L22" i="9"/>
  <c r="L23" i="9"/>
  <c r="L24" i="9"/>
  <c r="L8" i="9"/>
  <c r="M24" i="9"/>
  <c r="M23" i="9"/>
  <c r="M22" i="9"/>
  <c r="N22" i="9" s="1"/>
  <c r="M21" i="9"/>
  <c r="N21" i="9"/>
  <c r="M20" i="9"/>
  <c r="M19" i="9"/>
  <c r="M18" i="9"/>
  <c r="M17" i="9"/>
  <c r="N17" i="9" s="1"/>
  <c r="M16" i="9"/>
  <c r="M15" i="9"/>
  <c r="M14" i="9"/>
  <c r="N14" i="9"/>
  <c r="M13" i="9"/>
  <c r="N13" i="9"/>
  <c r="M12" i="9"/>
  <c r="M11" i="9"/>
  <c r="M10" i="9"/>
  <c r="M9" i="9"/>
  <c r="N9" i="9"/>
  <c r="M8" i="9"/>
  <c r="AA5" i="9"/>
  <c r="P7" i="9" s="1"/>
  <c r="AA4" i="9"/>
  <c r="O7" i="9" s="1"/>
  <c r="L9" i="8"/>
  <c r="L10" i="8"/>
  <c r="L11" i="8"/>
  <c r="L12" i="8"/>
  <c r="L13" i="8"/>
  <c r="L14" i="8"/>
  <c r="N14" i="8" s="1"/>
  <c r="L15" i="8"/>
  <c r="N15" i="8" s="1"/>
  <c r="L16" i="8"/>
  <c r="L17" i="8"/>
  <c r="L18" i="8"/>
  <c r="L19" i="8"/>
  <c r="L20" i="8"/>
  <c r="L21" i="8"/>
  <c r="L22" i="8"/>
  <c r="L23" i="8"/>
  <c r="N23" i="8" s="1"/>
  <c r="L24" i="8"/>
  <c r="N24" i="8" s="1"/>
  <c r="L8" i="8"/>
  <c r="M24" i="8"/>
  <c r="M23" i="8"/>
  <c r="M22" i="8"/>
  <c r="N22" i="8"/>
  <c r="M21" i="8"/>
  <c r="N20" i="8"/>
  <c r="M20" i="8"/>
  <c r="M19" i="8"/>
  <c r="N19" i="8" s="1"/>
  <c r="M18" i="8"/>
  <c r="N18" i="8" s="1"/>
  <c r="M17" i="8"/>
  <c r="M16" i="8"/>
  <c r="M15" i="8"/>
  <c r="M14" i="8"/>
  <c r="M13" i="8"/>
  <c r="N13" i="8" s="1"/>
  <c r="M12" i="8"/>
  <c r="N12" i="8" s="1"/>
  <c r="N11" i="8"/>
  <c r="M11" i="8"/>
  <c r="M10" i="8"/>
  <c r="M9" i="8"/>
  <c r="N9" i="8"/>
  <c r="AA5" i="8"/>
  <c r="P7" i="8" s="1"/>
  <c r="AA4" i="8"/>
  <c r="O7" i="8" s="1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8" i="7"/>
  <c r="M23" i="7"/>
  <c r="M22" i="7"/>
  <c r="M21" i="7"/>
  <c r="M20" i="7"/>
  <c r="M19" i="7"/>
  <c r="M18" i="7"/>
  <c r="M17" i="7"/>
  <c r="M16" i="7"/>
  <c r="M15" i="7"/>
  <c r="M14" i="7"/>
  <c r="N14" i="7" s="1"/>
  <c r="M13" i="7"/>
  <c r="M12" i="7"/>
  <c r="M11" i="7"/>
  <c r="M10" i="7"/>
  <c r="M9" i="7"/>
  <c r="AA5" i="7"/>
  <c r="P7" i="7" s="1"/>
  <c r="AA4" i="7"/>
  <c r="O7" i="7" s="1"/>
  <c r="L9" i="6"/>
  <c r="L10" i="6"/>
  <c r="N10" i="6" s="1"/>
  <c r="L11" i="6"/>
  <c r="L12" i="6"/>
  <c r="L13" i="6"/>
  <c r="L14" i="6"/>
  <c r="L15" i="6"/>
  <c r="L16" i="6"/>
  <c r="L17" i="6"/>
  <c r="L18" i="6"/>
  <c r="L19" i="6"/>
  <c r="L20" i="6"/>
  <c r="L21" i="6"/>
  <c r="N21" i="6" s="1"/>
  <c r="L22" i="6"/>
  <c r="L23" i="6"/>
  <c r="L24" i="6"/>
  <c r="L8" i="6"/>
  <c r="M24" i="6"/>
  <c r="M23" i="6"/>
  <c r="N23" i="6" s="1"/>
  <c r="N22" i="6"/>
  <c r="M22" i="6"/>
  <c r="M21" i="6"/>
  <c r="M20" i="6"/>
  <c r="M19" i="6"/>
  <c r="M18" i="6"/>
  <c r="M17" i="6"/>
  <c r="M16" i="6"/>
  <c r="N16" i="6"/>
  <c r="M15" i="6"/>
  <c r="N15" i="6" s="1"/>
  <c r="M14" i="6"/>
  <c r="N14" i="6" s="1"/>
  <c r="M13" i="6"/>
  <c r="M12" i="6"/>
  <c r="M11" i="6"/>
  <c r="M10" i="6"/>
  <c r="M9" i="6"/>
  <c r="M8" i="6"/>
  <c r="AA5" i="6"/>
  <c r="P7" i="6" s="1"/>
  <c r="AA4" i="6"/>
  <c r="O7" i="6" s="1"/>
  <c r="L9" i="5"/>
  <c r="L10" i="5"/>
  <c r="L11" i="5"/>
  <c r="L12" i="5"/>
  <c r="L13" i="5"/>
  <c r="L14" i="5"/>
  <c r="N14" i="5" s="1"/>
  <c r="L15" i="5"/>
  <c r="L16" i="5"/>
  <c r="L17" i="5"/>
  <c r="L18" i="5"/>
  <c r="L19" i="5"/>
  <c r="L20" i="5"/>
  <c r="L21" i="5"/>
  <c r="L22" i="5"/>
  <c r="N22" i="5" s="1"/>
  <c r="L23" i="5"/>
  <c r="L24" i="5"/>
  <c r="L8" i="5"/>
  <c r="M24" i="5"/>
  <c r="M23" i="5"/>
  <c r="M22" i="5"/>
  <c r="M21" i="5"/>
  <c r="N21" i="5"/>
  <c r="M20" i="5"/>
  <c r="M19" i="5"/>
  <c r="M18" i="5"/>
  <c r="N18" i="5" s="1"/>
  <c r="M17" i="5"/>
  <c r="M16" i="5"/>
  <c r="N16" i="5"/>
  <c r="N15" i="5"/>
  <c r="M15" i="5"/>
  <c r="M14" i="5"/>
  <c r="M13" i="5"/>
  <c r="N13" i="5"/>
  <c r="M12" i="5"/>
  <c r="M11" i="5"/>
  <c r="N11" i="5" s="1"/>
  <c r="M10" i="5"/>
  <c r="M9" i="5"/>
  <c r="M8" i="5"/>
  <c r="AA5" i="5"/>
  <c r="P7" i="5" s="1"/>
  <c r="AA4" i="5"/>
  <c r="O7" i="5" s="1"/>
  <c r="U9" i="15" l="1"/>
  <c r="T9" i="15"/>
  <c r="R10" i="15"/>
  <c r="S10" i="15" s="1"/>
  <c r="AG7" i="15"/>
  <c r="AG30" i="15" s="1"/>
  <c r="AG48" i="15" s="1"/>
  <c r="AJ7" i="15"/>
  <c r="AJ30" i="15" s="1"/>
  <c r="AJ48" i="15" s="1"/>
  <c r="AH7" i="15"/>
  <c r="AH30" i="15" s="1"/>
  <c r="AH48" i="15" s="1"/>
  <c r="AI7" i="15"/>
  <c r="AI30" i="15" s="1"/>
  <c r="AI48" i="15" s="1"/>
  <c r="AK7" i="15"/>
  <c r="AK30" i="15" s="1"/>
  <c r="AK48" i="15" s="1"/>
  <c r="P10" i="15"/>
  <c r="R11" i="15" s="1"/>
  <c r="Q10" i="15"/>
  <c r="Q9" i="14"/>
  <c r="Q10" i="14"/>
  <c r="P10" i="14"/>
  <c r="R11" i="14" s="1"/>
  <c r="R10" i="14"/>
  <c r="S10" i="14" s="1"/>
  <c r="O9" i="13"/>
  <c r="T9" i="14"/>
  <c r="P9" i="12"/>
  <c r="R10" i="12" s="1"/>
  <c r="S10" i="12" s="1"/>
  <c r="T10" i="12" s="1"/>
  <c r="Q9" i="12"/>
  <c r="T9" i="12"/>
  <c r="S9" i="11"/>
  <c r="T9" i="11" s="1"/>
  <c r="O9" i="11"/>
  <c r="P14" i="10"/>
  <c r="O15" i="10" s="1"/>
  <c r="Q14" i="10"/>
  <c r="R14" i="10"/>
  <c r="T9" i="10"/>
  <c r="N24" i="9"/>
  <c r="N16" i="9"/>
  <c r="N23" i="9"/>
  <c r="N15" i="9"/>
  <c r="N16" i="8"/>
  <c r="N10" i="8"/>
  <c r="V6" i="8" s="1"/>
  <c r="N17" i="8"/>
  <c r="N18" i="6"/>
  <c r="N17" i="6"/>
  <c r="N24" i="6"/>
  <c r="N13" i="6"/>
  <c r="N11" i="6"/>
  <c r="N19" i="5"/>
  <c r="N17" i="5"/>
  <c r="N9" i="5"/>
  <c r="N24" i="5"/>
  <c r="N23" i="7"/>
  <c r="V7" i="7" s="1"/>
  <c r="N15" i="7"/>
  <c r="N19" i="7"/>
  <c r="N11" i="7"/>
  <c r="N10" i="7"/>
  <c r="N9" i="7"/>
  <c r="N16" i="7"/>
  <c r="N17" i="7"/>
  <c r="N22" i="7"/>
  <c r="N21" i="7"/>
  <c r="N13" i="7"/>
  <c r="N18" i="7"/>
  <c r="V5" i="9"/>
  <c r="V7" i="9"/>
  <c r="N12" i="9"/>
  <c r="N20" i="9"/>
  <c r="N10" i="9"/>
  <c r="V6" i="9" s="1"/>
  <c r="V7" i="8"/>
  <c r="N8" i="8"/>
  <c r="V4" i="8" s="1"/>
  <c r="N21" i="8"/>
  <c r="V5" i="8" s="1"/>
  <c r="N8" i="7"/>
  <c r="N12" i="7"/>
  <c r="N20" i="7"/>
  <c r="V6" i="6"/>
  <c r="N8" i="6"/>
  <c r="N12" i="6"/>
  <c r="N20" i="6"/>
  <c r="N19" i="6"/>
  <c r="N9" i="6"/>
  <c r="V5" i="6" s="1"/>
  <c r="V5" i="5"/>
  <c r="N8" i="5"/>
  <c r="V4" i="5" s="1"/>
  <c r="N12" i="5"/>
  <c r="N20" i="5"/>
  <c r="N23" i="5"/>
  <c r="V7" i="5" s="1"/>
  <c r="N10" i="5"/>
  <c r="V6" i="5" s="1"/>
  <c r="U10" i="15" l="1"/>
  <c r="T10" i="15"/>
  <c r="AL8" i="15"/>
  <c r="AH8" i="15" s="1"/>
  <c r="AH31" i="15" s="1"/>
  <c r="AH49" i="15" s="1"/>
  <c r="S11" i="15"/>
  <c r="AL9" i="15"/>
  <c r="O11" i="15"/>
  <c r="P11" i="15" s="1"/>
  <c r="O12" i="15" s="1"/>
  <c r="O11" i="14"/>
  <c r="P11" i="14" s="1"/>
  <c r="R12" i="14" s="1"/>
  <c r="P9" i="13"/>
  <c r="O10" i="13" s="1"/>
  <c r="Q9" i="13"/>
  <c r="T10" i="14"/>
  <c r="O10" i="12"/>
  <c r="Q10" i="12" s="1"/>
  <c r="P9" i="11"/>
  <c r="R10" i="11" s="1"/>
  <c r="S10" i="11" s="1"/>
  <c r="T10" i="11" s="1"/>
  <c r="Q9" i="11"/>
  <c r="P15" i="10"/>
  <c r="O16" i="10" s="1"/>
  <c r="Q15" i="10"/>
  <c r="R15" i="10"/>
  <c r="S10" i="10"/>
  <c r="V7" i="6"/>
  <c r="V5" i="7"/>
  <c r="V6" i="7"/>
  <c r="V4" i="9"/>
  <c r="W4" i="8"/>
  <c r="X5" i="8" s="1"/>
  <c r="AA7" i="8" s="1"/>
  <c r="Q5" i="8" s="1"/>
  <c r="V4" i="7"/>
  <c r="V4" i="6"/>
  <c r="W4" i="5"/>
  <c r="X7" i="5" s="1"/>
  <c r="AA9" i="5" s="1"/>
  <c r="Q7" i="5" s="1"/>
  <c r="U11" i="15" l="1"/>
  <c r="T11" i="15"/>
  <c r="AG8" i="15"/>
  <c r="AG31" i="15" s="1"/>
  <c r="AG49" i="15" s="1"/>
  <c r="AK8" i="15"/>
  <c r="AK31" i="15" s="1"/>
  <c r="AK49" i="15" s="1"/>
  <c r="AJ8" i="15"/>
  <c r="AJ31" i="15" s="1"/>
  <c r="AJ49" i="15" s="1"/>
  <c r="AI8" i="15"/>
  <c r="AI31" i="15" s="1"/>
  <c r="AI49" i="15" s="1"/>
  <c r="Q11" i="15"/>
  <c r="AK9" i="15"/>
  <c r="AK32" i="15" s="1"/>
  <c r="AK50" i="15" s="1"/>
  <c r="AI9" i="15"/>
  <c r="AI32" i="15" s="1"/>
  <c r="AI50" i="15" s="1"/>
  <c r="AH9" i="15"/>
  <c r="AH32" i="15" s="1"/>
  <c r="AH50" i="15" s="1"/>
  <c r="AG9" i="15"/>
  <c r="AG32" i="15" s="1"/>
  <c r="AG50" i="15" s="1"/>
  <c r="AJ9" i="15"/>
  <c r="AJ32" i="15" s="1"/>
  <c r="AJ50" i="15" s="1"/>
  <c r="R12" i="15"/>
  <c r="P12" i="15"/>
  <c r="R13" i="15" s="1"/>
  <c r="Q12" i="15"/>
  <c r="Q11" i="14"/>
  <c r="O12" i="14"/>
  <c r="P12" i="14" s="1"/>
  <c r="R13" i="14" s="1"/>
  <c r="Q10" i="13"/>
  <c r="P10" i="13"/>
  <c r="R11" i="13" s="1"/>
  <c r="S11" i="13" s="1"/>
  <c r="T11" i="13" s="1"/>
  <c r="R10" i="13"/>
  <c r="S10" i="13" s="1"/>
  <c r="T10" i="13" s="1"/>
  <c r="S11" i="14"/>
  <c r="P10" i="12"/>
  <c r="R11" i="12" s="1"/>
  <c r="S11" i="12" s="1"/>
  <c r="T11" i="12" s="1"/>
  <c r="O10" i="11"/>
  <c r="P16" i="10"/>
  <c r="R17" i="10" s="1"/>
  <c r="Q16" i="10"/>
  <c r="R16" i="10"/>
  <c r="S11" i="10"/>
  <c r="T11" i="10" s="1"/>
  <c r="S12" i="10"/>
  <c r="T12" i="10" s="1"/>
  <c r="T10" i="10"/>
  <c r="W4" i="9"/>
  <c r="X4" i="8"/>
  <c r="AA6" i="8" s="1"/>
  <c r="Q4" i="8" s="1"/>
  <c r="X6" i="8"/>
  <c r="AA8" i="8" s="1"/>
  <c r="Q6" i="8" s="1"/>
  <c r="X7" i="8"/>
  <c r="AA9" i="8" s="1"/>
  <c r="Q7" i="8" s="1"/>
  <c r="W4" i="7"/>
  <c r="X4" i="7" s="1"/>
  <c r="AA6" i="7" s="1"/>
  <c r="Q4" i="7" s="1"/>
  <c r="W4" i="6"/>
  <c r="X4" i="6" s="1"/>
  <c r="AA6" i="6" s="1"/>
  <c r="Q4" i="6" s="1"/>
  <c r="X5" i="5"/>
  <c r="AA7" i="5" s="1"/>
  <c r="Q5" i="5" s="1"/>
  <c r="X6" i="5"/>
  <c r="AA8" i="5" s="1"/>
  <c r="Q6" i="5" s="1"/>
  <c r="X4" i="5"/>
  <c r="AA6" i="5" s="1"/>
  <c r="Q4" i="5" s="1"/>
  <c r="S12" i="15" l="1"/>
  <c r="AL10" i="15"/>
  <c r="S13" i="15"/>
  <c r="AL11" i="15"/>
  <c r="O13" i="15"/>
  <c r="Q13" i="15" s="1"/>
  <c r="Q12" i="14"/>
  <c r="O11" i="13"/>
  <c r="P11" i="13" s="1"/>
  <c r="R12" i="13" s="1"/>
  <c r="S12" i="13" s="1"/>
  <c r="T12" i="13" s="1"/>
  <c r="O13" i="14"/>
  <c r="S12" i="14"/>
  <c r="T11" i="14"/>
  <c r="O11" i="12"/>
  <c r="P11" i="12" s="1"/>
  <c r="R12" i="12" s="1"/>
  <c r="S12" i="12" s="1"/>
  <c r="T12" i="12" s="1"/>
  <c r="P10" i="11"/>
  <c r="O11" i="11" s="1"/>
  <c r="Q10" i="11"/>
  <c r="O17" i="10"/>
  <c r="P17" i="10" s="1"/>
  <c r="O8" i="7"/>
  <c r="Q8" i="7" s="1"/>
  <c r="R8" i="7"/>
  <c r="S8" i="7" s="1"/>
  <c r="X5" i="9"/>
  <c r="AA7" i="9" s="1"/>
  <c r="Q5" i="9" s="1"/>
  <c r="X6" i="9"/>
  <c r="AA8" i="9" s="1"/>
  <c r="Q6" i="9" s="1"/>
  <c r="X7" i="9"/>
  <c r="AA9" i="9" s="1"/>
  <c r="Q7" i="9" s="1"/>
  <c r="X4" i="9"/>
  <c r="AA6" i="9" s="1"/>
  <c r="Q4" i="9" s="1"/>
  <c r="S8" i="8"/>
  <c r="X6" i="7"/>
  <c r="AA8" i="7" s="1"/>
  <c r="Q6" i="7" s="1"/>
  <c r="X5" i="7"/>
  <c r="AA7" i="7" s="1"/>
  <c r="Q5" i="7" s="1"/>
  <c r="X7" i="7"/>
  <c r="AA9" i="7" s="1"/>
  <c r="Q7" i="7" s="1"/>
  <c r="R8" i="6"/>
  <c r="S8" i="6" s="1"/>
  <c r="X6" i="6"/>
  <c r="AA8" i="6" s="1"/>
  <c r="Q6" i="6" s="1"/>
  <c r="X7" i="6"/>
  <c r="AA9" i="6" s="1"/>
  <c r="Q7" i="6" s="1"/>
  <c r="X5" i="6"/>
  <c r="AA7" i="6" s="1"/>
  <c r="Q5" i="6" s="1"/>
  <c r="S8" i="5"/>
  <c r="U13" i="15" l="1"/>
  <c r="T13" i="15"/>
  <c r="U12" i="15"/>
  <c r="T12" i="15"/>
  <c r="AI11" i="15"/>
  <c r="AI34" i="15" s="1"/>
  <c r="AI52" i="15" s="1"/>
  <c r="AG11" i="15"/>
  <c r="AG34" i="15" s="1"/>
  <c r="AG52" i="15" s="1"/>
  <c r="AJ11" i="15"/>
  <c r="AJ34" i="15" s="1"/>
  <c r="AJ52" i="15" s="1"/>
  <c r="AK11" i="15"/>
  <c r="AK34" i="15" s="1"/>
  <c r="AK52" i="15" s="1"/>
  <c r="AH11" i="15"/>
  <c r="AH34" i="15" s="1"/>
  <c r="AH52" i="15" s="1"/>
  <c r="AK10" i="15"/>
  <c r="AK33" i="15" s="1"/>
  <c r="AK51" i="15" s="1"/>
  <c r="AG10" i="15"/>
  <c r="AG33" i="15" s="1"/>
  <c r="AG51" i="15" s="1"/>
  <c r="AH10" i="15"/>
  <c r="AH33" i="15" s="1"/>
  <c r="AH51" i="15" s="1"/>
  <c r="AI10" i="15"/>
  <c r="AI33" i="15" s="1"/>
  <c r="AI51" i="15" s="1"/>
  <c r="AJ10" i="15"/>
  <c r="AJ33" i="15" s="1"/>
  <c r="AJ51" i="15" s="1"/>
  <c r="P13" i="15"/>
  <c r="R14" i="15" s="1"/>
  <c r="Q11" i="13"/>
  <c r="O12" i="13"/>
  <c r="Q12" i="13" s="1"/>
  <c r="P13" i="14"/>
  <c r="R14" i="14" s="1"/>
  <c r="Q13" i="14"/>
  <c r="T12" i="14"/>
  <c r="Q11" i="12"/>
  <c r="O12" i="12"/>
  <c r="P12" i="12" s="1"/>
  <c r="R11" i="11"/>
  <c r="S11" i="11" s="1"/>
  <c r="T11" i="11" s="1"/>
  <c r="P11" i="11"/>
  <c r="R12" i="11" s="1"/>
  <c r="S12" i="11" s="1"/>
  <c r="T12" i="11" s="1"/>
  <c r="Q11" i="11"/>
  <c r="O18" i="10"/>
  <c r="Q18" i="10" s="1"/>
  <c r="R18" i="10"/>
  <c r="Q17" i="10"/>
  <c r="P8" i="7"/>
  <c r="O9" i="7" s="1"/>
  <c r="Q9" i="7" s="1"/>
  <c r="R8" i="9"/>
  <c r="S8" i="9" s="1"/>
  <c r="R9" i="8"/>
  <c r="S9" i="8" s="1"/>
  <c r="T9" i="8" s="1"/>
  <c r="T8" i="8"/>
  <c r="T8" i="7"/>
  <c r="P8" i="6"/>
  <c r="O9" i="6" s="1"/>
  <c r="Q9" i="6" s="1"/>
  <c r="T8" i="6"/>
  <c r="T8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" i="1"/>
  <c r="S14" i="15" l="1"/>
  <c r="AL12" i="15"/>
  <c r="O14" i="15"/>
  <c r="O14" i="14"/>
  <c r="P14" i="14" s="1"/>
  <c r="R15" i="14" s="1"/>
  <c r="P12" i="13"/>
  <c r="R13" i="13" s="1"/>
  <c r="S13" i="13" s="1"/>
  <c r="T13" i="13" s="1"/>
  <c r="S13" i="14"/>
  <c r="T13" i="14" s="1"/>
  <c r="Q12" i="12"/>
  <c r="R13" i="12"/>
  <c r="S13" i="12" s="1"/>
  <c r="T13" i="12" s="1"/>
  <c r="O13" i="12"/>
  <c r="P13" i="12" s="1"/>
  <c r="R14" i="12" s="1"/>
  <c r="S14" i="12" s="1"/>
  <c r="T14" i="12" s="1"/>
  <c r="O12" i="11"/>
  <c r="Q12" i="11" s="1"/>
  <c r="P18" i="10"/>
  <c r="P9" i="7"/>
  <c r="O10" i="7" s="1"/>
  <c r="S13" i="10"/>
  <c r="T13" i="10" s="1"/>
  <c r="S14" i="10"/>
  <c r="T14" i="10" s="1"/>
  <c r="T8" i="9"/>
  <c r="P8" i="9"/>
  <c r="O9" i="9" s="1"/>
  <c r="Q9" i="9" s="1"/>
  <c r="P9" i="8"/>
  <c r="O10" i="8" s="1"/>
  <c r="Q10" i="8" s="1"/>
  <c r="R9" i="7"/>
  <c r="S9" i="7" s="1"/>
  <c r="P9" i="6"/>
  <c r="R9" i="6"/>
  <c r="S9" i="6" s="1"/>
  <c r="R9" i="5"/>
  <c r="S9" i="5" s="1"/>
  <c r="U14" i="15" l="1"/>
  <c r="T14" i="15"/>
  <c r="AI12" i="15"/>
  <c r="AI35" i="15" s="1"/>
  <c r="AI53" i="15" s="1"/>
  <c r="AG12" i="15"/>
  <c r="AG35" i="15" s="1"/>
  <c r="AG53" i="15" s="1"/>
  <c r="AJ12" i="15"/>
  <c r="AJ35" i="15" s="1"/>
  <c r="AJ53" i="15" s="1"/>
  <c r="AH12" i="15"/>
  <c r="AH35" i="15" s="1"/>
  <c r="AH53" i="15" s="1"/>
  <c r="AK12" i="15"/>
  <c r="AK35" i="15" s="1"/>
  <c r="AK53" i="15" s="1"/>
  <c r="Q14" i="15"/>
  <c r="P14" i="15"/>
  <c r="R15" i="15" s="1"/>
  <c r="R10" i="7"/>
  <c r="S10" i="7" s="1"/>
  <c r="T10" i="7" s="1"/>
  <c r="Q14" i="14"/>
  <c r="O13" i="13"/>
  <c r="P13" i="13" s="1"/>
  <c r="R14" i="13" s="1"/>
  <c r="S14" i="13" s="1"/>
  <c r="T14" i="13" s="1"/>
  <c r="O15" i="14"/>
  <c r="Q13" i="12"/>
  <c r="O14" i="12"/>
  <c r="P14" i="12" s="1"/>
  <c r="P12" i="11"/>
  <c r="R13" i="11" s="1"/>
  <c r="S13" i="11" s="1"/>
  <c r="T13" i="11" s="1"/>
  <c r="R19" i="10"/>
  <c r="O19" i="10"/>
  <c r="Q10" i="7"/>
  <c r="P10" i="7"/>
  <c r="O11" i="7" s="1"/>
  <c r="R10" i="6"/>
  <c r="S10" i="6" s="1"/>
  <c r="T10" i="6" s="1"/>
  <c r="O10" i="6"/>
  <c r="Q10" i="6" s="1"/>
  <c r="S15" i="10"/>
  <c r="T15" i="10" s="1"/>
  <c r="R9" i="9"/>
  <c r="S9" i="9" s="1"/>
  <c r="R10" i="8"/>
  <c r="S10" i="8" s="1"/>
  <c r="T10" i="8" s="1"/>
  <c r="T9" i="7"/>
  <c r="T9" i="6"/>
  <c r="P9" i="5"/>
  <c r="T9" i="5"/>
  <c r="S15" i="15" l="1"/>
  <c r="AL13" i="15"/>
  <c r="O15" i="15"/>
  <c r="P15" i="15" s="1"/>
  <c r="O14" i="13"/>
  <c r="P14" i="13" s="1"/>
  <c r="R15" i="13" s="1"/>
  <c r="S15" i="13" s="1"/>
  <c r="T15" i="13" s="1"/>
  <c r="Q13" i="13"/>
  <c r="P15" i="14"/>
  <c r="R16" i="14" s="1"/>
  <c r="Q15" i="14"/>
  <c r="S15" i="14"/>
  <c r="T15" i="14" s="1"/>
  <c r="S14" i="14"/>
  <c r="T14" i="14" s="1"/>
  <c r="R15" i="12"/>
  <c r="S15" i="12" s="1"/>
  <c r="T15" i="12" s="1"/>
  <c r="O15" i="12"/>
  <c r="P15" i="12" s="1"/>
  <c r="R16" i="12" s="1"/>
  <c r="S16" i="12" s="1"/>
  <c r="T16" i="12" s="1"/>
  <c r="Q14" i="12"/>
  <c r="O13" i="11"/>
  <c r="P19" i="10"/>
  <c r="R20" i="10" s="1"/>
  <c r="Q19" i="10"/>
  <c r="Q11" i="7"/>
  <c r="P11" i="7"/>
  <c r="O12" i="7" s="1"/>
  <c r="R10" i="5"/>
  <c r="S10" i="5" s="1"/>
  <c r="T10" i="5" s="1"/>
  <c r="O10" i="5"/>
  <c r="S17" i="10"/>
  <c r="T17" i="10" s="1"/>
  <c r="S16" i="10"/>
  <c r="T16" i="10" s="1"/>
  <c r="P9" i="9"/>
  <c r="T9" i="9"/>
  <c r="P10" i="8"/>
  <c r="R11" i="7"/>
  <c r="S11" i="7" s="1"/>
  <c r="P10" i="6"/>
  <c r="R11" i="6" s="1"/>
  <c r="S11" i="6" s="1"/>
  <c r="T11" i="6" s="1"/>
  <c r="U15" i="15" l="1"/>
  <c r="T15" i="15"/>
  <c r="AG13" i="15"/>
  <c r="AG36" i="15" s="1"/>
  <c r="AG54" i="15" s="1"/>
  <c r="AH13" i="15"/>
  <c r="AH36" i="15" s="1"/>
  <c r="AH54" i="15" s="1"/>
  <c r="AI13" i="15"/>
  <c r="AI36" i="15" s="1"/>
  <c r="AI54" i="15" s="1"/>
  <c r="AJ13" i="15"/>
  <c r="AJ36" i="15" s="1"/>
  <c r="AJ54" i="15" s="1"/>
  <c r="AK13" i="15"/>
  <c r="AK36" i="15" s="1"/>
  <c r="AK54" i="15" s="1"/>
  <c r="Q15" i="15"/>
  <c r="R16" i="15"/>
  <c r="O16" i="15"/>
  <c r="O16" i="14"/>
  <c r="Q16" i="14" s="1"/>
  <c r="Q14" i="13"/>
  <c r="O15" i="13"/>
  <c r="Q15" i="13" s="1"/>
  <c r="S16" i="14"/>
  <c r="T16" i="14" s="1"/>
  <c r="Q15" i="12"/>
  <c r="O16" i="12"/>
  <c r="P16" i="12" s="1"/>
  <c r="R17" i="12" s="1"/>
  <c r="S17" i="12" s="1"/>
  <c r="T17" i="12" s="1"/>
  <c r="Q13" i="11"/>
  <c r="P13" i="11"/>
  <c r="O20" i="10"/>
  <c r="P20" i="10" s="1"/>
  <c r="R21" i="10" s="1"/>
  <c r="Q12" i="7"/>
  <c r="P12" i="7"/>
  <c r="O13" i="7" s="1"/>
  <c r="R10" i="9"/>
  <c r="S10" i="9" s="1"/>
  <c r="T10" i="9" s="1"/>
  <c r="O10" i="9"/>
  <c r="Q10" i="9" s="1"/>
  <c r="R11" i="8"/>
  <c r="S11" i="8" s="1"/>
  <c r="T11" i="8" s="1"/>
  <c r="O11" i="8"/>
  <c r="Q11" i="8" s="1"/>
  <c r="O11" i="6"/>
  <c r="Q11" i="6" s="1"/>
  <c r="Q10" i="5"/>
  <c r="T11" i="7"/>
  <c r="P10" i="5"/>
  <c r="R11" i="5" s="1"/>
  <c r="S11" i="5" s="1"/>
  <c r="T11" i="5" s="1"/>
  <c r="P16" i="14" l="1"/>
  <c r="O17" i="14" s="1"/>
  <c r="P17" i="14" s="1"/>
  <c r="R18" i="14" s="1"/>
  <c r="Q20" i="10"/>
  <c r="S16" i="15"/>
  <c r="AL14" i="15"/>
  <c r="Q16" i="15"/>
  <c r="P16" i="15"/>
  <c r="R17" i="15" s="1"/>
  <c r="P15" i="13"/>
  <c r="R16" i="13" s="1"/>
  <c r="S16" i="13" s="1"/>
  <c r="T16" i="13" s="1"/>
  <c r="Q16" i="12"/>
  <c r="O17" i="12"/>
  <c r="P17" i="12" s="1"/>
  <c r="R18" i="12" s="1"/>
  <c r="S18" i="12" s="1"/>
  <c r="T18" i="12" s="1"/>
  <c r="R14" i="11"/>
  <c r="S14" i="11" s="1"/>
  <c r="T14" i="11" s="1"/>
  <c r="O14" i="11"/>
  <c r="O21" i="10"/>
  <c r="P21" i="10" s="1"/>
  <c r="P13" i="7"/>
  <c r="O14" i="7" s="1"/>
  <c r="Q13" i="7"/>
  <c r="O11" i="5"/>
  <c r="P11" i="5" s="1"/>
  <c r="S18" i="10"/>
  <c r="T18" i="10" s="1"/>
  <c r="S19" i="10"/>
  <c r="T19" i="10" s="1"/>
  <c r="P10" i="9"/>
  <c r="P11" i="8"/>
  <c r="O12" i="8" s="1"/>
  <c r="Q12" i="8" s="1"/>
  <c r="R12" i="7"/>
  <c r="S12" i="7" s="1"/>
  <c r="P11" i="6"/>
  <c r="O12" i="6" s="1"/>
  <c r="Q12" i="6" s="1"/>
  <c r="U16" i="15" l="1"/>
  <c r="T16" i="15"/>
  <c r="Q17" i="14"/>
  <c r="R17" i="14"/>
  <c r="S17" i="14" s="1"/>
  <c r="T17" i="14" s="1"/>
  <c r="O17" i="15"/>
  <c r="P17" i="15" s="1"/>
  <c r="R18" i="15" s="1"/>
  <c r="AJ14" i="15"/>
  <c r="AJ37" i="15" s="1"/>
  <c r="AJ55" i="15" s="1"/>
  <c r="AK14" i="15"/>
  <c r="AK37" i="15" s="1"/>
  <c r="AK55" i="15" s="1"/>
  <c r="AG14" i="15"/>
  <c r="AG37" i="15" s="1"/>
  <c r="AG55" i="15" s="1"/>
  <c r="AH14" i="15"/>
  <c r="AH37" i="15" s="1"/>
  <c r="AH55" i="15" s="1"/>
  <c r="AI14" i="15"/>
  <c r="AI37" i="15" s="1"/>
  <c r="AI55" i="15" s="1"/>
  <c r="S17" i="15"/>
  <c r="AL15" i="15"/>
  <c r="O18" i="14"/>
  <c r="Q18" i="14" s="1"/>
  <c r="O16" i="13"/>
  <c r="P16" i="13" s="1"/>
  <c r="O17" i="13" s="1"/>
  <c r="S18" i="14"/>
  <c r="T18" i="14" s="1"/>
  <c r="Q17" i="12"/>
  <c r="O18" i="12"/>
  <c r="Q18" i="12" s="1"/>
  <c r="P14" i="11"/>
  <c r="R15" i="11" s="1"/>
  <c r="S15" i="11" s="1"/>
  <c r="T15" i="11" s="1"/>
  <c r="Q14" i="11"/>
  <c r="Q21" i="10"/>
  <c r="O22" i="10"/>
  <c r="R22" i="10"/>
  <c r="Q14" i="7"/>
  <c r="P14" i="7"/>
  <c r="O15" i="7" s="1"/>
  <c r="O11" i="9"/>
  <c r="Q11" i="9" s="1"/>
  <c r="O12" i="5"/>
  <c r="Q11" i="5"/>
  <c r="R11" i="9"/>
  <c r="S11" i="9" s="1"/>
  <c r="T11" i="9" s="1"/>
  <c r="P12" i="8"/>
  <c r="R13" i="8" s="1"/>
  <c r="S13" i="8" s="1"/>
  <c r="T13" i="8" s="1"/>
  <c r="R12" i="8"/>
  <c r="S12" i="8" s="1"/>
  <c r="T12" i="8" s="1"/>
  <c r="T12" i="7"/>
  <c r="R12" i="6"/>
  <c r="S12" i="6" s="1"/>
  <c r="T12" i="6" s="1"/>
  <c r="P12" i="6"/>
  <c r="R13" i="6" s="1"/>
  <c r="S13" i="6" s="1"/>
  <c r="T13" i="6" s="1"/>
  <c r="R12" i="5"/>
  <c r="S12" i="5" s="1"/>
  <c r="T12" i="5" s="1"/>
  <c r="U17" i="15" l="1"/>
  <c r="T17" i="15"/>
  <c r="P12" i="5"/>
  <c r="O13" i="5" s="1"/>
  <c r="Q17" i="15"/>
  <c r="AJ15" i="15"/>
  <c r="AJ38" i="15" s="1"/>
  <c r="AJ56" i="15" s="1"/>
  <c r="AK15" i="15"/>
  <c r="AK38" i="15" s="1"/>
  <c r="AK56" i="15" s="1"/>
  <c r="AG15" i="15"/>
  <c r="AG38" i="15" s="1"/>
  <c r="AG56" i="15" s="1"/>
  <c r="AH15" i="15"/>
  <c r="AH38" i="15" s="1"/>
  <c r="AH56" i="15" s="1"/>
  <c r="AI15" i="15"/>
  <c r="AI38" i="15" s="1"/>
  <c r="AI56" i="15" s="1"/>
  <c r="S18" i="15"/>
  <c r="AL16" i="15"/>
  <c r="O18" i="15"/>
  <c r="P15" i="7"/>
  <c r="O16" i="7" s="1"/>
  <c r="Q15" i="7"/>
  <c r="P18" i="14"/>
  <c r="R19" i="14" s="1"/>
  <c r="S19" i="14" s="1"/>
  <c r="T19" i="14" s="1"/>
  <c r="Q16" i="13"/>
  <c r="R17" i="13"/>
  <c r="S17" i="13" s="1"/>
  <c r="T17" i="13" s="1"/>
  <c r="Q17" i="13"/>
  <c r="P17" i="13"/>
  <c r="R18" i="13" s="1"/>
  <c r="S18" i="13" s="1"/>
  <c r="T18" i="13" s="1"/>
  <c r="P18" i="12"/>
  <c r="R19" i="12" s="1"/>
  <c r="S19" i="12" s="1"/>
  <c r="T19" i="12" s="1"/>
  <c r="O15" i="11"/>
  <c r="P15" i="11" s="1"/>
  <c r="P22" i="10"/>
  <c r="R23" i="10" s="1"/>
  <c r="Q22" i="10"/>
  <c r="P11" i="9"/>
  <c r="R12" i="9" s="1"/>
  <c r="S12" i="9" s="1"/>
  <c r="T12" i="9" s="1"/>
  <c r="O13" i="8"/>
  <c r="Q13" i="8" s="1"/>
  <c r="O13" i="6"/>
  <c r="Q13" i="6" s="1"/>
  <c r="Q12" i="5"/>
  <c r="U18" i="15" l="1"/>
  <c r="T18" i="15"/>
  <c r="R13" i="5"/>
  <c r="S13" i="5" s="1"/>
  <c r="T13" i="5" s="1"/>
  <c r="AH16" i="15"/>
  <c r="AH39" i="15" s="1"/>
  <c r="AH57" i="15" s="1"/>
  <c r="AI16" i="15"/>
  <c r="AI39" i="15" s="1"/>
  <c r="AI57" i="15" s="1"/>
  <c r="AJ16" i="15"/>
  <c r="AJ39" i="15" s="1"/>
  <c r="AJ57" i="15" s="1"/>
  <c r="AK16" i="15"/>
  <c r="AK39" i="15" s="1"/>
  <c r="AK57" i="15" s="1"/>
  <c r="AG16" i="15"/>
  <c r="AG39" i="15" s="1"/>
  <c r="AG57" i="15" s="1"/>
  <c r="P18" i="15"/>
  <c r="R19" i="15" s="1"/>
  <c r="Q18" i="15"/>
  <c r="O19" i="14"/>
  <c r="P19" i="14" s="1"/>
  <c r="R20" i="14" s="1"/>
  <c r="S20" i="14" s="1"/>
  <c r="T20" i="14" s="1"/>
  <c r="O18" i="13"/>
  <c r="Q18" i="13" s="1"/>
  <c r="O19" i="12"/>
  <c r="P19" i="12" s="1"/>
  <c r="O20" i="12" s="1"/>
  <c r="Q15" i="11"/>
  <c r="R16" i="11"/>
  <c r="S16" i="11" s="1"/>
  <c r="T16" i="11" s="1"/>
  <c r="O16" i="11"/>
  <c r="P16" i="11" s="1"/>
  <c r="O23" i="10"/>
  <c r="P23" i="10" s="1"/>
  <c r="R24" i="10" s="1"/>
  <c r="O12" i="9"/>
  <c r="Q12" i="9" s="1"/>
  <c r="P13" i="8"/>
  <c r="O14" i="8" s="1"/>
  <c r="Q14" i="8" s="1"/>
  <c r="P16" i="7"/>
  <c r="O17" i="7" s="1"/>
  <c r="Q16" i="7"/>
  <c r="P13" i="5"/>
  <c r="R14" i="5" s="1"/>
  <c r="S14" i="5" s="1"/>
  <c r="T14" i="5" s="1"/>
  <c r="Q13" i="5"/>
  <c r="S20" i="10"/>
  <c r="T20" i="10" s="1"/>
  <c r="S21" i="10"/>
  <c r="T21" i="10" s="1"/>
  <c r="R14" i="7"/>
  <c r="S14" i="7" s="1"/>
  <c r="T14" i="7" s="1"/>
  <c r="R13" i="7"/>
  <c r="S13" i="7" s="1"/>
  <c r="P13" i="6"/>
  <c r="O14" i="6" s="1"/>
  <c r="Q14" i="6" s="1"/>
  <c r="O19" i="15" l="1"/>
  <c r="Q19" i="15" s="1"/>
  <c r="S19" i="15"/>
  <c r="AL17" i="15"/>
  <c r="Q19" i="14"/>
  <c r="O20" i="14"/>
  <c r="P20" i="14" s="1"/>
  <c r="O21" i="14" s="1"/>
  <c r="P21" i="14" s="1"/>
  <c r="R22" i="14" s="1"/>
  <c r="P18" i="13"/>
  <c r="R19" i="13" s="1"/>
  <c r="S19" i="13" s="1"/>
  <c r="T19" i="13" s="1"/>
  <c r="Q19" i="12"/>
  <c r="P20" i="12"/>
  <c r="R21" i="12" s="1"/>
  <c r="S21" i="12" s="1"/>
  <c r="T21" i="12" s="1"/>
  <c r="Q20" i="12"/>
  <c r="R20" i="12"/>
  <c r="S20" i="12" s="1"/>
  <c r="T20" i="12" s="1"/>
  <c r="Q16" i="11"/>
  <c r="R17" i="11"/>
  <c r="S17" i="11" s="1"/>
  <c r="T17" i="11" s="1"/>
  <c r="O17" i="11"/>
  <c r="Q23" i="10"/>
  <c r="O24" i="10"/>
  <c r="P12" i="9"/>
  <c r="O13" i="9" s="1"/>
  <c r="Q13" i="9" s="1"/>
  <c r="R14" i="8"/>
  <c r="S14" i="8" s="1"/>
  <c r="T14" i="8" s="1"/>
  <c r="P14" i="6"/>
  <c r="O15" i="6" s="1"/>
  <c r="Q15" i="6" s="1"/>
  <c r="P17" i="7"/>
  <c r="Q17" i="7"/>
  <c r="O14" i="5"/>
  <c r="P14" i="5" s="1"/>
  <c r="R15" i="5" s="1"/>
  <c r="S15" i="5" s="1"/>
  <c r="T15" i="5" s="1"/>
  <c r="S22" i="10"/>
  <c r="T22" i="10" s="1"/>
  <c r="P14" i="8"/>
  <c r="O15" i="8" s="1"/>
  <c r="Q15" i="8" s="1"/>
  <c r="T13" i="7"/>
  <c r="R14" i="6"/>
  <c r="S14" i="6" s="1"/>
  <c r="T14" i="6" s="1"/>
  <c r="U19" i="15" l="1"/>
  <c r="T19" i="15"/>
  <c r="P24" i="10"/>
  <c r="R27" i="10" s="1"/>
  <c r="P19" i="15"/>
  <c r="O20" i="15" s="1"/>
  <c r="P20" i="15" s="1"/>
  <c r="O21" i="15" s="1"/>
  <c r="AK17" i="15"/>
  <c r="AK40" i="15" s="1"/>
  <c r="AK58" i="15" s="1"/>
  <c r="AH17" i="15"/>
  <c r="AH40" i="15" s="1"/>
  <c r="AH58" i="15" s="1"/>
  <c r="AG17" i="15"/>
  <c r="AG40" i="15" s="1"/>
  <c r="AG58" i="15" s="1"/>
  <c r="AI17" i="15"/>
  <c r="AI40" i="15" s="1"/>
  <c r="AI58" i="15" s="1"/>
  <c r="AJ17" i="15"/>
  <c r="AJ40" i="15" s="1"/>
  <c r="AJ58" i="15" s="1"/>
  <c r="R21" i="14"/>
  <c r="S21" i="14" s="1"/>
  <c r="T21" i="14" s="1"/>
  <c r="Q21" i="14"/>
  <c r="Q20" i="14"/>
  <c r="O22" i="14"/>
  <c r="P22" i="14" s="1"/>
  <c r="R23" i="14" s="1"/>
  <c r="O19" i="13"/>
  <c r="P19" i="13" s="1"/>
  <c r="R20" i="13" s="1"/>
  <c r="S20" i="13" s="1"/>
  <c r="T20" i="13" s="1"/>
  <c r="S22" i="14"/>
  <c r="T22" i="14" s="1"/>
  <c r="O21" i="12"/>
  <c r="P17" i="11"/>
  <c r="O18" i="11" s="1"/>
  <c r="Q17" i="11"/>
  <c r="Q24" i="10"/>
  <c r="R13" i="9"/>
  <c r="S13" i="9" s="1"/>
  <c r="T13" i="9" s="1"/>
  <c r="R15" i="6"/>
  <c r="S15" i="6" s="1"/>
  <c r="T15" i="6" s="1"/>
  <c r="Q14" i="5"/>
  <c r="P15" i="6"/>
  <c r="R16" i="6" s="1"/>
  <c r="S16" i="6" s="1"/>
  <c r="T16" i="6" s="1"/>
  <c r="O15" i="5"/>
  <c r="Q15" i="5" s="1"/>
  <c r="S23" i="10"/>
  <c r="T23" i="10" s="1"/>
  <c r="P13" i="9"/>
  <c r="O14" i="9" s="1"/>
  <c r="Q14" i="9" s="1"/>
  <c r="R15" i="8"/>
  <c r="S15" i="8" s="1"/>
  <c r="T15" i="8" s="1"/>
  <c r="P15" i="8"/>
  <c r="R16" i="8" s="1"/>
  <c r="S16" i="8" s="1"/>
  <c r="T16" i="8" s="1"/>
  <c r="R15" i="7"/>
  <c r="S15" i="7" s="1"/>
  <c r="T15" i="7" s="1"/>
  <c r="R16" i="7"/>
  <c r="S16" i="7" s="1"/>
  <c r="T16" i="7" s="1"/>
  <c r="O18" i="7"/>
  <c r="R25" i="10" l="1"/>
  <c r="R26" i="10"/>
  <c r="Q20" i="15"/>
  <c r="R20" i="15"/>
  <c r="R21" i="15"/>
  <c r="P21" i="15"/>
  <c r="R22" i="15" s="1"/>
  <c r="Q21" i="15"/>
  <c r="Q22" i="14"/>
  <c r="O23" i="14"/>
  <c r="P23" i="14" s="1"/>
  <c r="R24" i="14" s="1"/>
  <c r="O20" i="13"/>
  <c r="Q20" i="13" s="1"/>
  <c r="Q19" i="13"/>
  <c r="S23" i="14"/>
  <c r="T23" i="14" s="1"/>
  <c r="P21" i="12"/>
  <c r="R22" i="12" s="1"/>
  <c r="S22" i="12" s="1"/>
  <c r="Q21" i="12"/>
  <c r="R18" i="11"/>
  <c r="S18" i="11" s="1"/>
  <c r="T18" i="11" s="1"/>
  <c r="Q18" i="11"/>
  <c r="P18" i="11"/>
  <c r="R19" i="11" s="1"/>
  <c r="S19" i="11" s="1"/>
  <c r="T19" i="11" s="1"/>
  <c r="O16" i="8"/>
  <c r="Q16" i="8" s="1"/>
  <c r="O16" i="6"/>
  <c r="Q16" i="6" s="1"/>
  <c r="P18" i="7"/>
  <c r="O19" i="7" s="1"/>
  <c r="Q18" i="7"/>
  <c r="P15" i="5"/>
  <c r="R16" i="5" s="1"/>
  <c r="S16" i="5" s="1"/>
  <c r="T16" i="5" s="1"/>
  <c r="R14" i="9"/>
  <c r="S14" i="9" s="1"/>
  <c r="T14" i="9" s="1"/>
  <c r="P14" i="9"/>
  <c r="R15" i="9" s="1"/>
  <c r="S15" i="9" s="1"/>
  <c r="T15" i="9" s="1"/>
  <c r="AL18" i="15" l="1"/>
  <c r="S20" i="15"/>
  <c r="S22" i="15"/>
  <c r="AL20" i="15"/>
  <c r="S21" i="15"/>
  <c r="AL19" i="15"/>
  <c r="O22" i="15"/>
  <c r="Q22" i="15" s="1"/>
  <c r="Q23" i="14"/>
  <c r="O24" i="14"/>
  <c r="P20" i="13"/>
  <c r="R21" i="13" s="1"/>
  <c r="S21" i="13" s="1"/>
  <c r="T21" i="13" s="1"/>
  <c r="S24" i="14"/>
  <c r="O22" i="12"/>
  <c r="P22" i="12" s="1"/>
  <c r="R23" i="12" s="1"/>
  <c r="S23" i="12" s="1"/>
  <c r="T22" i="12"/>
  <c r="O19" i="11"/>
  <c r="O15" i="9"/>
  <c r="Q15" i="9" s="1"/>
  <c r="P16" i="6"/>
  <c r="R17" i="6" s="1"/>
  <c r="S17" i="6" s="1"/>
  <c r="T17" i="6" s="1"/>
  <c r="P19" i="7"/>
  <c r="O20" i="7" s="1"/>
  <c r="Q19" i="7"/>
  <c r="O16" i="5"/>
  <c r="S24" i="10"/>
  <c r="T24" i="10" s="1"/>
  <c r="V10" i="10" s="1"/>
  <c r="P16" i="8"/>
  <c r="R17" i="8" s="1"/>
  <c r="S17" i="8" s="1"/>
  <c r="T17" i="8" s="1"/>
  <c r="R17" i="7"/>
  <c r="S17" i="7" s="1"/>
  <c r="T17" i="7" s="1"/>
  <c r="U21" i="15" l="1"/>
  <c r="T21" i="15"/>
  <c r="U22" i="15"/>
  <c r="T22" i="15"/>
  <c r="U20" i="15"/>
  <c r="T20" i="15"/>
  <c r="W10" i="10"/>
  <c r="Q24" i="14"/>
  <c r="AH18" i="15"/>
  <c r="AH41" i="15" s="1"/>
  <c r="AH59" i="15" s="1"/>
  <c r="AJ18" i="15"/>
  <c r="AJ41" i="15" s="1"/>
  <c r="AJ59" i="15" s="1"/>
  <c r="AG18" i="15"/>
  <c r="AG41" i="15" s="1"/>
  <c r="AG59" i="15" s="1"/>
  <c r="AK18" i="15"/>
  <c r="AK41" i="15" s="1"/>
  <c r="AK59" i="15" s="1"/>
  <c r="AI18" i="15"/>
  <c r="AI41" i="15" s="1"/>
  <c r="AI59" i="15" s="1"/>
  <c r="P22" i="15"/>
  <c r="R23" i="15" s="1"/>
  <c r="AI19" i="15"/>
  <c r="AI42" i="15" s="1"/>
  <c r="AI60" i="15" s="1"/>
  <c r="AJ19" i="15"/>
  <c r="AJ42" i="15" s="1"/>
  <c r="AJ60" i="15" s="1"/>
  <c r="AG19" i="15"/>
  <c r="AG42" i="15" s="1"/>
  <c r="AG60" i="15" s="1"/>
  <c r="AK19" i="15"/>
  <c r="AK42" i="15" s="1"/>
  <c r="AK60" i="15" s="1"/>
  <c r="AH19" i="15"/>
  <c r="AH42" i="15" s="1"/>
  <c r="AH60" i="15" s="1"/>
  <c r="AI20" i="15"/>
  <c r="AI43" i="15" s="1"/>
  <c r="AI61" i="15" s="1"/>
  <c r="AH20" i="15"/>
  <c r="AH43" i="15" s="1"/>
  <c r="AH61" i="15" s="1"/>
  <c r="AG20" i="15"/>
  <c r="AG43" i="15" s="1"/>
  <c r="AG61" i="15" s="1"/>
  <c r="AJ20" i="15"/>
  <c r="AJ43" i="15" s="1"/>
  <c r="AJ61" i="15" s="1"/>
  <c r="AK20" i="15"/>
  <c r="AK43" i="15" s="1"/>
  <c r="AK61" i="15" s="1"/>
  <c r="P24" i="14"/>
  <c r="R27" i="14" s="1"/>
  <c r="O21" i="13"/>
  <c r="Q21" i="13" s="1"/>
  <c r="T24" i="14"/>
  <c r="V10" i="14" s="1"/>
  <c r="W10" i="14"/>
  <c r="O23" i="12"/>
  <c r="Q23" i="12" s="1"/>
  <c r="Q22" i="12"/>
  <c r="T23" i="12"/>
  <c r="Q19" i="11"/>
  <c r="P19" i="11"/>
  <c r="R20" i="11" s="1"/>
  <c r="S20" i="11" s="1"/>
  <c r="T20" i="11" s="1"/>
  <c r="O17" i="8"/>
  <c r="Q17" i="8" s="1"/>
  <c r="O17" i="6"/>
  <c r="Q17" i="6" s="1"/>
  <c r="P20" i="7"/>
  <c r="Q20" i="7"/>
  <c r="Q16" i="5"/>
  <c r="P16" i="5"/>
  <c r="R29" i="10"/>
  <c r="O29" i="10"/>
  <c r="L29" i="10"/>
  <c r="P15" i="9"/>
  <c r="R25" i="14" l="1"/>
  <c r="R26" i="14"/>
  <c r="O23" i="15"/>
  <c r="S23" i="15"/>
  <c r="T23" i="15" s="1"/>
  <c r="AL21" i="15"/>
  <c r="P21" i="13"/>
  <c r="O22" i="13" s="1"/>
  <c r="R29" i="14"/>
  <c r="O29" i="14"/>
  <c r="L29" i="14"/>
  <c r="P23" i="12"/>
  <c r="R24" i="12" s="1"/>
  <c r="S24" i="12" s="1"/>
  <c r="T24" i="12" s="1"/>
  <c r="V10" i="12" s="1"/>
  <c r="O20" i="11"/>
  <c r="P20" i="11" s="1"/>
  <c r="R21" i="11" s="1"/>
  <c r="S21" i="11" s="1"/>
  <c r="T21" i="11" s="1"/>
  <c r="R16" i="9"/>
  <c r="S16" i="9" s="1"/>
  <c r="T16" i="9" s="1"/>
  <c r="O16" i="9"/>
  <c r="Q16" i="9" s="1"/>
  <c r="P17" i="6"/>
  <c r="R17" i="5"/>
  <c r="S17" i="5" s="1"/>
  <c r="T17" i="5" s="1"/>
  <c r="O17" i="5"/>
  <c r="P17" i="8"/>
  <c r="O21" i="7"/>
  <c r="P23" i="15" l="1"/>
  <c r="O24" i="15" s="1"/>
  <c r="Q23" i="15"/>
  <c r="AG21" i="15"/>
  <c r="AG44" i="15" s="1"/>
  <c r="AG62" i="15" s="1"/>
  <c r="AH21" i="15"/>
  <c r="AH44" i="15" s="1"/>
  <c r="AH62" i="15" s="1"/>
  <c r="AK21" i="15"/>
  <c r="AK44" i="15" s="1"/>
  <c r="AK62" i="15" s="1"/>
  <c r="AI21" i="15"/>
  <c r="AI44" i="15" s="1"/>
  <c r="AI62" i="15" s="1"/>
  <c r="AJ21" i="15"/>
  <c r="AJ44" i="15" s="1"/>
  <c r="AJ62" i="15" s="1"/>
  <c r="U23" i="15"/>
  <c r="R22" i="13"/>
  <c r="S22" i="13" s="1"/>
  <c r="T22" i="13" s="1"/>
  <c r="Q22" i="13"/>
  <c r="P22" i="13"/>
  <c r="O24" i="12"/>
  <c r="W10" i="12"/>
  <c r="O29" i="12"/>
  <c r="R29" i="12"/>
  <c r="L29" i="12"/>
  <c r="Q20" i="11"/>
  <c r="O21" i="11"/>
  <c r="Q21" i="11" s="1"/>
  <c r="O18" i="8"/>
  <c r="Q18" i="8" s="1"/>
  <c r="R18" i="6"/>
  <c r="S18" i="6" s="1"/>
  <c r="T18" i="6" s="1"/>
  <c r="O18" i="6"/>
  <c r="Q18" i="6" s="1"/>
  <c r="P21" i="7"/>
  <c r="Q21" i="7"/>
  <c r="P17" i="5"/>
  <c r="R18" i="5" s="1"/>
  <c r="S18" i="5" s="1"/>
  <c r="T18" i="5" s="1"/>
  <c r="Q17" i="5"/>
  <c r="P16" i="9"/>
  <c r="R17" i="9" s="1"/>
  <c r="S17" i="9" s="1"/>
  <c r="T17" i="9" s="1"/>
  <c r="R18" i="8"/>
  <c r="S18" i="8" s="1"/>
  <c r="T18" i="8" s="1"/>
  <c r="R18" i="7"/>
  <c r="S18" i="7" s="1"/>
  <c r="T18" i="7" s="1"/>
  <c r="Q24" i="15" l="1"/>
  <c r="P24" i="12"/>
  <c r="R27" i="12" s="1"/>
  <c r="P24" i="15"/>
  <c r="R26" i="15" s="1"/>
  <c r="AL24" i="15" s="1"/>
  <c r="R24" i="15"/>
  <c r="S24" i="15" s="1"/>
  <c r="R23" i="13"/>
  <c r="S23" i="13" s="1"/>
  <c r="T23" i="13" s="1"/>
  <c r="O23" i="13"/>
  <c r="Q24" i="12"/>
  <c r="P21" i="11"/>
  <c r="R22" i="11" s="1"/>
  <c r="S22" i="11" s="1"/>
  <c r="T22" i="11" s="1"/>
  <c r="P18" i="8"/>
  <c r="R19" i="8" s="1"/>
  <c r="S19" i="8" s="1"/>
  <c r="T19" i="8" s="1"/>
  <c r="O17" i="9"/>
  <c r="Q17" i="9" s="1"/>
  <c r="P18" i="6"/>
  <c r="O19" i="6" s="1"/>
  <c r="Q19" i="6" s="1"/>
  <c r="O18" i="5"/>
  <c r="O22" i="7"/>
  <c r="R19" i="7"/>
  <c r="S19" i="7" s="1"/>
  <c r="T19" i="7" s="1"/>
  <c r="U24" i="15" l="1"/>
  <c r="W10" i="15" s="1"/>
  <c r="R29" i="15" s="1"/>
  <c r="T24" i="15"/>
  <c r="Y10" i="15" s="1"/>
  <c r="X12" i="15" s="1"/>
  <c r="AH24" i="15"/>
  <c r="AI24" i="15"/>
  <c r="AJ24" i="15"/>
  <c r="AK24" i="15"/>
  <c r="AG24" i="15"/>
  <c r="R25" i="15"/>
  <c r="AL23" i="15" s="1"/>
  <c r="R27" i="15"/>
  <c r="AL25" i="15" s="1"/>
  <c r="R26" i="12"/>
  <c r="R25" i="12"/>
  <c r="X10" i="15"/>
  <c r="AL22" i="15"/>
  <c r="AJ22" i="15" s="1"/>
  <c r="AJ45" i="15" s="1"/>
  <c r="AJ63" i="15" s="1"/>
  <c r="AJ27" i="15" s="1"/>
  <c r="Q23" i="13"/>
  <c r="P23" i="13"/>
  <c r="O22" i="11"/>
  <c r="Q22" i="11" s="1"/>
  <c r="P17" i="9"/>
  <c r="R18" i="9" s="1"/>
  <c r="S18" i="9" s="1"/>
  <c r="T18" i="9" s="1"/>
  <c r="O19" i="8"/>
  <c r="Q19" i="8" s="1"/>
  <c r="P19" i="6"/>
  <c r="O20" i="6" s="1"/>
  <c r="Q20" i="6" s="1"/>
  <c r="R19" i="6"/>
  <c r="S19" i="6" s="1"/>
  <c r="T19" i="6" s="1"/>
  <c r="P22" i="7"/>
  <c r="O23" i="7" s="1"/>
  <c r="Q22" i="7"/>
  <c r="P18" i="5"/>
  <c r="R19" i="5" s="1"/>
  <c r="S19" i="5" s="1"/>
  <c r="T19" i="5" s="1"/>
  <c r="Q18" i="5"/>
  <c r="O29" i="15" l="1"/>
  <c r="L29" i="15"/>
  <c r="AK25" i="15"/>
  <c r="AG25" i="15"/>
  <c r="AH25" i="15"/>
  <c r="AI25" i="15"/>
  <c r="AJ25" i="15"/>
  <c r="AG23" i="15"/>
  <c r="AH23" i="15"/>
  <c r="AI23" i="15"/>
  <c r="AJ23" i="15"/>
  <c r="AK23" i="15"/>
  <c r="AI22" i="15"/>
  <c r="AI45" i="15" s="1"/>
  <c r="AI63" i="15" s="1"/>
  <c r="AI27" i="15" s="1"/>
  <c r="AK22" i="15"/>
  <c r="AK45" i="15" s="1"/>
  <c r="AK63" i="15" s="1"/>
  <c r="AK27" i="15" s="1"/>
  <c r="AH22" i="15"/>
  <c r="AH45" i="15" s="1"/>
  <c r="AH63" i="15" s="1"/>
  <c r="AH27" i="15" s="1"/>
  <c r="AG22" i="15"/>
  <c r="AG45" i="15" s="1"/>
  <c r="AG63" i="15" s="1"/>
  <c r="AG27" i="15" s="1"/>
  <c r="O24" i="13"/>
  <c r="R24" i="13"/>
  <c r="S24" i="13" s="1"/>
  <c r="P22" i="11"/>
  <c r="R23" i="11" s="1"/>
  <c r="S23" i="11" s="1"/>
  <c r="T23" i="11" s="1"/>
  <c r="O18" i="9"/>
  <c r="Q18" i="9" s="1"/>
  <c r="P19" i="8"/>
  <c r="O20" i="8" s="1"/>
  <c r="Q20" i="8" s="1"/>
  <c r="R20" i="6"/>
  <c r="S20" i="6" s="1"/>
  <c r="T20" i="6" s="1"/>
  <c r="P20" i="6"/>
  <c r="R21" i="6" s="1"/>
  <c r="S21" i="6" s="1"/>
  <c r="T21" i="6" s="1"/>
  <c r="P23" i="7"/>
  <c r="R24" i="7" s="1"/>
  <c r="Q23" i="7"/>
  <c r="O19" i="5"/>
  <c r="R20" i="7"/>
  <c r="S20" i="7" s="1"/>
  <c r="T20" i="7" s="1"/>
  <c r="O24" i="7" l="1"/>
  <c r="T24" i="13"/>
  <c r="V10" i="13" s="1"/>
  <c r="W10" i="13"/>
  <c r="Q24" i="13"/>
  <c r="P24" i="13"/>
  <c r="R26" i="13" s="1"/>
  <c r="O23" i="11"/>
  <c r="Q23" i="11" s="1"/>
  <c r="P18" i="9"/>
  <c r="O19" i="9" s="1"/>
  <c r="P19" i="9" s="1"/>
  <c r="R20" i="9" s="1"/>
  <c r="S20" i="9" s="1"/>
  <c r="T20" i="9" s="1"/>
  <c r="R20" i="8"/>
  <c r="S20" i="8" s="1"/>
  <c r="T20" i="8" s="1"/>
  <c r="P20" i="8"/>
  <c r="O21" i="6"/>
  <c r="Q21" i="6" s="1"/>
  <c r="P19" i="5"/>
  <c r="R20" i="5" s="1"/>
  <c r="S20" i="5" s="1"/>
  <c r="T20" i="5" s="1"/>
  <c r="Q19" i="5"/>
  <c r="R27" i="13" l="1"/>
  <c r="R25" i="13"/>
  <c r="P24" i="7"/>
  <c r="R25" i="7" s="1"/>
  <c r="Q24" i="7"/>
  <c r="R29" i="13"/>
  <c r="O29" i="13"/>
  <c r="L29" i="13"/>
  <c r="P23" i="11"/>
  <c r="R24" i="11" s="1"/>
  <c r="S24" i="11" s="1"/>
  <c r="T24" i="11" s="1"/>
  <c r="V10" i="11" s="1"/>
  <c r="L29" i="11" s="1"/>
  <c r="Q19" i="9"/>
  <c r="R19" i="9"/>
  <c r="S19" i="9" s="1"/>
  <c r="T19" i="9" s="1"/>
  <c r="O20" i="9"/>
  <c r="Q20" i="9" s="1"/>
  <c r="R21" i="8"/>
  <c r="S21" i="8" s="1"/>
  <c r="T21" i="8" s="1"/>
  <c r="O21" i="8"/>
  <c r="P21" i="6"/>
  <c r="O22" i="6" s="1"/>
  <c r="Q22" i="6" s="1"/>
  <c r="O20" i="5"/>
  <c r="R27" i="7" l="1"/>
  <c r="R26" i="7"/>
  <c r="W10" i="11"/>
  <c r="O24" i="11"/>
  <c r="R29" i="11"/>
  <c r="O29" i="11"/>
  <c r="P20" i="9"/>
  <c r="R21" i="9" s="1"/>
  <c r="S21" i="9" s="1"/>
  <c r="T21" i="9" s="1"/>
  <c r="Q21" i="8"/>
  <c r="P21" i="8"/>
  <c r="R22" i="6"/>
  <c r="S22" i="6" s="1"/>
  <c r="T22" i="6" s="1"/>
  <c r="P20" i="5"/>
  <c r="R21" i="5" s="1"/>
  <c r="S21" i="5" s="1"/>
  <c r="Q20" i="5"/>
  <c r="P22" i="6"/>
  <c r="R23" i="6" s="1"/>
  <c r="S23" i="6" s="1"/>
  <c r="T23" i="6" s="1"/>
  <c r="R21" i="7"/>
  <c r="S21" i="7" s="1"/>
  <c r="T21" i="7" s="1"/>
  <c r="P24" i="11" l="1"/>
  <c r="R25" i="11" s="1"/>
  <c r="Q24" i="11"/>
  <c r="O21" i="9"/>
  <c r="Q21" i="9" s="1"/>
  <c r="R22" i="8"/>
  <c r="S22" i="8" s="1"/>
  <c r="T22" i="8" s="1"/>
  <c r="O22" i="8"/>
  <c r="O23" i="6"/>
  <c r="Q23" i="6" s="1"/>
  <c r="T21" i="5"/>
  <c r="O21" i="5"/>
  <c r="R22" i="7"/>
  <c r="S22" i="7" s="1"/>
  <c r="T22" i="7" s="1"/>
  <c r="R26" i="11" l="1"/>
  <c r="R27" i="11"/>
  <c r="P21" i="9"/>
  <c r="O22" i="9" s="1"/>
  <c r="Q22" i="9" s="1"/>
  <c r="Q22" i="8"/>
  <c r="P22" i="8"/>
  <c r="P21" i="5"/>
  <c r="R22" i="5" s="1"/>
  <c r="S22" i="5" s="1"/>
  <c r="Q21" i="5"/>
  <c r="R23" i="7"/>
  <c r="S23" i="7" s="1"/>
  <c r="T23" i="7" s="1"/>
  <c r="P23" i="6"/>
  <c r="R24" i="6" s="1"/>
  <c r="S24" i="6" s="1"/>
  <c r="P22" i="9" l="1"/>
  <c r="R23" i="9" s="1"/>
  <c r="S23" i="9" s="1"/>
  <c r="T23" i="9" s="1"/>
  <c r="R22" i="9"/>
  <c r="S22" i="9" s="1"/>
  <c r="T22" i="9" s="1"/>
  <c r="O23" i="8"/>
  <c r="R23" i="8"/>
  <c r="S23" i="8" s="1"/>
  <c r="O22" i="5"/>
  <c r="Q22" i="5" s="1"/>
  <c r="O24" i="6"/>
  <c r="T22" i="5"/>
  <c r="W10" i="6"/>
  <c r="T24" i="6"/>
  <c r="V10" i="6" s="1"/>
  <c r="Q24" i="6" l="1"/>
  <c r="O23" i="9"/>
  <c r="Q23" i="9" s="1"/>
  <c r="T23" i="8"/>
  <c r="Q23" i="8"/>
  <c r="P23" i="8"/>
  <c r="R24" i="8" s="1"/>
  <c r="S24" i="8" s="1"/>
  <c r="T24" i="8" s="1"/>
  <c r="P22" i="5"/>
  <c r="R23" i="5" s="1"/>
  <c r="S23" i="5" s="1"/>
  <c r="T23" i="5" s="1"/>
  <c r="P24" i="6"/>
  <c r="R25" i="6" s="1"/>
  <c r="O29" i="6"/>
  <c r="L29" i="6"/>
  <c r="R29" i="6"/>
  <c r="R26" i="6" l="1"/>
  <c r="R27" i="6"/>
  <c r="P23" i="9"/>
  <c r="R24" i="9" s="1"/>
  <c r="S24" i="9" s="1"/>
  <c r="T24" i="9" s="1"/>
  <c r="V10" i="9" s="1"/>
  <c r="O24" i="8"/>
  <c r="W10" i="8"/>
  <c r="V10" i="8"/>
  <c r="O23" i="5"/>
  <c r="S24" i="7"/>
  <c r="Q24" i="8" l="1"/>
  <c r="P23" i="5"/>
  <c r="R24" i="5" s="1"/>
  <c r="S24" i="5" s="1"/>
  <c r="T24" i="5" s="1"/>
  <c r="V10" i="5" s="1"/>
  <c r="R29" i="5" s="1"/>
  <c r="O24" i="9"/>
  <c r="W10" i="9"/>
  <c r="P24" i="8"/>
  <c r="R27" i="8" s="1"/>
  <c r="R29" i="8"/>
  <c r="O29" i="8"/>
  <c r="L29" i="8"/>
  <c r="Q23" i="5"/>
  <c r="O29" i="9"/>
  <c r="L29" i="9"/>
  <c r="R29" i="9"/>
  <c r="T24" i="7"/>
  <c r="V10" i="7" s="1"/>
  <c r="W10" i="7"/>
  <c r="R26" i="8" l="1"/>
  <c r="R25" i="8"/>
  <c r="Q24" i="9"/>
  <c r="W10" i="5"/>
  <c r="L29" i="5"/>
  <c r="O24" i="5"/>
  <c r="O29" i="5"/>
  <c r="P24" i="9"/>
  <c r="R25" i="9" s="1"/>
  <c r="R29" i="7"/>
  <c r="O29" i="7"/>
  <c r="L29" i="7"/>
  <c r="R26" i="9" l="1"/>
  <c r="R27" i="9"/>
  <c r="Q24" i="5"/>
  <c r="P24" i="5"/>
  <c r="R25" i="5" s="1"/>
  <c r="R27" i="5" l="1"/>
  <c r="R26" i="5"/>
</calcChain>
</file>

<file path=xl/sharedStrings.xml><?xml version="1.0" encoding="utf-8"?>
<sst xmlns="http://schemas.openxmlformats.org/spreadsheetml/2006/main" count="627" uniqueCount="64">
  <si>
    <t>Year</t>
  </si>
  <si>
    <t>Qtr</t>
  </si>
  <si>
    <t>PVB (12-720)</t>
  </si>
  <si>
    <t>PVB (34 - 720)</t>
  </si>
  <si>
    <t>PVB (1 - 720)</t>
  </si>
  <si>
    <t>PVB (34 - 420)</t>
  </si>
  <si>
    <t>PVB (1 - 420)</t>
  </si>
  <si>
    <t>Total</t>
  </si>
  <si>
    <t>Period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</si>
  <si>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</si>
  <si>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</si>
  <si>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</si>
  <si>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</si>
  <si>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</si>
  <si>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</si>
  <si>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</si>
  <si>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</si>
  <si>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</si>
  <si>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</si>
  <si>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</si>
  <si>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</si>
  <si>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</si>
  <si>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</si>
  <si>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</si>
  <si>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</si>
  <si>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</si>
  <si>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</si>
  <si>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</si>
  <si>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</si>
  <si>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</si>
  <si>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</si>
  <si>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</si>
  <si>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</si>
  <si>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Period (t)</t>
  </si>
  <si>
    <t>Y</t>
  </si>
  <si>
    <t>Ŷ</t>
  </si>
  <si>
    <t>De-Trend</t>
  </si>
  <si>
    <t>I(t)</t>
  </si>
  <si>
    <t>Avg I(t)</t>
  </si>
  <si>
    <t>Adj I(t)</t>
  </si>
  <si>
    <r>
      <t>S</t>
    </r>
    <r>
      <rPr>
        <vertAlign val="subscript"/>
        <sz val="12"/>
        <color theme="1"/>
        <rFont val="Calibri"/>
        <family val="2"/>
        <scheme val="minor"/>
      </rPr>
      <t>0</t>
    </r>
  </si>
  <si>
    <r>
      <t>B</t>
    </r>
    <r>
      <rPr>
        <vertAlign val="subscript"/>
        <sz val="12"/>
        <color theme="1"/>
        <rFont val="Calibri"/>
        <family val="2"/>
        <scheme val="minor"/>
      </rPr>
      <t>0</t>
    </r>
  </si>
  <si>
    <r>
      <t>I</t>
    </r>
    <r>
      <rPr>
        <vertAlign val="subscript"/>
        <sz val="12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</si>
  <si>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2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</si>
  <si>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2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/>
    </r>
  </si>
  <si>
    <r>
      <t>I</t>
    </r>
    <r>
      <rPr>
        <vertAlign val="subscript"/>
        <sz val="12"/>
        <color theme="1"/>
        <rFont val="Calibri"/>
        <family val="2"/>
        <scheme val="minor"/>
      </rPr>
      <t>-0</t>
    </r>
    <r>
      <rPr>
        <sz val="11"/>
        <color theme="1"/>
        <rFont val="Calibri"/>
        <family val="2"/>
        <scheme val="minor"/>
      </rPr>
      <t/>
    </r>
  </si>
  <si>
    <t>Starting Values</t>
  </si>
  <si>
    <t>Level (S)</t>
  </si>
  <si>
    <t>Trend (b)</t>
  </si>
  <si>
    <t>Seasonal (I)</t>
  </si>
  <si>
    <t>Fit (F)</t>
  </si>
  <si>
    <t>Error (e)</t>
  </si>
  <si>
    <t>APE</t>
  </si>
  <si>
    <t>α</t>
  </si>
  <si>
    <t>β</t>
  </si>
  <si>
    <t>γ</t>
  </si>
  <si>
    <t>MAPE</t>
  </si>
  <si>
    <t>MAD</t>
  </si>
  <si>
    <t>MSD</t>
  </si>
  <si>
    <t>Total (Fit)</t>
  </si>
  <si>
    <t>Disaggregation Based on %</t>
  </si>
  <si>
    <t>Error^2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</si>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</sst>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1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4" xfId="0" applyFill="1" applyBorder="1" applyAlignment="1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2" fontId="3" fillId="0" borderId="0" xfId="0" applyNumberFormat="1" applyFont="1"/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5" borderId="0" xfId="0" applyNumberFormat="1" applyFill="1"/>
    <xf numFmtId="0" fontId="3" fillId="3" borderId="0" xfId="0" applyFont="1" applyFill="1" applyAlignment="1">
      <alignment horizontal="center"/>
    </xf>
    <xf numFmtId="2" fontId="0" fillId="0" borderId="0" xfId="0" applyNumberFormat="1" applyFill="1"/>
    <xf numFmtId="2" fontId="0" fillId="0" borderId="0" xfId="0" applyNumberFormat="1"/>
    <xf numFmtId="2" fontId="0" fillId="0" borderId="1" xfId="0" applyNumberFormat="1" applyBorder="1"/>
    <xf numFmtId="164" fontId="0" fillId="0" borderId="0" xfId="0" applyNumberFormat="1"/>
    <xf numFmtId="2" fontId="5" fillId="3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2" fontId="0" fillId="0" borderId="0" xfId="0" applyNumberFormat="1" applyAlignment="1">
      <alignment horizontal="left"/>
    </xf>
    <xf numFmtId="165" fontId="0" fillId="0" borderId="0" xfId="0" applyNumberFormat="1"/>
    <xf numFmtId="2" fontId="0" fillId="0" borderId="1" xfId="0" applyNumberFormat="1" applyFill="1" applyBorder="1"/>
    <xf numFmtId="10" fontId="0" fillId="0" borderId="0" xfId="1" applyNumberFormat="1" applyFont="1"/>
    <xf numFmtId="10" fontId="0" fillId="0" borderId="0" xfId="0" applyNumberFormat="1"/>
    <xf numFmtId="0" fontId="1" fillId="5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6" xfId="0" applyNumberFormat="1" applyBorder="1" applyAlignment="1">
      <alignment horizontal="center"/>
    </xf>
    <xf numFmtId="2" fontId="0" fillId="8" borderId="0" xfId="0" applyNumberFormat="1" applyFill="1"/>
    <xf numFmtId="2" fontId="0" fillId="9" borderId="0" xfId="0" applyNumberFormat="1" applyFill="1"/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ont="1" applyFill="1" applyAlignment="1">
      <alignment horizontal="center" vertical="center"/>
    </xf>
    <xf numFmtId="0" fontId="7" fillId="12" borderId="0" xfId="2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Product Family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PVB (12-720)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Data!$E$2:$E$18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26-44A5-BFD5-C8819B93658F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PVB (34 - 720)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Data!$F$2:$F$18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26-44A5-BFD5-C8819B93658F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PVB (1 - 720)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Data!$G$2:$G$18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26-44A5-BFD5-C8819B93658F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PVB (34 - 420)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Data!$H$2:$H$18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26-44A5-BFD5-C8819B93658F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PVB (1 - 420)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Data!$I$2:$I$18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26-44A5-BFD5-C8819B936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001616"/>
        <c:axId val="1044002448"/>
      </c:lineChart>
      <c:catAx>
        <c:axId val="10440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02448"/>
        <c:crosses val="autoZero"/>
        <c:auto val="1"/>
        <c:lblAlgn val="ctr"/>
        <c:lblOffset val="100"/>
        <c:noMultiLvlLbl val="0"/>
      </c:catAx>
      <c:valAx>
        <c:axId val="10440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0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PVB (12-720)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Data!$E$2:$E$18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6-4DA9-A191-9915F273B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002032"/>
        <c:axId val="1043999952"/>
      </c:lineChart>
      <c:catAx>
        <c:axId val="104400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999952"/>
        <c:crosses val="autoZero"/>
        <c:auto val="1"/>
        <c:lblAlgn val="ctr"/>
        <c:lblOffset val="100"/>
        <c:noMultiLvlLbl val="0"/>
      </c:catAx>
      <c:valAx>
        <c:axId val="10439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0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PVB (34 - 720)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Data!$F$2:$F$18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1F-4141-B341-72970CB20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204736"/>
        <c:axId val="1041201408"/>
      </c:lineChart>
      <c:catAx>
        <c:axId val="104120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201408"/>
        <c:crosses val="autoZero"/>
        <c:auto val="1"/>
        <c:lblAlgn val="ctr"/>
        <c:lblOffset val="100"/>
        <c:noMultiLvlLbl val="0"/>
      </c:catAx>
      <c:valAx>
        <c:axId val="10412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20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PVB (1 - 720)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Data!$G$2:$G$18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D-4E5C-A480-3AE9200C4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496352"/>
        <c:axId val="1066494688"/>
      </c:lineChart>
      <c:catAx>
        <c:axId val="106649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94688"/>
        <c:crosses val="autoZero"/>
        <c:auto val="1"/>
        <c:lblAlgn val="ctr"/>
        <c:lblOffset val="100"/>
        <c:noMultiLvlLbl val="0"/>
      </c:catAx>
      <c:valAx>
        <c:axId val="10664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9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PVB (34 - 420)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Data!$H$2:$H$18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B-4045-9922-2D79EBF4F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18736"/>
        <c:axId val="965219984"/>
      </c:lineChart>
      <c:catAx>
        <c:axId val="96521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19984"/>
        <c:crosses val="autoZero"/>
        <c:auto val="1"/>
        <c:lblAlgn val="ctr"/>
        <c:lblOffset val="100"/>
        <c:noMultiLvlLbl val="0"/>
      </c:catAx>
      <c:valAx>
        <c:axId val="96521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1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PVB (1 - 420)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Data!$D$2:$D$18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</c:numCache>
            </c:numRef>
          </c:cat>
          <c:val>
            <c:numRef>
              <c:f>Data!$I$2:$I$18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A-42EC-8816-B66113077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277552"/>
        <c:axId val="965280464"/>
      </c:lineChart>
      <c:catAx>
        <c:axId val="96527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80464"/>
        <c:crosses val="autoZero"/>
        <c:auto val="1"/>
        <c:lblAlgn val="ctr"/>
        <c:lblOffset val="100"/>
        <c:noMultiLvlLbl val="0"/>
      </c:catAx>
      <c:valAx>
        <c:axId val="9652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7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'Total X'!$L$8:$L$24</c:f>
              <c:numCache>
                <c:formatCode>General</c:formatCode>
                <c:ptCount val="17"/>
                <c:pt idx="0">
                  <c:v>27512</c:v>
                </c:pt>
                <c:pt idx="1">
                  <c:v>45798</c:v>
                </c:pt>
                <c:pt idx="2">
                  <c:v>76968</c:v>
                </c:pt>
                <c:pt idx="3">
                  <c:v>43858</c:v>
                </c:pt>
                <c:pt idx="4">
                  <c:v>30580</c:v>
                </c:pt>
                <c:pt idx="5">
                  <c:v>53198</c:v>
                </c:pt>
                <c:pt idx="6">
                  <c:v>88704</c:v>
                </c:pt>
                <c:pt idx="7">
                  <c:v>51590</c:v>
                </c:pt>
                <c:pt idx="8">
                  <c:v>35372</c:v>
                </c:pt>
                <c:pt idx="9">
                  <c:v>57840</c:v>
                </c:pt>
                <c:pt idx="10">
                  <c:v>93388</c:v>
                </c:pt>
                <c:pt idx="11">
                  <c:v>58906</c:v>
                </c:pt>
                <c:pt idx="12">
                  <c:v>39382</c:v>
                </c:pt>
                <c:pt idx="13">
                  <c:v>75219</c:v>
                </c:pt>
                <c:pt idx="14">
                  <c:v>122868</c:v>
                </c:pt>
                <c:pt idx="15">
                  <c:v>54996</c:v>
                </c:pt>
                <c:pt idx="16">
                  <c:v>48159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6-4C28-8706-34A681592BAA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X'!$R$8:$R$27</c:f>
              <c:numCache>
                <c:formatCode>0.00</c:formatCode>
                <c:ptCount val="20"/>
                <c:pt idx="0">
                  <c:v>26717.835269187057</c:v>
                </c:pt>
                <c:pt idx="1">
                  <c:v>45869.198255488925</c:v>
                </c:pt>
                <c:pt idx="2">
                  <c:v>76135.342584400118</c:v>
                </c:pt>
                <c:pt idx="3">
                  <c:v>42397.453725778869</c:v>
                </c:pt>
                <c:pt idx="4">
                  <c:v>31043.347116328649</c:v>
                </c:pt>
                <c:pt idx="5">
                  <c:v>53000.944147463641</c:v>
                </c:pt>
                <c:pt idx="6">
                  <c:v>87558.216575149563</c:v>
                </c:pt>
                <c:pt idx="7">
                  <c:v>48543.879850777295</c:v>
                </c:pt>
                <c:pt idx="8">
                  <c:v>35413.000856574465</c:v>
                </c:pt>
                <c:pt idx="9">
                  <c:v>60253.198553210539</c:v>
                </c:pt>
                <c:pt idx="10">
                  <c:v>99137.469984602023</c:v>
                </c:pt>
                <c:pt idx="11">
                  <c:v>54711.361623682562</c:v>
                </c:pt>
                <c:pt idx="12">
                  <c:v>39770.550187093293</c:v>
                </c:pt>
                <c:pt idx="13">
                  <c:v>67424.213287008621</c:v>
                </c:pt>
                <c:pt idx="14">
                  <c:v>110843.56060813533</c:v>
                </c:pt>
                <c:pt idx="15">
                  <c:v>61212.432610582197</c:v>
                </c:pt>
                <c:pt idx="16">
                  <c:v>44339.496662596852</c:v>
                </c:pt>
                <c:pt idx="17">
                  <c:v>75139.104174498192</c:v>
                </c:pt>
                <c:pt idx="18">
                  <c:v>123157.0196641607</c:v>
                </c:pt>
                <c:pt idx="19">
                  <c:v>67762.547161072609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6-4C28-8706-34A681592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63584"/>
        <c:axId val="812973568"/>
      </c:lineChart>
      <c:catAx>
        <c:axId val="81296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73568"/>
        <c:crosses val="autoZero"/>
        <c:auto val="1"/>
        <c:lblAlgn val="ctr"/>
        <c:lblOffset val="100"/>
        <c:noMultiLvlLbl val="0"/>
      </c:catAx>
      <c:valAx>
        <c:axId val="8129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6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'Total X'!$L$8:$L$24</c:f>
              <c:numCache>
                <c:formatCode>General</c:formatCode>
                <c:ptCount val="17"/>
                <c:pt idx="0">
                  <c:v>27512</c:v>
                </c:pt>
                <c:pt idx="1">
                  <c:v>45798</c:v>
                </c:pt>
                <c:pt idx="2">
                  <c:v>76968</c:v>
                </c:pt>
                <c:pt idx="3">
                  <c:v>43858</c:v>
                </c:pt>
                <c:pt idx="4">
                  <c:v>30580</c:v>
                </c:pt>
                <c:pt idx="5">
                  <c:v>53198</c:v>
                </c:pt>
                <c:pt idx="6">
                  <c:v>88704</c:v>
                </c:pt>
                <c:pt idx="7">
                  <c:v>51590</c:v>
                </c:pt>
                <c:pt idx="8">
                  <c:v>35372</c:v>
                </c:pt>
                <c:pt idx="9">
                  <c:v>57840</c:v>
                </c:pt>
                <c:pt idx="10">
                  <c:v>93388</c:v>
                </c:pt>
                <c:pt idx="11">
                  <c:v>58906</c:v>
                </c:pt>
                <c:pt idx="12">
                  <c:v>39382</c:v>
                </c:pt>
                <c:pt idx="13">
                  <c:v>75219</c:v>
                </c:pt>
                <c:pt idx="14">
                  <c:v>122868</c:v>
                </c:pt>
                <c:pt idx="15">
                  <c:v>54996</c:v>
                </c:pt>
                <c:pt idx="16">
                  <c:v>48159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2-4F46-8693-2D98BACE80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X'!$M$8:$M$24</c:f>
              <c:numCache>
                <c:formatCode>0.00</c:formatCode>
                <c:ptCount val="17"/>
                <c:pt idx="0">
                  <c:v>44770.529411764721</c:v>
                </c:pt>
                <c:pt idx="1">
                  <c:v>46559.051470588245</c:v>
                </c:pt>
                <c:pt idx="2">
                  <c:v>48347.573529411777</c:v>
                </c:pt>
                <c:pt idx="3">
                  <c:v>50136.095588235301</c:v>
                </c:pt>
                <c:pt idx="4">
                  <c:v>51924.617647058833</c:v>
                </c:pt>
                <c:pt idx="5">
                  <c:v>53713.139705882364</c:v>
                </c:pt>
                <c:pt idx="6">
                  <c:v>55501.661764705888</c:v>
                </c:pt>
                <c:pt idx="7">
                  <c:v>57290.18382352942</c:v>
                </c:pt>
                <c:pt idx="8">
                  <c:v>59078.705882352951</c:v>
                </c:pt>
                <c:pt idx="9">
                  <c:v>60867.227941176476</c:v>
                </c:pt>
                <c:pt idx="10">
                  <c:v>62655.750000000007</c:v>
                </c:pt>
                <c:pt idx="11">
                  <c:v>64444.272058823539</c:v>
                </c:pt>
                <c:pt idx="12">
                  <c:v>66232.794117647063</c:v>
                </c:pt>
                <c:pt idx="13">
                  <c:v>68021.316176470602</c:v>
                </c:pt>
                <c:pt idx="14">
                  <c:v>69809.838235294126</c:v>
                </c:pt>
                <c:pt idx="15">
                  <c:v>71598.36029411765</c:v>
                </c:pt>
                <c:pt idx="16">
                  <c:v>73386.882352941175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E2-4F46-8693-2D98BACE8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66496"/>
        <c:axId val="812983552"/>
      </c:lineChart>
      <c:catAx>
        <c:axId val="81296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83552"/>
        <c:crosses val="autoZero"/>
        <c:auto val="1"/>
        <c:lblAlgn val="ctr"/>
        <c:lblOffset val="100"/>
        <c:noMultiLvlLbl val="0"/>
      </c:catAx>
      <c:valAx>
        <c:axId val="81298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6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(12</a:t>
            </a:r>
            <a:r>
              <a:rPr lang="en-US" baseline="0"/>
              <a:t> - 720) - % Sales Disaggregation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(12-720) X'!$L$8:$L$24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9-4BCE-BD6E-304D9B5C3D48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X'!$AG$6:$AG$25</c:f>
              <c:numCache>
                <c:formatCode>0.00</c:formatCode>
                <c:ptCount val="20"/>
                <c:pt idx="0">
                  <c:v>1940.5943489309948</c:v>
                </c:pt>
                <c:pt idx="1">
                  <c:v>3331.6137339634729</c:v>
                </c:pt>
                <c:pt idx="2">
                  <c:v>5529.9321252873233</c:v>
                </c:pt>
                <c:pt idx="3">
                  <c:v>3079.4507968314624</c:v>
                </c:pt>
                <c:pt idx="4">
                  <c:v>2254.7688979625805</c:v>
                </c:pt>
                <c:pt idx="5">
                  <c:v>3849.613251384671</c:v>
                </c:pt>
                <c:pt idx="6">
                  <c:v>6359.608799750692</c:v>
                </c:pt>
                <c:pt idx="7">
                  <c:v>3525.8836640199838</c:v>
                </c:pt>
                <c:pt idx="8">
                  <c:v>2572.1496015140265</c:v>
                </c:pt>
                <c:pt idx="9">
                  <c:v>4376.3656538531877</c:v>
                </c:pt>
                <c:pt idx="10">
                  <c:v>7200.6437677721533</c:v>
                </c:pt>
                <c:pt idx="11">
                  <c:v>3973.8458643647814</c:v>
                </c:pt>
                <c:pt idx="12">
                  <c:v>2888.6511264614919</c:v>
                </c:pt>
                <c:pt idx="13">
                  <c:v>4897.2173818582041</c:v>
                </c:pt>
                <c:pt idx="14">
                  <c:v>8050.8912928140289</c:v>
                </c:pt>
                <c:pt idx="15">
                  <c:v>4446.0376228687455</c:v>
                </c:pt>
                <c:pt idx="16">
                  <c:v>3220.5070429906218</c:v>
                </c:pt>
                <c:pt idx="17">
                  <c:v>5457.5724221539904</c:v>
                </c:pt>
                <c:pt idx="18">
                  <c:v>8945.253759651825</c:v>
                </c:pt>
                <c:pt idx="19">
                  <c:v>4921.791558525043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A9-4BCE-BD6E-304D9B5C3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907168"/>
        <c:axId val="1087908000"/>
      </c:lineChart>
      <c:catAx>
        <c:axId val="10879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8000"/>
        <c:crosses val="autoZero"/>
        <c:auto val="1"/>
        <c:lblAlgn val="ctr"/>
        <c:lblOffset val="100"/>
        <c:noMultiLvlLbl val="0"/>
      </c:catAx>
      <c:valAx>
        <c:axId val="10879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- 720) - % Sales Disaggregation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(34-720) X'!$L$8:$L$24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E-47AB-98BF-5B7DFE557027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X'!$AH$6:$AH$25</c:f>
              <c:numCache>
                <c:formatCode>0.00</c:formatCode>
                <c:ptCount val="20"/>
                <c:pt idx="0">
                  <c:v>7139.7208276058836</c:v>
                </c:pt>
                <c:pt idx="1">
                  <c:v>12257.4777047146</c:v>
                </c:pt>
                <c:pt idx="2">
                  <c:v>20345.401702272353</c:v>
                </c:pt>
                <c:pt idx="3">
                  <c:v>11329.734626835674</c:v>
                </c:pt>
                <c:pt idx="4">
                  <c:v>8295.6133882846025</c:v>
                </c:pt>
                <c:pt idx="5">
                  <c:v>14163.271125817382</c:v>
                </c:pt>
                <c:pt idx="6">
                  <c:v>23397.899426027983</c:v>
                </c:pt>
                <c:pt idx="7">
                  <c:v>12972.224228925636</c:v>
                </c:pt>
                <c:pt idx="8">
                  <c:v>9463.3018444911922</c:v>
                </c:pt>
                <c:pt idx="9">
                  <c:v>16101.267647845611</c:v>
                </c:pt>
                <c:pt idx="10">
                  <c:v>26492.185916780407</c:v>
                </c:pt>
                <c:pt idx="11">
                  <c:v>14620.340463801696</c:v>
                </c:pt>
                <c:pt idx="12">
                  <c:v>10627.755678380407</c:v>
                </c:pt>
                <c:pt idx="13">
                  <c:v>18017.554754721117</c:v>
                </c:pt>
                <c:pt idx="14">
                  <c:v>29620.366706601773</c:v>
                </c:pt>
                <c:pt idx="15">
                  <c:v>16357.60066693057</c:v>
                </c:pt>
                <c:pt idx="16">
                  <c:v>11848.700488568309</c:v>
                </c:pt>
                <c:pt idx="17">
                  <c:v>20079.180129574775</c:v>
                </c:pt>
                <c:pt idx="18">
                  <c:v>32910.852601002291</c:v>
                </c:pt>
                <c:pt idx="19">
                  <c:v>18107.966623160366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CE-47AB-98BF-5B7DFE55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225568"/>
        <c:axId val="1090224320"/>
      </c:lineChart>
      <c:catAx>
        <c:axId val="10902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4320"/>
        <c:crosses val="autoZero"/>
        <c:auto val="1"/>
        <c:lblAlgn val="ctr"/>
        <c:lblOffset val="100"/>
        <c:noMultiLvlLbl val="0"/>
      </c:catAx>
      <c:valAx>
        <c:axId val="10902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</a:t>
            </a:r>
            <a:r>
              <a:rPr lang="en-US" baseline="0"/>
              <a:t> - 720) - % Sales Disaggregation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(1-720) X'!$L$8:$L$24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7-4EB0-AFA4-0DFBC2990C22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X'!$AI$6:$AI$25</c:f>
              <c:numCache>
                <c:formatCode>0.00</c:formatCode>
                <c:ptCount val="20"/>
                <c:pt idx="0">
                  <c:v>11956.091487171007</c:v>
                </c:pt>
                <c:pt idx="1">
                  <c:v>20526.226217821015</c:v>
                </c:pt>
                <c:pt idx="2">
                  <c:v>34070.167443393017</c:v>
                </c:pt>
                <c:pt idx="3">
                  <c:v>18972.638705992558</c:v>
                </c:pt>
                <c:pt idx="4">
                  <c:v>13891.7354063814</c:v>
                </c:pt>
                <c:pt idx="5">
                  <c:v>23717.645189029459</c:v>
                </c:pt>
                <c:pt idx="6">
                  <c:v>39181.843786323851</c:v>
                </c:pt>
                <c:pt idx="7">
                  <c:v>21723.13223696997</c:v>
                </c:pt>
                <c:pt idx="8">
                  <c:v>15847.132591792208</c:v>
                </c:pt>
                <c:pt idx="9">
                  <c:v>26962.991089613988</c:v>
                </c:pt>
                <c:pt idx="10">
                  <c:v>44363.499100899891</c:v>
                </c:pt>
                <c:pt idx="11">
                  <c:v>24483.048060216181</c:v>
                </c:pt>
                <c:pt idx="12">
                  <c:v>17797.113117184119</c:v>
                </c:pt>
                <c:pt idx="13">
                  <c:v>30171.98266207194</c:v>
                </c:pt>
                <c:pt idx="14">
                  <c:v>49601.913405126477</c:v>
                </c:pt>
                <c:pt idx="15">
                  <c:v>27392.243311285267</c:v>
                </c:pt>
                <c:pt idx="16">
                  <c:v>19841.692758862933</c:v>
                </c:pt>
                <c:pt idx="17">
                  <c:v>33624.3559675824</c:v>
                </c:pt>
                <c:pt idx="18">
                  <c:v>55112.121904958025</c:v>
                </c:pt>
                <c:pt idx="19">
                  <c:v>30323.385300450478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07-4EB0-AFA4-0DFBC299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272048"/>
        <c:axId val="1053269968"/>
      </c:lineChart>
      <c:catAx>
        <c:axId val="10532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69968"/>
        <c:crosses val="autoZero"/>
        <c:auto val="1"/>
        <c:lblAlgn val="ctr"/>
        <c:lblOffset val="100"/>
        <c:noMultiLvlLbl val="0"/>
      </c:catAx>
      <c:valAx>
        <c:axId val="10532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7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- 420) - % Sales Disaggregation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(34-420) X'!$L$8:$L$24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F-42E2-A8A3-A987CA361612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X'!$AJ$6:$AJ$25</c:f>
              <c:numCache>
                <c:formatCode>0.00</c:formatCode>
                <c:ptCount val="20"/>
                <c:pt idx="0">
                  <c:v>3396.0933154970626</c:v>
                </c:pt>
                <c:pt idx="1">
                  <c:v>5830.4153765903229</c:v>
                </c:pt>
                <c:pt idx="2">
                  <c:v>9677.5328322408423</c:v>
                </c:pt>
                <c:pt idx="3">
                  <c:v>5389.1233231110009</c:v>
                </c:pt>
                <c:pt idx="4">
                  <c:v>3945.9073899599853</c:v>
                </c:pt>
                <c:pt idx="5">
                  <c:v>6736.9287339614311</c:v>
                </c:pt>
                <c:pt idx="6">
                  <c:v>11129.489759622924</c:v>
                </c:pt>
                <c:pt idx="7">
                  <c:v>6170.3930804471011</c:v>
                </c:pt>
                <c:pt idx="8">
                  <c:v>4501.3323227351275</c:v>
                </c:pt>
                <c:pt idx="9">
                  <c:v>7658.7598801413569</c:v>
                </c:pt>
                <c:pt idx="10">
                  <c:v>12601.324012139617</c:v>
                </c:pt>
                <c:pt idx="11">
                  <c:v>6954.3392127360903</c:v>
                </c:pt>
                <c:pt idx="12">
                  <c:v>5055.2186688490492</c:v>
                </c:pt>
                <c:pt idx="13">
                  <c:v>8570.2646842326067</c:v>
                </c:pt>
                <c:pt idx="14">
                  <c:v>14089.280492020778</c:v>
                </c:pt>
                <c:pt idx="15">
                  <c:v>7780.6877361003308</c:v>
                </c:pt>
                <c:pt idx="16">
                  <c:v>5635.9756211990152</c:v>
                </c:pt>
                <c:pt idx="17">
                  <c:v>9550.9013678867213</c:v>
                </c:pt>
                <c:pt idx="18">
                  <c:v>15654.439329534896</c:v>
                </c:pt>
                <c:pt idx="19">
                  <c:v>8613.2701671446175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F-42E2-A8A3-A987CA36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619248"/>
        <c:axId val="962619664"/>
      </c:lineChart>
      <c:catAx>
        <c:axId val="9626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664"/>
        <c:crosses val="autoZero"/>
        <c:auto val="1"/>
        <c:lblAlgn val="ctr"/>
        <c:lblOffset val="100"/>
        <c:noMultiLvlLbl val="0"/>
      </c:catAx>
      <c:valAx>
        <c:axId val="9626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(1 - 420) - % Sales Disaggregation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(1-420) X'!$L$8:$L$24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D-444D-A659-8F3A7FE977EA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X'!$AK$6:$AK$25</c:f>
              <c:numCache>
                <c:formatCode>0.00</c:formatCode>
                <c:ptCount val="20"/>
                <c:pt idx="0">
                  <c:v>2285.3352899821098</c:v>
                </c:pt>
                <c:pt idx="1">
                  <c:v>3923.4652223995176</c:v>
                </c:pt>
                <c:pt idx="2">
                  <c:v>6512.3084812065863</c:v>
                </c:pt>
                <c:pt idx="3">
                  <c:v>3626.5062730081759</c:v>
                </c:pt>
                <c:pt idx="4">
                  <c:v>2655.3220337400808</c:v>
                </c:pt>
                <c:pt idx="5">
                  <c:v>4533.4858472706983</c:v>
                </c:pt>
                <c:pt idx="6">
                  <c:v>7489.3748034241189</c:v>
                </c:pt>
                <c:pt idx="7">
                  <c:v>4152.2466404146062</c:v>
                </c:pt>
                <c:pt idx="8">
                  <c:v>3029.0844960419126</c:v>
                </c:pt>
                <c:pt idx="9">
                  <c:v>5153.8142817563985</c:v>
                </c:pt>
                <c:pt idx="10">
                  <c:v>8479.8171870099559</c:v>
                </c:pt>
                <c:pt idx="11">
                  <c:v>4679.7880225638155</c:v>
                </c:pt>
                <c:pt idx="12">
                  <c:v>3401.8115962182287</c:v>
                </c:pt>
                <c:pt idx="13">
                  <c:v>5767.1938041247558</c:v>
                </c:pt>
                <c:pt idx="14">
                  <c:v>9481.1087115722803</c:v>
                </c:pt>
                <c:pt idx="15">
                  <c:v>5235.8632733972872</c:v>
                </c:pt>
                <c:pt idx="16">
                  <c:v>3792.6207509759738</c:v>
                </c:pt>
                <c:pt idx="17">
                  <c:v>6427.0942873003069</c:v>
                </c:pt>
                <c:pt idx="18">
                  <c:v>10534.352069013672</c:v>
                </c:pt>
                <c:pt idx="19">
                  <c:v>5796.1335117921099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D-444D-A659-8F3A7FE9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908240"/>
        <c:axId val="787906992"/>
      </c:lineChart>
      <c:catAx>
        <c:axId val="7879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6992"/>
        <c:crosses val="autoZero"/>
        <c:auto val="1"/>
        <c:lblAlgn val="ctr"/>
        <c:lblOffset val="100"/>
        <c:noMultiLvlLbl val="0"/>
      </c:catAx>
      <c:valAx>
        <c:axId val="7879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α</a:t>
            </a:r>
            <a:r>
              <a:rPr lang="en-US"/>
              <a:t>, </a:t>
            </a:r>
            <a:r>
              <a:rPr lang="el-GR"/>
              <a:t>β</a:t>
            </a:r>
            <a:r>
              <a:rPr lang="en-US"/>
              <a:t>, </a:t>
            </a:r>
            <a:r>
              <a:rPr lang="el-GR"/>
              <a:t>γ</a:t>
            </a:r>
            <a:r>
              <a:rPr lang="en-US"/>
              <a:t> Optimization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Alpha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 X'!$K$30:$K$49</c:f>
              <c:numCache>
                <c:formatCode>0.00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cat>
          <c:val>
            <c:numRef>
              <c:f>'Total X'!$L$30:$L$50</c:f>
              <c:numCache>
                <c:formatCode>0.00</c:formatCode>
                <c:ptCount val="21"/>
                <c:pt idx="0">
                  <c:v>4.4267830699170272</c:v>
                </c:pt>
                <c:pt idx="1">
                  <c:v>4.5169969598427882</c:v>
                </c:pt>
                <c:pt idx="2">
                  <c:v>4.6983955443415688</c:v>
                </c:pt>
                <c:pt idx="3">
                  <c:v>4.8179718360930988</c:v>
                </c:pt>
                <c:pt idx="4">
                  <c:v>4.941285038301559</c:v>
                </c:pt>
                <c:pt idx="5">
                  <c:v>5.1117292956714442</c:v>
                </c:pt>
                <c:pt idx="6">
                  <c:v>5.3019026706382739</c:v>
                </c:pt>
                <c:pt idx="7">
                  <c:v>5.4984430745690513</c:v>
                </c:pt>
                <c:pt idx="8">
                  <c:v>5.7056267082659176</c:v>
                </c:pt>
                <c:pt idx="9">
                  <c:v>6.0195167968477659</c:v>
                </c:pt>
                <c:pt idx="10">
                  <c:v>6.3426752610576047</c:v>
                </c:pt>
                <c:pt idx="11">
                  <c:v>6.6361314575131098</c:v>
                </c:pt>
                <c:pt idx="12">
                  <c:v>6.9356088642173921</c:v>
                </c:pt>
                <c:pt idx="13">
                  <c:v>7.3179887756727053</c:v>
                </c:pt>
                <c:pt idx="14">
                  <c:v>7.6868295700521001</c:v>
                </c:pt>
                <c:pt idx="15">
                  <c:v>8.048141715859785</c:v>
                </c:pt>
                <c:pt idx="16">
                  <c:v>8.4043429857669576</c:v>
                </c:pt>
                <c:pt idx="17">
                  <c:v>8.7532876656405509</c:v>
                </c:pt>
                <c:pt idx="18">
                  <c:v>9.0883019907605131</c:v>
                </c:pt>
                <c:pt idx="19">
                  <c:v>9.5033185068210937</c:v>
                </c:pt>
                <c:pt idx="20">
                  <c:v>10.013408735014977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1-4BDF-B2E3-0AE513892EEA}"/>
            </c:ext>
          </c:extLst>
        </c:ser>
        <c:ser>
          <c:idx val="1"/>
          <c:order val="1"/>
          <c:tx>
            <c:v>Beta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X'!$K$30:$K$49</c:f>
              <c:numCache>
                <c:formatCode>0.00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cat>
          <c:val>
            <c:numRef>
              <c:f>'Total X'!$O$30:$O$50</c:f>
              <c:numCache>
                <c:formatCode>0.00</c:formatCode>
                <c:ptCount val="21"/>
                <c:pt idx="0">
                  <c:v>4.4220345074843825</c:v>
                </c:pt>
                <c:pt idx="1">
                  <c:v>4.4189132104012545</c:v>
                </c:pt>
                <c:pt idx="2">
                  <c:v>4.4158335786225544</c:v>
                </c:pt>
                <c:pt idx="3">
                  <c:v>4.4127951849066207</c:v>
                </c:pt>
                <c:pt idx="4">
                  <c:v>4.4097976053172587</c:v>
                </c:pt>
                <c:pt idx="5">
                  <c:v>4.4068404192040722</c:v>
                </c:pt>
                <c:pt idx="6">
                  <c:v>4.403923209182814</c:v>
                </c:pt>
                <c:pt idx="7">
                  <c:v>4.4010455611160593</c:v>
                </c:pt>
                <c:pt idx="8">
                  <c:v>4.3982070640936559</c:v>
                </c:pt>
                <c:pt idx="9">
                  <c:v>4.3954073104135238</c:v>
                </c:pt>
                <c:pt idx="10">
                  <c:v>4.3926458955624028</c:v>
                </c:pt>
                <c:pt idx="11">
                  <c:v>4.3899224181967593</c:v>
                </c:pt>
                <c:pt idx="12">
                  <c:v>4.3872364801237351</c:v>
                </c:pt>
                <c:pt idx="13">
                  <c:v>4.3849076673518033</c:v>
                </c:pt>
                <c:pt idx="14">
                  <c:v>4.384227813594717</c:v>
                </c:pt>
                <c:pt idx="15">
                  <c:v>4.3835743459419918</c:v>
                </c:pt>
                <c:pt idx="16">
                  <c:v>4.3829469097721985</c:v>
                </c:pt>
                <c:pt idx="17">
                  <c:v>4.3823451534590934</c:v>
                </c:pt>
                <c:pt idx="18">
                  <c:v>4.3817687283532143</c:v>
                </c:pt>
                <c:pt idx="19">
                  <c:v>4.3812172887635201</c:v>
                </c:pt>
                <c:pt idx="20">
                  <c:v>4.3806904919392649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1-4BDF-B2E3-0AE513892EEA}"/>
            </c:ext>
          </c:extLst>
        </c:ser>
        <c:ser>
          <c:idx val="2"/>
          <c:order val="2"/>
          <c:tx>
            <c:v>Gamma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 X'!$K$30:$K$49</c:f>
              <c:numCache>
                <c:formatCode>0.00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cat>
          <c:val>
            <c:numRef>
              <c:f>'Total X'!$R$30:$R$50</c:f>
              <c:numCache>
                <c:formatCode>0.00</c:formatCode>
                <c:ptCount val="21"/>
                <c:pt idx="0">
                  <c:v>4.3806904919392649</c:v>
                </c:pt>
                <c:pt idx="1">
                  <c:v>4.4418989897465222</c:v>
                </c:pt>
                <c:pt idx="2">
                  <c:v>4.4994554313048409</c:v>
                </c:pt>
                <c:pt idx="3">
                  <c:v>4.5533878366050251</c:v>
                </c:pt>
                <c:pt idx="4">
                  <c:v>4.603746613032996</c:v>
                </c:pt>
                <c:pt idx="5">
                  <c:v>4.6506045581108166</c:v>
                </c:pt>
                <c:pt idx="6">
                  <c:v>4.6940568690548208</c:v>
                </c:pt>
                <c:pt idx="7">
                  <c:v>4.7342211587096648</c:v>
                </c:pt>
                <c:pt idx="8">
                  <c:v>4.7712374774110149</c:v>
                </c:pt>
                <c:pt idx="9">
                  <c:v>4.8052683403204579</c:v>
                </c:pt>
                <c:pt idx="10">
                  <c:v>4.8364987597633018</c:v>
                </c:pt>
                <c:pt idx="11">
                  <c:v>4.8720872125209143</c:v>
                </c:pt>
                <c:pt idx="12">
                  <c:v>4.9105371987057378</c:v>
                </c:pt>
                <c:pt idx="13">
                  <c:v>4.9485927938873377</c:v>
                </c:pt>
                <c:pt idx="14">
                  <c:v>4.9865290374038773</c:v>
                </c:pt>
                <c:pt idx="15">
                  <c:v>5.0246436871376412</c:v>
                </c:pt>
                <c:pt idx="16">
                  <c:v>5.0632572712335886</c:v>
                </c:pt>
                <c:pt idx="17">
                  <c:v>5.1027131411964106</c:v>
                </c:pt>
                <c:pt idx="18">
                  <c:v>5.1433775258416103</c:v>
                </c:pt>
                <c:pt idx="19">
                  <c:v>5.1856395855973547</c:v>
                </c:pt>
                <c:pt idx="20">
                  <c:v>5.2299114666846052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1-4BDF-B2E3-0AE513892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91872"/>
        <c:axId val="812992288"/>
      </c:lineChart>
      <c:catAx>
        <c:axId val="812991872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92288"/>
        <c:crosses val="autoZero"/>
        <c:auto val="1"/>
        <c:lblAlgn val="ctr"/>
        <c:lblOffset val="100"/>
        <c:noMultiLvlLbl val="0"/>
      </c:catAx>
      <c:valAx>
        <c:axId val="812992288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99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(12</a:t>
            </a:r>
            <a:r>
              <a:rPr lang="en-US" baseline="0"/>
              <a:t> - 720)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(12-720) X'!$L$8:$L$24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F-4E89-9B79-852A16E4F519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(12-720) X'!$R$8:$R$27</c:f>
              <c:numCache>
                <c:formatCode>0.00</c:formatCode>
                <c:ptCount val="20"/>
                <c:pt idx="0">
                  <c:v>1382.4093533276143</c:v>
                </c:pt>
                <c:pt idx="1">
                  <c:v>2515.9999709348267</c:v>
                </c:pt>
                <c:pt idx="2">
                  <c:v>3094.5127456924461</c:v>
                </c:pt>
                <c:pt idx="3">
                  <c:v>2681.6782939143668</c:v>
                </c:pt>
                <c:pt idx="4">
                  <c:v>2633.7503879507408</c:v>
                </c:pt>
                <c:pt idx="5">
                  <c:v>3127.8041331946888</c:v>
                </c:pt>
                <c:pt idx="6">
                  <c:v>3432.4864673533066</c:v>
                </c:pt>
                <c:pt idx="7">
                  <c:v>3041.1762543859022</c:v>
                </c:pt>
                <c:pt idx="8">
                  <c:v>3474.2460229742255</c:v>
                </c:pt>
                <c:pt idx="9">
                  <c:v>4724.0806333485516</c:v>
                </c:pt>
                <c:pt idx="10">
                  <c:v>5922.4770462748656</c:v>
                </c:pt>
                <c:pt idx="11">
                  <c:v>4965.2951107773433</c:v>
                </c:pt>
                <c:pt idx="12">
                  <c:v>4985.3804797966295</c:v>
                </c:pt>
                <c:pt idx="13">
                  <c:v>6154.6866545125422</c:v>
                </c:pt>
                <c:pt idx="14">
                  <c:v>7258.6412564923703</c:v>
                </c:pt>
                <c:pt idx="15">
                  <c:v>6218.9499074871119</c:v>
                </c:pt>
                <c:pt idx="16">
                  <c:v>6412.2742290394726</c:v>
                </c:pt>
                <c:pt idx="17">
                  <c:v>8227.4915696331973</c:v>
                </c:pt>
                <c:pt idx="18">
                  <c:v>9237.3217665495777</c:v>
                </c:pt>
                <c:pt idx="19">
                  <c:v>7558.5442257293626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F-4E89-9B79-852A16E4F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907168"/>
        <c:axId val="1087908000"/>
      </c:lineChart>
      <c:catAx>
        <c:axId val="10879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8000"/>
        <c:crosses val="autoZero"/>
        <c:auto val="1"/>
        <c:lblAlgn val="ctr"/>
        <c:lblOffset val="100"/>
        <c:noMultiLvlLbl val="0"/>
      </c:catAx>
      <c:valAx>
        <c:axId val="10879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(12-720) X'!$L$8:$L$24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3-411A-B3BD-CD2827BC4A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(12-720) X'!$M$8:$M$24</c:f>
              <c:numCache>
                <c:formatCode>0.00</c:formatCode>
                <c:ptCount val="17"/>
                <c:pt idx="0">
                  <c:v>1600.3725490196086</c:v>
                </c:pt>
                <c:pt idx="1">
                  <c:v>1936.7083333333339</c:v>
                </c:pt>
                <c:pt idx="2">
                  <c:v>2273.0441176470595</c:v>
                </c:pt>
                <c:pt idx="3">
                  <c:v>2609.379901960785</c:v>
                </c:pt>
                <c:pt idx="4">
                  <c:v>2945.7156862745101</c:v>
                </c:pt>
                <c:pt idx="5">
                  <c:v>3282.0514705882356</c:v>
                </c:pt>
                <c:pt idx="6">
                  <c:v>3618.3872549019607</c:v>
                </c:pt>
                <c:pt idx="7">
                  <c:v>3954.7230392156862</c:v>
                </c:pt>
                <c:pt idx="8">
                  <c:v>4291.0588235294117</c:v>
                </c:pt>
                <c:pt idx="9">
                  <c:v>4627.3946078431363</c:v>
                </c:pt>
                <c:pt idx="10">
                  <c:v>4963.7303921568619</c:v>
                </c:pt>
                <c:pt idx="11">
                  <c:v>5300.0661764705874</c:v>
                </c:pt>
                <c:pt idx="12">
                  <c:v>5636.4019607843129</c:v>
                </c:pt>
                <c:pt idx="13">
                  <c:v>5972.7377450980384</c:v>
                </c:pt>
                <c:pt idx="14">
                  <c:v>6309.073529411764</c:v>
                </c:pt>
                <c:pt idx="15">
                  <c:v>6645.4093137254895</c:v>
                </c:pt>
                <c:pt idx="16">
                  <c:v>6981.745098039215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03-411A-B3BD-CD2827BC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883600"/>
        <c:axId val="1051883184"/>
      </c:lineChart>
      <c:catAx>
        <c:axId val="10518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3184"/>
        <c:crosses val="autoZero"/>
        <c:auto val="1"/>
        <c:lblAlgn val="ctr"/>
        <c:lblOffset val="100"/>
        <c:noMultiLvlLbl val="0"/>
      </c:catAx>
      <c:valAx>
        <c:axId val="10518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- 720)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(34-720) X'!$L$8:$L$24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2-4490-8413-53ECB7ABDA41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(34-720) X'!$R$8:$R$27</c:f>
              <c:numCache>
                <c:formatCode>0.00</c:formatCode>
                <c:ptCount val="20"/>
                <c:pt idx="0">
                  <c:v>7203.5698248989811</c:v>
                </c:pt>
                <c:pt idx="1">
                  <c:v>9834.6221343714733</c:v>
                </c:pt>
                <c:pt idx="2">
                  <c:v>15677.364163166465</c:v>
                </c:pt>
                <c:pt idx="3">
                  <c:v>10455.999970837198</c:v>
                </c:pt>
                <c:pt idx="4">
                  <c:v>10730.418730669879</c:v>
                </c:pt>
                <c:pt idx="5">
                  <c:v>13968.683967456222</c:v>
                </c:pt>
                <c:pt idx="6">
                  <c:v>19923.446367597138</c:v>
                </c:pt>
                <c:pt idx="7">
                  <c:v>12693.411885779544</c:v>
                </c:pt>
                <c:pt idx="8">
                  <c:v>12490.944599139888</c:v>
                </c:pt>
                <c:pt idx="9">
                  <c:v>16252.32000180371</c:v>
                </c:pt>
                <c:pt idx="10">
                  <c:v>23136.626141861652</c:v>
                </c:pt>
                <c:pt idx="11">
                  <c:v>13318.459099648671</c:v>
                </c:pt>
                <c:pt idx="12">
                  <c:v>13487.419431028027</c:v>
                </c:pt>
                <c:pt idx="13">
                  <c:v>16492.02184082961</c:v>
                </c:pt>
                <c:pt idx="14">
                  <c:v>26428.698482825086</c:v>
                </c:pt>
                <c:pt idx="15">
                  <c:v>16339.145068498379</c:v>
                </c:pt>
                <c:pt idx="16">
                  <c:v>17619.310574745003</c:v>
                </c:pt>
                <c:pt idx="17">
                  <c:v>28725.101162709616</c:v>
                </c:pt>
                <c:pt idx="18">
                  <c:v>40907.001791813935</c:v>
                </c:pt>
                <c:pt idx="19">
                  <c:v>24543.139268863521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2-4490-8413-53ECB7AB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225568"/>
        <c:axId val="1090224320"/>
      </c:lineChart>
      <c:catAx>
        <c:axId val="10902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4320"/>
        <c:crosses val="autoZero"/>
        <c:auto val="1"/>
        <c:lblAlgn val="ctr"/>
        <c:lblOffset val="100"/>
        <c:noMultiLvlLbl val="0"/>
      </c:catAx>
      <c:valAx>
        <c:axId val="10902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(34-720) X'!$L$8:$L$24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3-4605-BF3E-8B08EE915C4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(34-720) X'!$M$8:$M$24</c:f>
              <c:numCache>
                <c:formatCode>0.00</c:formatCode>
                <c:ptCount val="17"/>
                <c:pt idx="0">
                  <c:v>9181.3333333333376</c:v>
                </c:pt>
                <c:pt idx="1">
                  <c:v>10007.093137254906</c:v>
                </c:pt>
                <c:pt idx="2">
                  <c:v>10832.852941176474</c:v>
                </c:pt>
                <c:pt idx="3">
                  <c:v>11658.612745098042</c:v>
                </c:pt>
                <c:pt idx="4">
                  <c:v>12484.37254901961</c:v>
                </c:pt>
                <c:pt idx="5">
                  <c:v>13310.132352941178</c:v>
                </c:pt>
                <c:pt idx="6">
                  <c:v>14135.892156862747</c:v>
                </c:pt>
                <c:pt idx="7">
                  <c:v>14961.651960784315</c:v>
                </c:pt>
                <c:pt idx="8">
                  <c:v>15787.411764705883</c:v>
                </c:pt>
                <c:pt idx="9">
                  <c:v>16613.171568627451</c:v>
                </c:pt>
                <c:pt idx="10">
                  <c:v>17438.931372549021</c:v>
                </c:pt>
                <c:pt idx="11">
                  <c:v>18264.691176470587</c:v>
                </c:pt>
                <c:pt idx="12">
                  <c:v>19090.450980392154</c:v>
                </c:pt>
                <c:pt idx="13">
                  <c:v>19916.210784313724</c:v>
                </c:pt>
                <c:pt idx="14">
                  <c:v>20741.970588235294</c:v>
                </c:pt>
                <c:pt idx="15">
                  <c:v>21567.73039215686</c:v>
                </c:pt>
                <c:pt idx="16">
                  <c:v>22393.490196078426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3-4605-BF3E-8B08EE915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21632"/>
        <c:axId val="1094220800"/>
      </c:lineChart>
      <c:catAx>
        <c:axId val="10942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20800"/>
        <c:crosses val="autoZero"/>
        <c:auto val="1"/>
        <c:lblAlgn val="ctr"/>
        <c:lblOffset val="100"/>
        <c:noMultiLvlLbl val="0"/>
      </c:catAx>
      <c:valAx>
        <c:axId val="10942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</a:t>
            </a:r>
            <a:r>
              <a:rPr lang="en-US" baseline="0"/>
              <a:t> - 720)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(1-720) X'!$L$8:$L$24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D-48CA-AFAA-A48A89F55CEB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(1-720) X'!$R$8:$R$27</c:f>
              <c:numCache>
                <c:formatCode>0.00</c:formatCode>
                <c:ptCount val="20"/>
                <c:pt idx="0">
                  <c:v>9456.4335851687356</c:v>
                </c:pt>
                <c:pt idx="1">
                  <c:v>22764.012253777917</c:v>
                </c:pt>
                <c:pt idx="2">
                  <c:v>45448.812398367103</c:v>
                </c:pt>
                <c:pt idx="3">
                  <c:v>18576.694044807129</c:v>
                </c:pt>
                <c:pt idx="4">
                  <c:v>10481.37066102515</c:v>
                </c:pt>
                <c:pt idx="5">
                  <c:v>22032.565051034278</c:v>
                </c:pt>
                <c:pt idx="6">
                  <c:v>45272.018764579268</c:v>
                </c:pt>
                <c:pt idx="7">
                  <c:v>21085.382499030409</c:v>
                </c:pt>
                <c:pt idx="8">
                  <c:v>12826.522421536742</c:v>
                </c:pt>
                <c:pt idx="9">
                  <c:v>27440.981201904684</c:v>
                </c:pt>
                <c:pt idx="10">
                  <c:v>51001.692826559258</c:v>
                </c:pt>
                <c:pt idx="11">
                  <c:v>21449.583225119855</c:v>
                </c:pt>
                <c:pt idx="12">
                  <c:v>13784.748870203353</c:v>
                </c:pt>
                <c:pt idx="13">
                  <c:v>30270.640132798948</c:v>
                </c:pt>
                <c:pt idx="14">
                  <c:v>64007.395051277992</c:v>
                </c:pt>
                <c:pt idx="15">
                  <c:v>28843.071561215878</c:v>
                </c:pt>
                <c:pt idx="16">
                  <c:v>11163.000006415834</c:v>
                </c:pt>
                <c:pt idx="17">
                  <c:v>24522.714423973466</c:v>
                </c:pt>
                <c:pt idx="18">
                  <c:v>50577.367930799948</c:v>
                </c:pt>
                <c:pt idx="19">
                  <c:v>22231.507856930784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D-48CA-AFAA-A48A89F55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272048"/>
        <c:axId val="1053269968"/>
      </c:lineChart>
      <c:catAx>
        <c:axId val="10532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69968"/>
        <c:crosses val="autoZero"/>
        <c:auto val="1"/>
        <c:lblAlgn val="ctr"/>
        <c:lblOffset val="100"/>
        <c:noMultiLvlLbl val="0"/>
      </c:catAx>
      <c:valAx>
        <c:axId val="10532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7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(1-720) X'!$L$8:$L$24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C-41F5-9C8F-DA78E7447F5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(1-720) X'!$M$8:$M$24</c:f>
              <c:numCache>
                <c:formatCode>0.00</c:formatCode>
                <c:ptCount val="17"/>
                <c:pt idx="0">
                  <c:v>22185.843137254902</c:v>
                </c:pt>
                <c:pt idx="1">
                  <c:v>22717.289215686276</c:v>
                </c:pt>
                <c:pt idx="2">
                  <c:v>23248.735294117647</c:v>
                </c:pt>
                <c:pt idx="3">
                  <c:v>23780.181372549021</c:v>
                </c:pt>
                <c:pt idx="4">
                  <c:v>24311.627450980392</c:v>
                </c:pt>
                <c:pt idx="5">
                  <c:v>24843.073529411766</c:v>
                </c:pt>
                <c:pt idx="6">
                  <c:v>25374.519607843136</c:v>
                </c:pt>
                <c:pt idx="7">
                  <c:v>25905.965686274511</c:v>
                </c:pt>
                <c:pt idx="8">
                  <c:v>26437.411764705881</c:v>
                </c:pt>
                <c:pt idx="9">
                  <c:v>26968.857843137252</c:v>
                </c:pt>
                <c:pt idx="10">
                  <c:v>27500.303921568626</c:v>
                </c:pt>
                <c:pt idx="11">
                  <c:v>28031.749999999996</c:v>
                </c:pt>
                <c:pt idx="12">
                  <c:v>28563.196078431371</c:v>
                </c:pt>
                <c:pt idx="13">
                  <c:v>29094.642156862741</c:v>
                </c:pt>
                <c:pt idx="14">
                  <c:v>29626.088235294112</c:v>
                </c:pt>
                <c:pt idx="15">
                  <c:v>30157.534313725486</c:v>
                </c:pt>
                <c:pt idx="16">
                  <c:v>30688.98039215686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C-41F5-9C8F-DA78E744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725040"/>
        <c:axId val="1052731280"/>
      </c:lineChart>
      <c:catAx>
        <c:axId val="10527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31280"/>
        <c:crosses val="autoZero"/>
        <c:auto val="1"/>
        <c:lblAlgn val="ctr"/>
        <c:lblOffset val="100"/>
        <c:noMultiLvlLbl val="0"/>
      </c:catAx>
      <c:valAx>
        <c:axId val="10527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2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- 420)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(34-420) X'!$L$8:$L$24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1-4345-B34B-DBB45AC100D4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(34-420) X'!$R$8:$R$27</c:f>
              <c:numCache>
                <c:formatCode>0.00</c:formatCode>
                <c:ptCount val="20"/>
                <c:pt idx="0">
                  <c:v>5608.3200262229821</c:v>
                </c:pt>
                <c:pt idx="1">
                  <c:v>8297.1503329820207</c:v>
                </c:pt>
                <c:pt idx="2">
                  <c:v>10082.926666377136</c:v>
                </c:pt>
                <c:pt idx="3">
                  <c:v>7682.5770240950815</c:v>
                </c:pt>
                <c:pt idx="4">
                  <c:v>5428.9556018176463</c:v>
                </c:pt>
                <c:pt idx="5">
                  <c:v>8029.6533917610559</c:v>
                </c:pt>
                <c:pt idx="6">
                  <c:v>9755.2156625418538</c:v>
                </c:pt>
                <c:pt idx="7">
                  <c:v>7430.8356680664701</c:v>
                </c:pt>
                <c:pt idx="8">
                  <c:v>5249.5911774123106</c:v>
                </c:pt>
                <c:pt idx="9">
                  <c:v>7762.1564505400902</c:v>
                </c:pt>
                <c:pt idx="10">
                  <c:v>9427.5046587065717</c:v>
                </c:pt>
                <c:pt idx="11">
                  <c:v>7179.0943120378588</c:v>
                </c:pt>
                <c:pt idx="12">
                  <c:v>5070.2267530069748</c:v>
                </c:pt>
                <c:pt idx="13">
                  <c:v>7494.6595093191245</c:v>
                </c:pt>
                <c:pt idx="14">
                  <c:v>9099.7936548712878</c:v>
                </c:pt>
                <c:pt idx="15">
                  <c:v>6927.3529560092475</c:v>
                </c:pt>
                <c:pt idx="16">
                  <c:v>4890.8623286016391</c:v>
                </c:pt>
                <c:pt idx="17">
                  <c:v>7227.1625680981588</c:v>
                </c:pt>
                <c:pt idx="18">
                  <c:v>8772.0826510360057</c:v>
                </c:pt>
                <c:pt idx="19">
                  <c:v>6675.6115999806361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1-4345-B34B-DBB45AC1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619248"/>
        <c:axId val="962619664"/>
      </c:lineChart>
      <c:catAx>
        <c:axId val="9626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664"/>
        <c:crosses val="autoZero"/>
        <c:auto val="1"/>
        <c:lblAlgn val="ctr"/>
        <c:lblOffset val="100"/>
        <c:noMultiLvlLbl val="0"/>
      </c:catAx>
      <c:valAx>
        <c:axId val="9626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(34-420) X'!$L$8:$L$24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1-41F9-98CF-B5C681B924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(34-420) X'!$M$8:$M$24</c:f>
              <c:numCache>
                <c:formatCode>0.00</c:formatCode>
                <c:ptCount val="17"/>
                <c:pt idx="0">
                  <c:v>8022.6274509803916</c:v>
                </c:pt>
                <c:pt idx="1">
                  <c:v>7958.4828431372543</c:v>
                </c:pt>
                <c:pt idx="2">
                  <c:v>7894.3382352941171</c:v>
                </c:pt>
                <c:pt idx="3">
                  <c:v>7830.1936274509799</c:v>
                </c:pt>
                <c:pt idx="4">
                  <c:v>7766.0490196078426</c:v>
                </c:pt>
                <c:pt idx="5">
                  <c:v>7701.9044117647054</c:v>
                </c:pt>
                <c:pt idx="6">
                  <c:v>7637.7598039215682</c:v>
                </c:pt>
                <c:pt idx="7">
                  <c:v>7573.6151960784309</c:v>
                </c:pt>
                <c:pt idx="8">
                  <c:v>7509.4705882352937</c:v>
                </c:pt>
                <c:pt idx="9">
                  <c:v>7445.3259803921565</c:v>
                </c:pt>
                <c:pt idx="10">
                  <c:v>7381.1813725490192</c:v>
                </c:pt>
                <c:pt idx="11">
                  <c:v>7317.036764705882</c:v>
                </c:pt>
                <c:pt idx="12">
                  <c:v>7252.8921568627447</c:v>
                </c:pt>
                <c:pt idx="13">
                  <c:v>7188.7475490196075</c:v>
                </c:pt>
                <c:pt idx="14">
                  <c:v>7124.6029411764703</c:v>
                </c:pt>
                <c:pt idx="15">
                  <c:v>7060.458333333333</c:v>
                </c:pt>
                <c:pt idx="16">
                  <c:v>6996.3137254901958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1-41F9-98CF-B5C681B9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885680"/>
        <c:axId val="1051881520"/>
      </c:lineChart>
      <c:catAx>
        <c:axId val="105188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1520"/>
        <c:crosses val="autoZero"/>
        <c:auto val="1"/>
        <c:lblAlgn val="ctr"/>
        <c:lblOffset val="100"/>
        <c:noMultiLvlLbl val="0"/>
      </c:catAx>
      <c:valAx>
        <c:axId val="10518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(1 - 420)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(1-420) X'!$L$8:$L$24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E-4907-A11E-F3768439B6CB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(1-420) X'!$R$8:$R$24</c:f>
              <c:numCache>
                <c:formatCode>0.00</c:formatCode>
                <c:ptCount val="17"/>
                <c:pt idx="0">
                  <c:v>1756.0963024599353</c:v>
                </c:pt>
                <c:pt idx="1">
                  <c:v>3049.9999999977322</c:v>
                </c:pt>
                <c:pt idx="2">
                  <c:v>4257.5208078455844</c:v>
                </c:pt>
                <c:pt idx="3">
                  <c:v>3244.0258232042156</c:v>
                </c:pt>
                <c:pt idx="4">
                  <c:v>2148.6514294130161</c:v>
                </c:pt>
                <c:pt idx="5">
                  <c:v>6062.1031012435878</c:v>
                </c:pt>
                <c:pt idx="6">
                  <c:v>8799.4660715211685</c:v>
                </c:pt>
                <c:pt idx="7">
                  <c:v>4487.693774284844</c:v>
                </c:pt>
                <c:pt idx="8">
                  <c:v>2467.3169058741209</c:v>
                </c:pt>
                <c:pt idx="9">
                  <c:v>6990.781585835206</c:v>
                </c:pt>
                <c:pt idx="10">
                  <c:v>8970.4879763334229</c:v>
                </c:pt>
                <c:pt idx="11">
                  <c:v>5752.3456497306088</c:v>
                </c:pt>
                <c:pt idx="12">
                  <c:v>3061.8822407893622</c:v>
                </c:pt>
                <c:pt idx="13">
                  <c:v>8553.920965331823</c:v>
                </c:pt>
                <c:pt idx="14">
                  <c:v>10236.689117306962</c:v>
                </c:pt>
                <c:pt idx="15">
                  <c:v>6026.3425865016552</c:v>
                </c:pt>
                <c:pt idx="16">
                  <c:v>2520.1886927558298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E-4907-A11E-F3768439B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908240"/>
        <c:axId val="787906992"/>
      </c:lineChart>
      <c:catAx>
        <c:axId val="7879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6992"/>
        <c:crosses val="autoZero"/>
        <c:auto val="1"/>
        <c:lblAlgn val="ctr"/>
        <c:lblOffset val="100"/>
        <c:noMultiLvlLbl val="0"/>
      </c:catAx>
      <c:valAx>
        <c:axId val="7879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(1-420) X'!$L$8:$L$24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B-404C-A9CA-711041AF4E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(1-420) X'!$M$8:$M$24</c:f>
              <c:numCache>
                <c:formatCode>0.00</c:formatCode>
                <c:ptCount val="17"/>
                <c:pt idx="0">
                  <c:v>3780.3529411764716</c:v>
                </c:pt>
                <c:pt idx="1">
                  <c:v>3939.4779411764712</c:v>
                </c:pt>
                <c:pt idx="2">
                  <c:v>4098.6029411764712</c:v>
                </c:pt>
                <c:pt idx="3">
                  <c:v>4257.7279411764712</c:v>
                </c:pt>
                <c:pt idx="4">
                  <c:v>4416.8529411764712</c:v>
                </c:pt>
                <c:pt idx="5">
                  <c:v>4575.9779411764703</c:v>
                </c:pt>
                <c:pt idx="6">
                  <c:v>4735.1029411764703</c:v>
                </c:pt>
                <c:pt idx="7">
                  <c:v>4894.2279411764703</c:v>
                </c:pt>
                <c:pt idx="8">
                  <c:v>5053.3529411764703</c:v>
                </c:pt>
                <c:pt idx="9">
                  <c:v>5212.4779411764703</c:v>
                </c:pt>
                <c:pt idx="10">
                  <c:v>5371.6029411764703</c:v>
                </c:pt>
                <c:pt idx="11">
                  <c:v>5530.7279411764703</c:v>
                </c:pt>
                <c:pt idx="12">
                  <c:v>5689.8529411764703</c:v>
                </c:pt>
                <c:pt idx="13">
                  <c:v>5848.9779411764703</c:v>
                </c:pt>
                <c:pt idx="14">
                  <c:v>6008.1029411764694</c:v>
                </c:pt>
                <c:pt idx="15">
                  <c:v>6167.2279411764694</c:v>
                </c:pt>
                <c:pt idx="16">
                  <c:v>6326.3529411764694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B-404C-A9CA-711041AF4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335696"/>
        <c:axId val="1044334448"/>
      </c:lineChart>
      <c:catAx>
        <c:axId val="104433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4448"/>
        <c:crosses val="autoZero"/>
        <c:auto val="1"/>
        <c:lblAlgn val="ctr"/>
        <c:lblOffset val="100"/>
        <c:noMultiLvlLbl val="0"/>
      </c:catAx>
      <c:valAx>
        <c:axId val="10443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(12</a:t>
            </a:r>
            <a:r>
              <a:rPr lang="en-US" baseline="0"/>
              <a:t> - 720)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(12-720) +'!$L$8:$L$24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2-46D6-B862-41EFEA5996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(12-720) +'!$R$8:$R$27</c:f>
              <c:numCache>
                <c:formatCode>0.00</c:formatCode>
                <c:ptCount val="20"/>
                <c:pt idx="0">
                  <c:v>863.57254901960846</c:v>
                </c:pt>
                <c:pt idx="1">
                  <c:v>2253.8941176470594</c:v>
                </c:pt>
                <c:pt idx="2">
                  <c:v>3004.8941176470589</c:v>
                </c:pt>
                <c:pt idx="3">
                  <c:v>2297.1441176470585</c:v>
                </c:pt>
                <c:pt idx="4">
                  <c:v>2208.915686274509</c:v>
                </c:pt>
                <c:pt idx="5">
                  <c:v>3599.2372549019597</c:v>
                </c:pt>
                <c:pt idx="6">
                  <c:v>4350.2372549019592</c:v>
                </c:pt>
                <c:pt idx="7">
                  <c:v>3642.4872549019587</c:v>
                </c:pt>
                <c:pt idx="8">
                  <c:v>3554.2588235294088</c:v>
                </c:pt>
                <c:pt idx="9">
                  <c:v>4944.5803921568604</c:v>
                </c:pt>
                <c:pt idx="10">
                  <c:v>5695.5803921568604</c:v>
                </c:pt>
                <c:pt idx="11">
                  <c:v>4987.8303921568604</c:v>
                </c:pt>
                <c:pt idx="12">
                  <c:v>4899.6019607843109</c:v>
                </c:pt>
                <c:pt idx="13">
                  <c:v>6289.9235294117625</c:v>
                </c:pt>
                <c:pt idx="14">
                  <c:v>7040.9235294117625</c:v>
                </c:pt>
                <c:pt idx="15">
                  <c:v>6333.1735294117625</c:v>
                </c:pt>
                <c:pt idx="16">
                  <c:v>6244.945098039213</c:v>
                </c:pt>
                <c:pt idx="17">
                  <c:v>7635.2666666666646</c:v>
                </c:pt>
                <c:pt idx="18">
                  <c:v>8386.2666666666628</c:v>
                </c:pt>
                <c:pt idx="19">
                  <c:v>7678.5166666666637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2-46D6-B862-41EFEA599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7907168"/>
        <c:axId val="1087908000"/>
      </c:lineChart>
      <c:catAx>
        <c:axId val="108790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8000"/>
        <c:crosses val="autoZero"/>
        <c:auto val="1"/>
        <c:lblAlgn val="ctr"/>
        <c:lblOffset val="100"/>
        <c:noMultiLvlLbl val="0"/>
      </c:catAx>
      <c:valAx>
        <c:axId val="108790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9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(12-720) +'!$L$8:$L$24</c:f>
              <c:numCache>
                <c:formatCode>General</c:formatCode>
                <c:ptCount val="17"/>
                <c:pt idx="0">
                  <c:v>2108</c:v>
                </c:pt>
                <c:pt idx="1">
                  <c:v>2516</c:v>
                </c:pt>
                <c:pt idx="2">
                  <c:v>2954</c:v>
                </c:pt>
                <c:pt idx="3">
                  <c:v>2224</c:v>
                </c:pt>
                <c:pt idx="4">
                  <c:v>1788</c:v>
                </c:pt>
                <c:pt idx="5">
                  <c:v>2512</c:v>
                </c:pt>
                <c:pt idx="6">
                  <c:v>3540</c:v>
                </c:pt>
                <c:pt idx="7">
                  <c:v>3666</c:v>
                </c:pt>
                <c:pt idx="8">
                  <c:v>3546</c:v>
                </c:pt>
                <c:pt idx="9">
                  <c:v>5596</c:v>
                </c:pt>
                <c:pt idx="10">
                  <c:v>5948</c:v>
                </c:pt>
                <c:pt idx="11">
                  <c:v>4892</c:v>
                </c:pt>
                <c:pt idx="12">
                  <c:v>4311</c:v>
                </c:pt>
                <c:pt idx="13">
                  <c:v>6637</c:v>
                </c:pt>
                <c:pt idx="14">
                  <c:v>7823</c:v>
                </c:pt>
                <c:pt idx="15">
                  <c:v>6652</c:v>
                </c:pt>
                <c:pt idx="16">
                  <c:v>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F-44EA-B91B-928900D98F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(12-720) +'!$M$8:$M$24</c:f>
              <c:numCache>
                <c:formatCode>0.00</c:formatCode>
                <c:ptCount val="17"/>
                <c:pt idx="0">
                  <c:v>1600.3725490196086</c:v>
                </c:pt>
                <c:pt idx="1">
                  <c:v>1936.7083333333339</c:v>
                </c:pt>
                <c:pt idx="2">
                  <c:v>2273.0441176470595</c:v>
                </c:pt>
                <c:pt idx="3">
                  <c:v>2609.379901960785</c:v>
                </c:pt>
                <c:pt idx="4">
                  <c:v>2945.7156862745101</c:v>
                </c:pt>
                <c:pt idx="5">
                  <c:v>3282.0514705882356</c:v>
                </c:pt>
                <c:pt idx="6">
                  <c:v>3618.3872549019607</c:v>
                </c:pt>
                <c:pt idx="7">
                  <c:v>3954.7230392156862</c:v>
                </c:pt>
                <c:pt idx="8">
                  <c:v>4291.0588235294117</c:v>
                </c:pt>
                <c:pt idx="9">
                  <c:v>4627.3946078431363</c:v>
                </c:pt>
                <c:pt idx="10">
                  <c:v>4963.7303921568619</c:v>
                </c:pt>
                <c:pt idx="11">
                  <c:v>5300.0661764705874</c:v>
                </c:pt>
                <c:pt idx="12">
                  <c:v>5636.4019607843129</c:v>
                </c:pt>
                <c:pt idx="13">
                  <c:v>5972.7377450980384</c:v>
                </c:pt>
                <c:pt idx="14">
                  <c:v>6309.073529411764</c:v>
                </c:pt>
                <c:pt idx="15">
                  <c:v>6645.4093137254895</c:v>
                </c:pt>
                <c:pt idx="16">
                  <c:v>6981.745098039215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9F-44EA-B91B-928900D98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883600"/>
        <c:axId val="1051883184"/>
      </c:lineChart>
      <c:catAx>
        <c:axId val="10518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3184"/>
        <c:crosses val="autoZero"/>
        <c:auto val="1"/>
        <c:lblAlgn val="ctr"/>
        <c:lblOffset val="100"/>
        <c:noMultiLvlLbl val="0"/>
      </c:catAx>
      <c:valAx>
        <c:axId val="10518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- 720)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(34-720) +'!$L$8:$L$24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8-4840-B9FA-981CD3730B7F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(34-720) +'!$R$8:$R$24</c:f>
              <c:numCache>
                <c:formatCode>0.00</c:formatCode>
                <c:ptCount val="17"/>
                <c:pt idx="0">
                  <c:v>6365.0583333333379</c:v>
                </c:pt>
                <c:pt idx="1">
                  <c:v>10271.150887645123</c:v>
                </c:pt>
                <c:pt idx="2">
                  <c:v>17644.970057977778</c:v>
                </c:pt>
                <c:pt idx="3">
                  <c:v>10548.773768140847</c:v>
                </c:pt>
                <c:pt idx="4">
                  <c:v>12350.774338258852</c:v>
                </c:pt>
                <c:pt idx="5">
                  <c:v>15351.861403904348</c:v>
                </c:pt>
                <c:pt idx="6">
                  <c:v>20200.557185172689</c:v>
                </c:pt>
                <c:pt idx="7">
                  <c:v>11853.475723386186</c:v>
                </c:pt>
                <c:pt idx="8">
                  <c:v>11509.365252570115</c:v>
                </c:pt>
                <c:pt idx="9">
                  <c:v>15027.144749857101</c:v>
                </c:pt>
                <c:pt idx="10">
                  <c:v>22328.395163442707</c:v>
                </c:pt>
                <c:pt idx="11">
                  <c:v>11295.799941234778</c:v>
                </c:pt>
                <c:pt idx="12">
                  <c:v>11337.815766128841</c:v>
                </c:pt>
                <c:pt idx="13">
                  <c:v>14286.494196756865</c:v>
                </c:pt>
                <c:pt idx="14">
                  <c:v>23697.746703570607</c:v>
                </c:pt>
                <c:pt idx="15">
                  <c:v>19534.999999698666</c:v>
                </c:pt>
                <c:pt idx="16">
                  <c:v>20633.15907278339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8-4840-B9FA-981CD3730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225568"/>
        <c:axId val="1090224320"/>
      </c:lineChart>
      <c:catAx>
        <c:axId val="10902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4320"/>
        <c:crosses val="autoZero"/>
        <c:auto val="1"/>
        <c:lblAlgn val="ctr"/>
        <c:lblOffset val="100"/>
        <c:noMultiLvlLbl val="0"/>
      </c:catAx>
      <c:valAx>
        <c:axId val="10902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2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(34-720) +'!$L$8:$L$24</c:f>
              <c:numCache>
                <c:formatCode>General</c:formatCode>
                <c:ptCount val="17"/>
                <c:pt idx="0">
                  <c:v>6716</c:v>
                </c:pt>
                <c:pt idx="1">
                  <c:v>11510</c:v>
                </c:pt>
                <c:pt idx="2">
                  <c:v>18438</c:v>
                </c:pt>
                <c:pt idx="3">
                  <c:v>10456</c:v>
                </c:pt>
                <c:pt idx="4">
                  <c:v>9464</c:v>
                </c:pt>
                <c:pt idx="5">
                  <c:v>12942</c:v>
                </c:pt>
                <c:pt idx="6">
                  <c:v>21640</c:v>
                </c:pt>
                <c:pt idx="7">
                  <c:v>11650</c:v>
                </c:pt>
                <c:pt idx="8">
                  <c:v>11270</c:v>
                </c:pt>
                <c:pt idx="9">
                  <c:v>15322</c:v>
                </c:pt>
                <c:pt idx="10">
                  <c:v>19424</c:v>
                </c:pt>
                <c:pt idx="11">
                  <c:v>13310</c:v>
                </c:pt>
                <c:pt idx="12">
                  <c:v>10214</c:v>
                </c:pt>
                <c:pt idx="13">
                  <c:v>20983</c:v>
                </c:pt>
                <c:pt idx="14">
                  <c:v>27492</c:v>
                </c:pt>
                <c:pt idx="15">
                  <c:v>19535</c:v>
                </c:pt>
                <c:pt idx="16">
                  <c:v>28020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0-41E3-9CAD-7F3A091D08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(34-720) +'!$M$8:$M$24</c:f>
              <c:numCache>
                <c:formatCode>0.00</c:formatCode>
                <c:ptCount val="17"/>
                <c:pt idx="0">
                  <c:v>9181.3333333333376</c:v>
                </c:pt>
                <c:pt idx="1">
                  <c:v>10007.093137254906</c:v>
                </c:pt>
                <c:pt idx="2">
                  <c:v>10832.852941176474</c:v>
                </c:pt>
                <c:pt idx="3">
                  <c:v>11658.612745098042</c:v>
                </c:pt>
                <c:pt idx="4">
                  <c:v>12484.37254901961</c:v>
                </c:pt>
                <c:pt idx="5">
                  <c:v>13310.132352941178</c:v>
                </c:pt>
                <c:pt idx="6">
                  <c:v>14135.892156862747</c:v>
                </c:pt>
                <c:pt idx="7">
                  <c:v>14961.651960784315</c:v>
                </c:pt>
                <c:pt idx="8">
                  <c:v>15787.411764705883</c:v>
                </c:pt>
                <c:pt idx="9">
                  <c:v>16613.171568627451</c:v>
                </c:pt>
                <c:pt idx="10">
                  <c:v>17438.931372549021</c:v>
                </c:pt>
                <c:pt idx="11">
                  <c:v>18264.691176470587</c:v>
                </c:pt>
                <c:pt idx="12">
                  <c:v>19090.450980392154</c:v>
                </c:pt>
                <c:pt idx="13">
                  <c:v>19916.210784313724</c:v>
                </c:pt>
                <c:pt idx="14">
                  <c:v>20741.970588235294</c:v>
                </c:pt>
                <c:pt idx="15">
                  <c:v>21567.73039215686</c:v>
                </c:pt>
                <c:pt idx="16">
                  <c:v>22393.490196078426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0-41E3-9CAD-7F3A091D0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21632"/>
        <c:axId val="1094220800"/>
      </c:lineChart>
      <c:catAx>
        <c:axId val="10942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20800"/>
        <c:crosses val="autoZero"/>
        <c:auto val="1"/>
        <c:lblAlgn val="ctr"/>
        <c:lblOffset val="100"/>
        <c:noMultiLvlLbl val="0"/>
      </c:catAx>
      <c:valAx>
        <c:axId val="10942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2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</a:t>
            </a:r>
            <a:r>
              <a:rPr lang="en-US" baseline="0"/>
              <a:t> - 720)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(1-720) +'!$L$8:$L$24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B-49AE-9C25-BDD2DD85F5CB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(1-720) +'!$R$8:$R$24</c:f>
              <c:numCache>
                <c:formatCode>0.00</c:formatCode>
                <c:ptCount val="17"/>
                <c:pt idx="0">
                  <c:v>6405.3681372549036</c:v>
                </c:pt>
                <c:pt idx="1">
                  <c:v>20566.810294117644</c:v>
                </c:pt>
                <c:pt idx="2">
                  <c:v>46957.560294117648</c:v>
                </c:pt>
                <c:pt idx="3">
                  <c:v>18002.31029411764</c:v>
                </c:pt>
                <c:pt idx="4">
                  <c:v>9349.3803141526914</c:v>
                </c:pt>
                <c:pt idx="5">
                  <c:v>22906.806028917006</c:v>
                </c:pt>
                <c:pt idx="6">
                  <c:v>47909.572877553896</c:v>
                </c:pt>
                <c:pt idx="7">
                  <c:v>20416.149655745434</c:v>
                </c:pt>
                <c:pt idx="8">
                  <c:v>11565.844159487839</c:v>
                </c:pt>
                <c:pt idx="9">
                  <c:v>24830.297775286628</c:v>
                </c:pt>
                <c:pt idx="10">
                  <c:v>50231.463533831746</c:v>
                </c:pt>
                <c:pt idx="11">
                  <c:v>23348.931197414702</c:v>
                </c:pt>
                <c:pt idx="12">
                  <c:v>13850.999993532947</c:v>
                </c:pt>
                <c:pt idx="13">
                  <c:v>26738.602047258169</c:v>
                </c:pt>
                <c:pt idx="14">
                  <c:v>51912.569067093966</c:v>
                </c:pt>
                <c:pt idx="15">
                  <c:v>26170.368100829059</c:v>
                </c:pt>
                <c:pt idx="16">
                  <c:v>15976.784308494005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B-49AE-9C25-BDD2DD85F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272048"/>
        <c:axId val="1053269968"/>
      </c:lineChart>
      <c:catAx>
        <c:axId val="105327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69968"/>
        <c:crosses val="autoZero"/>
        <c:auto val="1"/>
        <c:lblAlgn val="ctr"/>
        <c:lblOffset val="100"/>
        <c:noMultiLvlLbl val="0"/>
      </c:catAx>
      <c:valAx>
        <c:axId val="10532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27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(1-720) +'!$L$8:$L$24</c:f>
              <c:numCache>
                <c:formatCode>General</c:formatCode>
                <c:ptCount val="17"/>
                <c:pt idx="0">
                  <c:v>10688</c:v>
                </c:pt>
                <c:pt idx="1">
                  <c:v>21688</c:v>
                </c:pt>
                <c:pt idx="2">
                  <c:v>40814</c:v>
                </c:pt>
                <c:pt idx="3">
                  <c:v>19510</c:v>
                </c:pt>
                <c:pt idx="4">
                  <c:v>9824</c:v>
                </c:pt>
                <c:pt idx="5">
                  <c:v>21848</c:v>
                </c:pt>
                <c:pt idx="6">
                  <c:v>48936</c:v>
                </c:pt>
                <c:pt idx="7">
                  <c:v>24640</c:v>
                </c:pt>
                <c:pt idx="8">
                  <c:v>12400</c:v>
                </c:pt>
                <c:pt idx="9">
                  <c:v>23692</c:v>
                </c:pt>
                <c:pt idx="10">
                  <c:v>47904</c:v>
                </c:pt>
                <c:pt idx="11">
                  <c:v>26990</c:v>
                </c:pt>
                <c:pt idx="12">
                  <c:v>13851</c:v>
                </c:pt>
                <c:pt idx="13">
                  <c:v>31507</c:v>
                </c:pt>
                <c:pt idx="14">
                  <c:v>66644</c:v>
                </c:pt>
                <c:pt idx="15">
                  <c:v>17337</c:v>
                </c:pt>
                <c:pt idx="16">
                  <c:v>11163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0A-4C5D-8E91-4BC8E85746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(1-720) +'!$M$8:$M$24</c:f>
              <c:numCache>
                <c:formatCode>0.00</c:formatCode>
                <c:ptCount val="17"/>
                <c:pt idx="0">
                  <c:v>22185.843137254902</c:v>
                </c:pt>
                <c:pt idx="1">
                  <c:v>22717.289215686276</c:v>
                </c:pt>
                <c:pt idx="2">
                  <c:v>23248.735294117647</c:v>
                </c:pt>
                <c:pt idx="3">
                  <c:v>23780.181372549021</c:v>
                </c:pt>
                <c:pt idx="4">
                  <c:v>24311.627450980392</c:v>
                </c:pt>
                <c:pt idx="5">
                  <c:v>24843.073529411766</c:v>
                </c:pt>
                <c:pt idx="6">
                  <c:v>25374.519607843136</c:v>
                </c:pt>
                <c:pt idx="7">
                  <c:v>25905.965686274511</c:v>
                </c:pt>
                <c:pt idx="8">
                  <c:v>26437.411764705881</c:v>
                </c:pt>
                <c:pt idx="9">
                  <c:v>26968.857843137252</c:v>
                </c:pt>
                <c:pt idx="10">
                  <c:v>27500.303921568626</c:v>
                </c:pt>
                <c:pt idx="11">
                  <c:v>28031.749999999996</c:v>
                </c:pt>
                <c:pt idx="12">
                  <c:v>28563.196078431371</c:v>
                </c:pt>
                <c:pt idx="13">
                  <c:v>29094.642156862741</c:v>
                </c:pt>
                <c:pt idx="14">
                  <c:v>29626.088235294112</c:v>
                </c:pt>
                <c:pt idx="15">
                  <c:v>30157.534313725486</c:v>
                </c:pt>
                <c:pt idx="16">
                  <c:v>30688.98039215686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0A-4C5D-8E91-4BC8E8574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725040"/>
        <c:axId val="1052731280"/>
      </c:lineChart>
      <c:catAx>
        <c:axId val="10527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31280"/>
        <c:crosses val="autoZero"/>
        <c:auto val="1"/>
        <c:lblAlgn val="ctr"/>
        <c:lblOffset val="100"/>
        <c:noMultiLvlLbl val="0"/>
      </c:catAx>
      <c:valAx>
        <c:axId val="10527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72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(34</a:t>
            </a:r>
            <a:r>
              <a:rPr lang="en-US" baseline="0"/>
              <a:t> - 420)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(34-420) +'!$L$8:$L$24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6-414A-AF3C-A1AB7FF595C5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(34-420) +'!$R$8:$R$24</c:f>
              <c:numCache>
                <c:formatCode>0.00</c:formatCode>
                <c:ptCount val="17"/>
                <c:pt idx="0">
                  <c:v>5805.7524509803916</c:v>
                </c:pt>
                <c:pt idx="1">
                  <c:v>8264.2132352941171</c:v>
                </c:pt>
                <c:pt idx="2">
                  <c:v>9964.2132352941171</c:v>
                </c:pt>
                <c:pt idx="3">
                  <c:v>7671.4632352941171</c:v>
                </c:pt>
                <c:pt idx="4">
                  <c:v>6078.3408355526317</c:v>
                </c:pt>
                <c:pt idx="5">
                  <c:v>7526.2229343820763</c:v>
                </c:pt>
                <c:pt idx="6">
                  <c:v>9340.489519940249</c:v>
                </c:pt>
                <c:pt idx="7">
                  <c:v>7251.5214529177092</c:v>
                </c:pt>
                <c:pt idx="8">
                  <c:v>6169.9073186730193</c:v>
                </c:pt>
                <c:pt idx="9">
                  <c:v>7907.4152581779454</c:v>
                </c:pt>
                <c:pt idx="10">
                  <c:v>8611.7828763920461</c:v>
                </c:pt>
                <c:pt idx="11">
                  <c:v>6880.0810550623501</c:v>
                </c:pt>
                <c:pt idx="12">
                  <c:v>5536.911541656008</c:v>
                </c:pt>
                <c:pt idx="13">
                  <c:v>7219.8266869640711</c:v>
                </c:pt>
                <c:pt idx="14">
                  <c:v>9072.9774857284465</c:v>
                </c:pt>
                <c:pt idx="15">
                  <c:v>7046.1007419007929</c:v>
                </c:pt>
                <c:pt idx="16">
                  <c:v>6008.2302231982985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D6-414A-AF3C-A1AB7FF59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2619248"/>
        <c:axId val="962619664"/>
      </c:lineChart>
      <c:catAx>
        <c:axId val="96261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664"/>
        <c:crosses val="autoZero"/>
        <c:auto val="1"/>
        <c:lblAlgn val="ctr"/>
        <c:lblOffset val="100"/>
        <c:noMultiLvlLbl val="0"/>
      </c:catAx>
      <c:valAx>
        <c:axId val="9626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(34-420) +'!$L$8:$L$24</c:f>
              <c:numCache>
                <c:formatCode>General</c:formatCode>
                <c:ptCount val="17"/>
                <c:pt idx="0">
                  <c:v>7158</c:v>
                </c:pt>
                <c:pt idx="1">
                  <c:v>7034</c:v>
                </c:pt>
                <c:pt idx="2">
                  <c:v>9026</c:v>
                </c:pt>
                <c:pt idx="3">
                  <c:v>7254</c:v>
                </c:pt>
                <c:pt idx="4">
                  <c:v>6968</c:v>
                </c:pt>
                <c:pt idx="5">
                  <c:v>9156</c:v>
                </c:pt>
                <c:pt idx="6">
                  <c:v>8134</c:v>
                </c:pt>
                <c:pt idx="7">
                  <c:v>6958</c:v>
                </c:pt>
                <c:pt idx="8">
                  <c:v>5208</c:v>
                </c:pt>
                <c:pt idx="9">
                  <c:v>6806</c:v>
                </c:pt>
                <c:pt idx="10">
                  <c:v>10446</c:v>
                </c:pt>
                <c:pt idx="11">
                  <c:v>7960</c:v>
                </c:pt>
                <c:pt idx="12">
                  <c:v>7397</c:v>
                </c:pt>
                <c:pt idx="13">
                  <c:v>9043</c:v>
                </c:pt>
                <c:pt idx="14">
                  <c:v>11233</c:v>
                </c:pt>
                <c:pt idx="15">
                  <c:v>7496</c:v>
                </c:pt>
                <c:pt idx="16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6-491A-A98C-D490CBF646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(34-420) +'!$M$8:$M$24</c:f>
              <c:numCache>
                <c:formatCode>0.00</c:formatCode>
                <c:ptCount val="17"/>
                <c:pt idx="0">
                  <c:v>8022.6274509803916</c:v>
                </c:pt>
                <c:pt idx="1">
                  <c:v>7958.4828431372543</c:v>
                </c:pt>
                <c:pt idx="2">
                  <c:v>7894.3382352941171</c:v>
                </c:pt>
                <c:pt idx="3">
                  <c:v>7830.1936274509799</c:v>
                </c:pt>
                <c:pt idx="4">
                  <c:v>7766.0490196078426</c:v>
                </c:pt>
                <c:pt idx="5">
                  <c:v>7701.9044117647054</c:v>
                </c:pt>
                <c:pt idx="6">
                  <c:v>7637.7598039215682</c:v>
                </c:pt>
                <c:pt idx="7">
                  <c:v>7573.6151960784309</c:v>
                </c:pt>
                <c:pt idx="8">
                  <c:v>7509.4705882352937</c:v>
                </c:pt>
                <c:pt idx="9">
                  <c:v>7445.3259803921565</c:v>
                </c:pt>
                <c:pt idx="10">
                  <c:v>7381.1813725490192</c:v>
                </c:pt>
                <c:pt idx="11">
                  <c:v>7317.036764705882</c:v>
                </c:pt>
                <c:pt idx="12">
                  <c:v>7252.8921568627447</c:v>
                </c:pt>
                <c:pt idx="13">
                  <c:v>7188.7475490196075</c:v>
                </c:pt>
                <c:pt idx="14">
                  <c:v>7124.6029411764703</c:v>
                </c:pt>
                <c:pt idx="15">
                  <c:v>7060.458333333333</c:v>
                </c:pt>
                <c:pt idx="16">
                  <c:v>6996.3137254901958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26-491A-A98C-D490CBF64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885680"/>
        <c:axId val="1051881520"/>
      </c:lineChart>
      <c:catAx>
        <c:axId val="105188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1520"/>
        <c:crosses val="autoZero"/>
        <c:auto val="1"/>
        <c:lblAlgn val="ctr"/>
        <c:lblOffset val="100"/>
        <c:noMultiLvlLbl val="0"/>
      </c:catAx>
      <c:valAx>
        <c:axId val="10518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88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PVB (1 - 420)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(1-420) +'!$L$8:$L$24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2-4062-AA8D-F07034B6A465}"/>
            </c:ext>
          </c:extLst>
        </c:ser>
        <c:ser>
          <c:idx val="1"/>
          <c:order val="1"/>
          <c:tx>
            <c:v>Fits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(1-420) +'!$R$8:$R$24</c:f>
              <c:numCache>
                <c:formatCode>0.00</c:formatCode>
                <c:ptCount val="17"/>
                <c:pt idx="0">
                  <c:v>1023.2154411764714</c:v>
                </c:pt>
                <c:pt idx="1">
                  <c:v>4540.427157229894</c:v>
                </c:pt>
                <c:pt idx="2">
                  <c:v>5304.9945698717192</c:v>
                </c:pt>
                <c:pt idx="3">
                  <c:v>2503.7075586020551</c:v>
                </c:pt>
                <c:pt idx="4">
                  <c:v>2245.0162789894189</c:v>
                </c:pt>
                <c:pt idx="5">
                  <c:v>6174.9456668608082</c:v>
                </c:pt>
                <c:pt idx="6">
                  <c:v>8736.0718265382802</c:v>
                </c:pt>
                <c:pt idx="7">
                  <c:v>3563.4656378954519</c:v>
                </c:pt>
                <c:pt idx="8">
                  <c:v>2607.5074346504557</c:v>
                </c:pt>
                <c:pt idx="9">
                  <c:v>6580.709188519565</c:v>
                </c:pt>
                <c:pt idx="10">
                  <c:v>8510.9901792169676</c:v>
                </c:pt>
                <c:pt idx="11">
                  <c:v>6342.5069304805529</c:v>
                </c:pt>
                <c:pt idx="12">
                  <c:v>3899.7824257234756</c:v>
                </c:pt>
                <c:pt idx="13">
                  <c:v>7321.2289765849237</c:v>
                </c:pt>
                <c:pt idx="14">
                  <c:v>9150.5418551018265</c:v>
                </c:pt>
                <c:pt idx="15">
                  <c:v>6431.8096377800484</c:v>
                </c:pt>
                <c:pt idx="16">
                  <c:v>2357.0008608557368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2-4062-AA8D-F07034B6A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908240"/>
        <c:axId val="787906992"/>
      </c:lineChart>
      <c:catAx>
        <c:axId val="7879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6992"/>
        <c:crosses val="autoZero"/>
        <c:auto val="1"/>
        <c:lblAlgn val="ctr"/>
        <c:lblOffset val="100"/>
        <c:noMultiLvlLbl val="0"/>
      </c:catAx>
      <c:valAx>
        <c:axId val="7879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'PVB (1-420) +'!$L$8:$L$24</c:f>
              <c:numCache>
                <c:formatCode>General</c:formatCode>
                <c:ptCount val="17"/>
                <c:pt idx="0">
                  <c:v>842</c:v>
                </c:pt>
                <c:pt idx="1">
                  <c:v>3050</c:v>
                </c:pt>
                <c:pt idx="2">
                  <c:v>5736</c:v>
                </c:pt>
                <c:pt idx="3">
                  <c:v>4414</c:v>
                </c:pt>
                <c:pt idx="4">
                  <c:v>2536</c:v>
                </c:pt>
                <c:pt idx="5">
                  <c:v>6740</c:v>
                </c:pt>
                <c:pt idx="6">
                  <c:v>6454</c:v>
                </c:pt>
                <c:pt idx="7">
                  <c:v>4676</c:v>
                </c:pt>
                <c:pt idx="8">
                  <c:v>2948</c:v>
                </c:pt>
                <c:pt idx="9">
                  <c:v>6424</c:v>
                </c:pt>
                <c:pt idx="10">
                  <c:v>9666</c:v>
                </c:pt>
                <c:pt idx="11">
                  <c:v>5754</c:v>
                </c:pt>
                <c:pt idx="12">
                  <c:v>3609</c:v>
                </c:pt>
                <c:pt idx="13">
                  <c:v>7049</c:v>
                </c:pt>
                <c:pt idx="14">
                  <c:v>9676</c:v>
                </c:pt>
                <c:pt idx="15">
                  <c:v>3976</c:v>
                </c:pt>
                <c:pt idx="16">
                  <c:v>2357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B-4F7E-81D6-E3B0799676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'PVB (1-420) +'!$M$8:$M$24</c:f>
              <c:numCache>
                <c:formatCode>0.00</c:formatCode>
                <c:ptCount val="17"/>
                <c:pt idx="0">
                  <c:v>3780.3529411764716</c:v>
                </c:pt>
                <c:pt idx="1">
                  <c:v>3939.4779411764712</c:v>
                </c:pt>
                <c:pt idx="2">
                  <c:v>4098.6029411764712</c:v>
                </c:pt>
                <c:pt idx="3">
                  <c:v>4257.7279411764712</c:v>
                </c:pt>
                <c:pt idx="4">
                  <c:v>4416.8529411764712</c:v>
                </c:pt>
                <c:pt idx="5">
                  <c:v>4575.9779411764703</c:v>
                </c:pt>
                <c:pt idx="6">
                  <c:v>4735.1029411764703</c:v>
                </c:pt>
                <c:pt idx="7">
                  <c:v>4894.2279411764703</c:v>
                </c:pt>
                <c:pt idx="8">
                  <c:v>5053.3529411764703</c:v>
                </c:pt>
                <c:pt idx="9">
                  <c:v>5212.4779411764703</c:v>
                </c:pt>
                <c:pt idx="10">
                  <c:v>5371.6029411764703</c:v>
                </c:pt>
                <c:pt idx="11">
                  <c:v>5530.7279411764703</c:v>
                </c:pt>
                <c:pt idx="12">
                  <c:v>5689.8529411764703</c:v>
                </c:pt>
                <c:pt idx="13">
                  <c:v>5848.9779411764703</c:v>
                </c:pt>
                <c:pt idx="14">
                  <c:v>6008.1029411764694</c:v>
                </c:pt>
                <c:pt idx="15">
                  <c:v>6167.2279411764694</c:v>
                </c:pt>
                <c:pt idx="16">
                  <c:v>6326.3529411764694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B-4F7E-81D6-E3B079967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335696"/>
        <c:axId val="1044334448"/>
      </c:lineChart>
      <c:catAx>
        <c:axId val="104433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4448"/>
        <c:crosses val="autoZero"/>
        <c:auto val="1"/>
        <c:lblAlgn val="ctr"/>
        <c:lblOffset val="100"/>
        <c:noMultiLvlLbl val="0"/>
      </c:catAx>
      <c:valAx>
        <c:axId val="104433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3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26</xdr:col>
      <xdr:colOff>571500</xdr:colOff>
      <xdr:row>9</xdr:row>
      <xdr:rowOff>32488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9925" y="190500"/>
          <a:ext cx="9715500" cy="15564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0</xdr:colOff>
      <xdr:row>1</xdr:row>
      <xdr:rowOff>0</xdr:rowOff>
    </xdr:from>
    <xdr:to>
      <xdr:col>35</xdr:col>
      <xdr:colOff>304800</xdr:colOff>
      <xdr:row>15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304800</xdr:colOff>
      <xdr:row>31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27</xdr:col>
      <xdr:colOff>304800</xdr:colOff>
      <xdr:row>31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13</xdr:row>
      <xdr:rowOff>0</xdr:rowOff>
    </xdr:from>
    <xdr:to>
      <xdr:col>30</xdr:col>
      <xdr:colOff>0</xdr:colOff>
      <xdr:row>27</xdr:row>
      <xdr:rowOff>11907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11907</xdr:colOff>
      <xdr:row>28</xdr:row>
      <xdr:rowOff>11907</xdr:rowOff>
    </xdr:from>
    <xdr:to>
      <xdr:col>30</xdr:col>
      <xdr:colOff>0</xdr:colOff>
      <xdr:row>42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2</xdr:row>
      <xdr:rowOff>0</xdr:rowOff>
    </xdr:from>
    <xdr:to>
      <xdr:col>47</xdr:col>
      <xdr:colOff>0</xdr:colOff>
      <xdr:row>14</xdr:row>
      <xdr:rowOff>26874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0</xdr:colOff>
      <xdr:row>15</xdr:row>
      <xdr:rowOff>0</xdr:rowOff>
    </xdr:from>
    <xdr:to>
      <xdr:col>47</xdr:col>
      <xdr:colOff>0</xdr:colOff>
      <xdr:row>30</xdr:row>
      <xdr:rowOff>51707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0</xdr:colOff>
      <xdr:row>31</xdr:row>
      <xdr:rowOff>0</xdr:rowOff>
    </xdr:from>
    <xdr:to>
      <xdr:col>47</xdr:col>
      <xdr:colOff>0</xdr:colOff>
      <xdr:row>45</xdr:row>
      <xdr:rowOff>64294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46</xdr:row>
      <xdr:rowOff>0</xdr:rowOff>
    </xdr:from>
    <xdr:to>
      <xdr:col>47</xdr:col>
      <xdr:colOff>0</xdr:colOff>
      <xdr:row>60</xdr:row>
      <xdr:rowOff>64294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619124</xdr:colOff>
      <xdr:row>61</xdr:row>
      <xdr:rowOff>0</xdr:rowOff>
    </xdr:from>
    <xdr:to>
      <xdr:col>47</xdr:col>
      <xdr:colOff>0</xdr:colOff>
      <xdr:row>75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762000</xdr:colOff>
      <xdr:row>28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12</xdr:row>
      <xdr:rowOff>19050</xdr:rowOff>
    </xdr:from>
    <xdr:to>
      <xdr:col>28</xdr:col>
      <xdr:colOff>285750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114300</xdr:rowOff>
    </xdr:from>
    <xdr:to>
      <xdr:col>28</xdr:col>
      <xdr:colOff>285750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10</xdr:row>
      <xdr:rowOff>204106</xdr:rowOff>
    </xdr:from>
    <xdr:to>
      <xdr:col>29</xdr:col>
      <xdr:colOff>0</xdr:colOff>
      <xdr:row>25</xdr:row>
      <xdr:rowOff>204106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29</xdr:col>
      <xdr:colOff>0</xdr:colOff>
      <xdr:row>41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29</xdr:col>
      <xdr:colOff>0</xdr:colOff>
      <xdr:row>24</xdr:row>
      <xdr:rowOff>159544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25</xdr:row>
      <xdr:rowOff>126207</xdr:rowOff>
    </xdr:from>
    <xdr:to>
      <xdr:col>29</xdr:col>
      <xdr:colOff>0</xdr:colOff>
      <xdr:row>40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29</xdr:col>
      <xdr:colOff>0</xdr:colOff>
      <xdr:row>24</xdr:row>
      <xdr:rowOff>159544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0</xdr:rowOff>
    </xdr:from>
    <xdr:to>
      <xdr:col>29</xdr:col>
      <xdr:colOff>0</xdr:colOff>
      <xdr:row>40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28</xdr:col>
      <xdr:colOff>321469</xdr:colOff>
      <xdr:row>24</xdr:row>
      <xdr:rowOff>159544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0</xdr:rowOff>
    </xdr:from>
    <xdr:to>
      <xdr:col>28</xdr:col>
      <xdr:colOff>321469</xdr:colOff>
      <xdr:row>40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12</xdr:row>
      <xdr:rowOff>19050</xdr:rowOff>
    </xdr:from>
    <xdr:to>
      <xdr:col>28</xdr:col>
      <xdr:colOff>285750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114300</xdr:rowOff>
    </xdr:from>
    <xdr:to>
      <xdr:col>28</xdr:col>
      <xdr:colOff>285750</xdr:colOff>
      <xdr:row>41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0</xdr:colOff>
      <xdr:row>28</xdr:row>
      <xdr:rowOff>32488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57675"/>
          <a:ext cx="9686925" cy="155648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10</xdr:row>
      <xdr:rowOff>204106</xdr:rowOff>
    </xdr:from>
    <xdr:to>
      <xdr:col>29</xdr:col>
      <xdr:colOff>0</xdr:colOff>
      <xdr:row>25</xdr:row>
      <xdr:rowOff>204106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27</xdr:row>
      <xdr:rowOff>0</xdr:rowOff>
    </xdr:from>
    <xdr:to>
      <xdr:col>29</xdr:col>
      <xdr:colOff>0</xdr:colOff>
      <xdr:row>41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29</xdr:col>
      <xdr:colOff>0</xdr:colOff>
      <xdr:row>24</xdr:row>
      <xdr:rowOff>159544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25</xdr:row>
      <xdr:rowOff>126207</xdr:rowOff>
    </xdr:from>
    <xdr:to>
      <xdr:col>29</xdr:col>
      <xdr:colOff>0</xdr:colOff>
      <xdr:row>40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29</xdr:col>
      <xdr:colOff>0</xdr:colOff>
      <xdr:row>24</xdr:row>
      <xdr:rowOff>159544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0</xdr:rowOff>
    </xdr:from>
    <xdr:to>
      <xdr:col>29</xdr:col>
      <xdr:colOff>0</xdr:colOff>
      <xdr:row>40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11</xdr:row>
      <xdr:rowOff>0</xdr:rowOff>
    </xdr:from>
    <xdr:to>
      <xdr:col>28</xdr:col>
      <xdr:colOff>321469</xdr:colOff>
      <xdr:row>24</xdr:row>
      <xdr:rowOff>159544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26</xdr:row>
      <xdr:rowOff>0</xdr:rowOff>
    </xdr:from>
    <xdr:to>
      <xdr:col>28</xdr:col>
      <xdr:colOff>321469</xdr:colOff>
      <xdr:row>40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59999389629810485"/>
  </sheetPr>
  <dimension ref="B1:J23"/>
  <sheetViews>
    <sheetView tabSelected="1" workbookViewId="0">
      <selection activeCell="Q17" sqref="Q17"/>
    </sheetView>
  </sheetViews>
  <sheetFormatPr defaultRowHeight="15" x14ac:dyDescent="0.25"/>
  <cols>
    <col min="1" max="1" width="3.42578125" customWidth="1"/>
    <col min="2" max="2" width="5" bestFit="1" customWidth="1"/>
    <col min="3" max="3" width="6.85546875" bestFit="1" customWidth="1"/>
    <col min="4" max="4" width="7.140625" customWidth="1"/>
    <col min="5" max="5" width="12.140625" bestFit="1" customWidth="1"/>
    <col min="6" max="6" width="13.140625" bestFit="1" customWidth="1"/>
    <col min="7" max="7" width="12" bestFit="1" customWidth="1"/>
    <col min="8" max="8" width="13.140625" bestFit="1" customWidth="1"/>
    <col min="9" max="9" width="12" bestFit="1" customWidth="1"/>
    <col min="10" max="10" width="11.28515625" customWidth="1"/>
  </cols>
  <sheetData>
    <row r="1" spans="2:10" x14ac:dyDescent="0.25">
      <c r="B1" s="5" t="s">
        <v>0</v>
      </c>
      <c r="C1" s="5" t="s">
        <v>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</row>
    <row r="2" spans="2:10" x14ac:dyDescent="0.25">
      <c r="B2" s="51">
        <v>2001</v>
      </c>
      <c r="C2" s="9">
        <v>1</v>
      </c>
      <c r="D2" s="13">
        <v>1</v>
      </c>
      <c r="E2" s="1">
        <v>2108</v>
      </c>
      <c r="F2" s="1">
        <v>6716</v>
      </c>
      <c r="G2" s="1">
        <v>10688</v>
      </c>
      <c r="H2" s="1">
        <v>7158</v>
      </c>
      <c r="I2" s="1">
        <v>842</v>
      </c>
      <c r="J2" s="1">
        <f>SUM(E2:I2)</f>
        <v>27512</v>
      </c>
    </row>
    <row r="3" spans="2:10" x14ac:dyDescent="0.25">
      <c r="B3" s="51"/>
      <c r="C3" s="9">
        <v>2</v>
      </c>
      <c r="D3" s="13">
        <v>2</v>
      </c>
      <c r="E3" s="1">
        <v>2516</v>
      </c>
      <c r="F3" s="1">
        <v>11510</v>
      </c>
      <c r="G3" s="1">
        <v>21688</v>
      </c>
      <c r="H3" s="1">
        <v>7034</v>
      </c>
      <c r="I3" s="1">
        <v>3050</v>
      </c>
      <c r="J3" s="1">
        <f t="shared" ref="J3:J18" si="0">SUM(E3:I3)</f>
        <v>45798</v>
      </c>
    </row>
    <row r="4" spans="2:10" x14ac:dyDescent="0.25">
      <c r="B4" s="51"/>
      <c r="C4" s="9">
        <v>3</v>
      </c>
      <c r="D4" s="13">
        <v>3</v>
      </c>
      <c r="E4" s="1">
        <v>2954</v>
      </c>
      <c r="F4" s="1">
        <v>18438</v>
      </c>
      <c r="G4" s="1">
        <v>40814</v>
      </c>
      <c r="H4" s="1">
        <v>9026</v>
      </c>
      <c r="I4" s="1">
        <v>5736</v>
      </c>
      <c r="J4" s="1">
        <f t="shared" si="0"/>
        <v>76968</v>
      </c>
    </row>
    <row r="5" spans="2:10" x14ac:dyDescent="0.25">
      <c r="B5" s="52"/>
      <c r="C5" s="10">
        <v>4</v>
      </c>
      <c r="D5" s="14">
        <v>4</v>
      </c>
      <c r="E5" s="8">
        <v>2224</v>
      </c>
      <c r="F5" s="8">
        <v>10456</v>
      </c>
      <c r="G5" s="8">
        <v>19510</v>
      </c>
      <c r="H5" s="8">
        <v>7254</v>
      </c>
      <c r="I5" s="8">
        <v>4414</v>
      </c>
      <c r="J5" s="8">
        <f t="shared" si="0"/>
        <v>43858</v>
      </c>
    </row>
    <row r="6" spans="2:10" x14ac:dyDescent="0.25">
      <c r="B6" s="53">
        <v>2002</v>
      </c>
      <c r="C6" s="11">
        <v>5</v>
      </c>
      <c r="D6" s="15">
        <v>1</v>
      </c>
      <c r="E6" s="1">
        <v>1788</v>
      </c>
      <c r="F6" s="1">
        <v>9464</v>
      </c>
      <c r="G6" s="1">
        <v>9824</v>
      </c>
      <c r="H6" s="1">
        <v>6968</v>
      </c>
      <c r="I6" s="1">
        <v>2536</v>
      </c>
      <c r="J6" s="1">
        <f t="shared" si="0"/>
        <v>30580</v>
      </c>
    </row>
    <row r="7" spans="2:10" x14ac:dyDescent="0.25">
      <c r="B7" s="51"/>
      <c r="C7" s="9">
        <v>6</v>
      </c>
      <c r="D7" s="13">
        <v>2</v>
      </c>
      <c r="E7" s="1">
        <v>2512</v>
      </c>
      <c r="F7" s="1">
        <v>12942</v>
      </c>
      <c r="G7" s="1">
        <v>21848</v>
      </c>
      <c r="H7" s="1">
        <v>9156</v>
      </c>
      <c r="I7" s="1">
        <v>6740</v>
      </c>
      <c r="J7" s="1">
        <f t="shared" si="0"/>
        <v>53198</v>
      </c>
    </row>
    <row r="8" spans="2:10" x14ac:dyDescent="0.25">
      <c r="B8" s="51"/>
      <c r="C8" s="9">
        <v>7</v>
      </c>
      <c r="D8" s="13">
        <v>3</v>
      </c>
      <c r="E8" s="1">
        <v>3540</v>
      </c>
      <c r="F8" s="1">
        <v>21640</v>
      </c>
      <c r="G8" s="1">
        <v>48936</v>
      </c>
      <c r="H8" s="1">
        <v>8134</v>
      </c>
      <c r="I8" s="1">
        <v>6454</v>
      </c>
      <c r="J8" s="1">
        <f t="shared" si="0"/>
        <v>88704</v>
      </c>
    </row>
    <row r="9" spans="2:10" x14ac:dyDescent="0.25">
      <c r="B9" s="52"/>
      <c r="C9" s="10">
        <v>8</v>
      </c>
      <c r="D9" s="14">
        <v>4</v>
      </c>
      <c r="E9" s="8">
        <v>3666</v>
      </c>
      <c r="F9" s="8">
        <v>11650</v>
      </c>
      <c r="G9" s="8">
        <v>24640</v>
      </c>
      <c r="H9" s="8">
        <v>6958</v>
      </c>
      <c r="I9" s="8">
        <v>4676</v>
      </c>
      <c r="J9" s="8">
        <f t="shared" si="0"/>
        <v>51590</v>
      </c>
    </row>
    <row r="10" spans="2:10" x14ac:dyDescent="0.25">
      <c r="B10" s="53">
        <v>2003</v>
      </c>
      <c r="C10" s="11">
        <v>9</v>
      </c>
      <c r="D10" s="15">
        <v>1</v>
      </c>
      <c r="E10" s="1">
        <v>3546</v>
      </c>
      <c r="F10" s="1">
        <v>11270</v>
      </c>
      <c r="G10" s="1">
        <v>12400</v>
      </c>
      <c r="H10" s="1">
        <v>5208</v>
      </c>
      <c r="I10" s="1">
        <v>2948</v>
      </c>
      <c r="J10" s="1">
        <f t="shared" si="0"/>
        <v>35372</v>
      </c>
    </row>
    <row r="11" spans="2:10" x14ac:dyDescent="0.25">
      <c r="B11" s="51"/>
      <c r="C11" s="9">
        <v>10</v>
      </c>
      <c r="D11" s="13">
        <v>2</v>
      </c>
      <c r="E11" s="1">
        <v>5596</v>
      </c>
      <c r="F11" s="1">
        <v>15322</v>
      </c>
      <c r="G11" s="1">
        <v>23692</v>
      </c>
      <c r="H11" s="1">
        <v>6806</v>
      </c>
      <c r="I11" s="1">
        <v>6424</v>
      </c>
      <c r="J11" s="1">
        <f t="shared" si="0"/>
        <v>57840</v>
      </c>
    </row>
    <row r="12" spans="2:10" x14ac:dyDescent="0.25">
      <c r="B12" s="51"/>
      <c r="C12" s="9">
        <v>11</v>
      </c>
      <c r="D12" s="13">
        <v>3</v>
      </c>
      <c r="E12" s="1">
        <v>5948</v>
      </c>
      <c r="F12" s="1">
        <v>19424</v>
      </c>
      <c r="G12" s="1">
        <v>47904</v>
      </c>
      <c r="H12" s="1">
        <v>10446</v>
      </c>
      <c r="I12" s="1">
        <v>9666</v>
      </c>
      <c r="J12" s="1">
        <f t="shared" si="0"/>
        <v>93388</v>
      </c>
    </row>
    <row r="13" spans="2:10" x14ac:dyDescent="0.25">
      <c r="B13" s="52"/>
      <c r="C13" s="10">
        <v>12</v>
      </c>
      <c r="D13" s="14">
        <v>4</v>
      </c>
      <c r="E13" s="8">
        <v>4892</v>
      </c>
      <c r="F13" s="8">
        <v>13310</v>
      </c>
      <c r="G13" s="8">
        <v>26990</v>
      </c>
      <c r="H13" s="8">
        <v>7960</v>
      </c>
      <c r="I13" s="8">
        <v>5754</v>
      </c>
      <c r="J13" s="8">
        <f t="shared" si="0"/>
        <v>58906</v>
      </c>
    </row>
    <row r="14" spans="2:10" x14ac:dyDescent="0.25">
      <c r="B14" s="53">
        <v>2004</v>
      </c>
      <c r="C14" s="11">
        <v>13</v>
      </c>
      <c r="D14" s="15">
        <v>1</v>
      </c>
      <c r="E14" s="1">
        <v>4311</v>
      </c>
      <c r="F14" s="1">
        <v>10214</v>
      </c>
      <c r="G14" s="1">
        <v>13851</v>
      </c>
      <c r="H14" s="1">
        <v>7397</v>
      </c>
      <c r="I14" s="1">
        <v>3609</v>
      </c>
      <c r="J14" s="1">
        <f t="shared" si="0"/>
        <v>39382</v>
      </c>
    </row>
    <row r="15" spans="2:10" x14ac:dyDescent="0.25">
      <c r="B15" s="51"/>
      <c r="C15" s="9">
        <v>14</v>
      </c>
      <c r="D15" s="13">
        <v>2</v>
      </c>
      <c r="E15" s="1">
        <v>6637</v>
      </c>
      <c r="F15" s="1">
        <v>20983</v>
      </c>
      <c r="G15" s="1">
        <v>31507</v>
      </c>
      <c r="H15" s="1">
        <v>9043</v>
      </c>
      <c r="I15" s="1">
        <v>7049</v>
      </c>
      <c r="J15" s="1">
        <f t="shared" si="0"/>
        <v>75219</v>
      </c>
    </row>
    <row r="16" spans="2:10" x14ac:dyDescent="0.25">
      <c r="B16" s="51"/>
      <c r="C16" s="9">
        <v>15</v>
      </c>
      <c r="D16" s="13">
        <v>3</v>
      </c>
      <c r="E16" s="1">
        <v>7823</v>
      </c>
      <c r="F16" s="1">
        <v>27492</v>
      </c>
      <c r="G16" s="1">
        <v>66644</v>
      </c>
      <c r="H16" s="1">
        <v>11233</v>
      </c>
      <c r="I16" s="1">
        <v>9676</v>
      </c>
      <c r="J16" s="1">
        <f t="shared" si="0"/>
        <v>122868</v>
      </c>
    </row>
    <row r="17" spans="2:10" x14ac:dyDescent="0.25">
      <c r="B17" s="52"/>
      <c r="C17" s="10">
        <v>16</v>
      </c>
      <c r="D17" s="14">
        <v>4</v>
      </c>
      <c r="E17" s="8">
        <v>6652</v>
      </c>
      <c r="F17" s="8">
        <v>19535</v>
      </c>
      <c r="G17" s="8">
        <v>17337</v>
      </c>
      <c r="H17" s="8">
        <v>7496</v>
      </c>
      <c r="I17" s="8">
        <v>3976</v>
      </c>
      <c r="J17" s="8">
        <f t="shared" si="0"/>
        <v>54996</v>
      </c>
    </row>
    <row r="18" spans="2:10" x14ac:dyDescent="0.25">
      <c r="B18" s="54">
        <v>2005</v>
      </c>
      <c r="C18" s="12">
        <v>17</v>
      </c>
      <c r="D18" s="16">
        <v>1</v>
      </c>
      <c r="E18" s="1">
        <v>6235</v>
      </c>
      <c r="F18" s="1">
        <v>28020</v>
      </c>
      <c r="G18" s="1">
        <v>11163</v>
      </c>
      <c r="H18" s="1">
        <v>384</v>
      </c>
      <c r="I18" s="1">
        <v>2357</v>
      </c>
      <c r="J18" s="1">
        <f t="shared" si="0"/>
        <v>48159</v>
      </c>
    </row>
    <row r="19" spans="2:10" x14ac:dyDescent="0.25">
      <c r="B19" s="54"/>
      <c r="C19" s="12">
        <v>18</v>
      </c>
      <c r="D19" s="16">
        <v>2</v>
      </c>
      <c r="E19" s="7"/>
      <c r="F19" s="7"/>
      <c r="G19" s="7"/>
      <c r="H19" s="7"/>
      <c r="I19" s="7"/>
      <c r="J19" s="7"/>
    </row>
    <row r="20" spans="2:10" x14ac:dyDescent="0.25">
      <c r="B20" s="54"/>
      <c r="C20" s="12">
        <v>19</v>
      </c>
      <c r="D20" s="16">
        <v>3</v>
      </c>
      <c r="E20" s="7"/>
      <c r="F20" s="7"/>
      <c r="G20" s="7"/>
      <c r="H20" s="7"/>
      <c r="I20" s="7"/>
      <c r="J20" s="7"/>
    </row>
    <row r="21" spans="2:10" x14ac:dyDescent="0.25">
      <c r="B21" s="54"/>
      <c r="C21" s="12">
        <v>20</v>
      </c>
      <c r="D21" s="16">
        <v>4</v>
      </c>
      <c r="E21" s="7"/>
      <c r="F21" s="7"/>
      <c r="G21" s="7"/>
      <c r="H21" s="7"/>
      <c r="I21" s="7"/>
      <c r="J21" s="7"/>
    </row>
    <row r="22" spans="2:10" x14ac:dyDescent="0.25">
      <c r="E22">
        <f>SUM(E2:E18)</f>
        <v>72948</v>
      </c>
      <c r="F22">
        <f t="shared" ref="F22:J22" si="1">SUM(F2:F18)</f>
        <v>268386</v>
      </c>
      <c r="G22">
        <f t="shared" si="1"/>
        <v>449436</v>
      </c>
      <c r="H22">
        <f t="shared" si="1"/>
        <v>127661</v>
      </c>
      <c r="I22">
        <f t="shared" si="1"/>
        <v>85907</v>
      </c>
      <c r="J22">
        <f t="shared" si="1"/>
        <v>1004338</v>
      </c>
    </row>
    <row r="23" spans="2:10" x14ac:dyDescent="0.25">
      <c r="E23" s="42">
        <f>E22/$J$22</f>
        <v>7.2632918399980886E-2</v>
      </c>
      <c r="F23" s="42">
        <f t="shared" ref="F23:J23" si="2">F22/$J$22</f>
        <v>0.26722677027056629</v>
      </c>
      <c r="G23" s="42">
        <f t="shared" si="2"/>
        <v>0.44749476769772728</v>
      </c>
      <c r="H23" s="42">
        <f t="shared" si="2"/>
        <v>0.12710959856144047</v>
      </c>
      <c r="I23" s="42">
        <f t="shared" si="2"/>
        <v>8.5535945070285099E-2</v>
      </c>
      <c r="J23" s="42">
        <f t="shared" si="2"/>
        <v>1</v>
      </c>
    </row>
  </sheetData>
  <mergeCells count="5">
    <mergeCell ref="B2:B5"/>
    <mergeCell ref="B6:B9"/>
    <mergeCell ref="B10:B13"/>
    <mergeCell ref="B14:B17"/>
    <mergeCell ref="B18:B21"/>
  </mergeCells>
  <pageMargins left="0.7" right="0.7" top="0.75" bottom="0.75" header="0.3" footer="0.3"/>
  <ignoredErrors>
    <ignoredError sqref="J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59999389629810485"/>
  </sheetPr>
  <dimension ref="A1"/>
  <sheetViews>
    <sheetView zoomScale="70" zoomScaleNormal="70" workbookViewId="0">
      <selection activeCell="M42" sqref="M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AL81"/>
  <sheetViews>
    <sheetView zoomScale="80" zoomScaleNormal="80" workbookViewId="0">
      <selection activeCell="V14" sqref="V14"/>
    </sheetView>
  </sheetViews>
  <sheetFormatPr defaultColWidth="9.28515625" defaultRowHeight="15" x14ac:dyDescent="0.25"/>
  <cols>
    <col min="1" max="1" width="19.28515625" bestFit="1" customWidth="1"/>
    <col min="2" max="2" width="13" bestFit="1" customWidth="1"/>
    <col min="3" max="3" width="14.5703125" bestFit="1" customWidth="1"/>
    <col min="4" max="5" width="13" bestFit="1" customWidth="1"/>
    <col min="6" max="6" width="13.85546875" bestFit="1" customWidth="1"/>
    <col min="7" max="7" width="13" bestFit="1" customWidth="1"/>
    <col min="8" max="8" width="13.7109375" bestFit="1" customWidth="1"/>
    <col min="9" max="9" width="13.140625" bestFit="1" customWidth="1"/>
    <col min="11" max="11" width="9.42578125" bestFit="1" customWidth="1"/>
    <col min="12" max="12" width="7.7109375" bestFit="1" customWidth="1"/>
    <col min="14" max="14" width="9.42578125" bestFit="1" customWidth="1"/>
    <col min="15" max="15" width="11" bestFit="1" customWidth="1"/>
    <col min="16" max="16" width="10" bestFit="1" customWidth="1"/>
    <col min="17" max="17" width="11.5703125" bestFit="1" customWidth="1"/>
    <col min="18" max="18" width="10.28515625" bestFit="1" customWidth="1"/>
    <col min="19" max="19" width="11" bestFit="1" customWidth="1"/>
    <col min="20" max="20" width="13.5703125" bestFit="1" customWidth="1"/>
    <col min="21" max="21" width="8.140625" bestFit="1" customWidth="1"/>
    <col min="23" max="23" width="8.140625" bestFit="1" customWidth="1"/>
    <col min="25" max="25" width="12.42578125" bestFit="1" customWidth="1"/>
    <col min="27" max="27" width="3.42578125" bestFit="1" customWidth="1"/>
    <col min="28" max="28" width="12.7109375" customWidth="1"/>
    <col min="32" max="32" width="9.42578125" bestFit="1" customWidth="1"/>
    <col min="33" max="33" width="12.85546875" bestFit="1" customWidth="1"/>
    <col min="34" max="34" width="13.85546875" bestFit="1" customWidth="1"/>
    <col min="35" max="35" width="12.85546875" bestFit="1" customWidth="1"/>
    <col min="36" max="36" width="13.85546875" bestFit="1" customWidth="1"/>
    <col min="37" max="37" width="12.85546875" bestFit="1" customWidth="1"/>
    <col min="38" max="38" width="10.28515625" bestFit="1" customWidth="1"/>
  </cols>
  <sheetData>
    <row r="1" spans="1:38" x14ac:dyDescent="0.25">
      <c r="A1" t="s">
        <v>9</v>
      </c>
    </row>
    <row r="2" spans="1:38" ht="15.75" thickBot="1" x14ac:dyDescent="0.3"/>
    <row r="3" spans="1:38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61</v>
      </c>
      <c r="U3" s="3" t="s">
        <v>52</v>
      </c>
      <c r="W3" s="3" t="s">
        <v>37</v>
      </c>
      <c r="X3" s="4" t="s">
        <v>38</v>
      </c>
      <c r="Y3" s="3" t="s">
        <v>39</v>
      </c>
      <c r="AA3" s="55" t="s">
        <v>46</v>
      </c>
      <c r="AB3" s="55"/>
      <c r="AF3" s="56" t="s">
        <v>60</v>
      </c>
      <c r="AG3" s="56"/>
      <c r="AH3" s="56"/>
      <c r="AI3" s="56"/>
      <c r="AJ3" s="56"/>
      <c r="AK3" s="56"/>
      <c r="AL3" s="56"/>
    </row>
    <row r="4" spans="1:38" ht="19.5" thickBot="1" x14ac:dyDescent="0.4">
      <c r="A4" s="17" t="s">
        <v>11</v>
      </c>
      <c r="B4" s="17">
        <v>0.35948545522568953</v>
      </c>
      <c r="G4" s="46">
        <v>8.2459176614413567E-3</v>
      </c>
      <c r="H4" s="46">
        <v>1</v>
      </c>
      <c r="I4" s="46">
        <v>0</v>
      </c>
      <c r="K4">
        <v>-3</v>
      </c>
      <c r="Q4" s="31">
        <f>AB6</f>
        <v>0.59677282400342113</v>
      </c>
      <c r="W4" s="40">
        <f>AVERAGE(N8,N12,N16,N20,N24)</f>
        <v>0.61060058651327298</v>
      </c>
      <c r="X4" s="40">
        <f>AVERAGE(W4:W7)</f>
        <v>1.0231708984619792</v>
      </c>
      <c r="Y4" s="40">
        <f>W4/$X$4</f>
        <v>0.59677282400342113</v>
      </c>
      <c r="AA4" s="24" t="s">
        <v>40</v>
      </c>
      <c r="AB4" s="28">
        <f>B17</f>
        <v>42982.007352941189</v>
      </c>
      <c r="AG4" s="43">
        <f>Data!E23</f>
        <v>7.2632918399980886E-2</v>
      </c>
      <c r="AH4" s="43">
        <f>Data!F23</f>
        <v>0.26722677027056629</v>
      </c>
      <c r="AI4" s="43">
        <f>Data!G23</f>
        <v>0.44749476769772728</v>
      </c>
      <c r="AJ4" s="43">
        <f>Data!H23</f>
        <v>0.12710959856144047</v>
      </c>
      <c r="AK4" s="43">
        <f>Data!I23</f>
        <v>8.5535945070285099E-2</v>
      </c>
      <c r="AL4" s="43">
        <f>Data!J23</f>
        <v>1</v>
      </c>
    </row>
    <row r="5" spans="1:38" ht="18.75" x14ac:dyDescent="0.35">
      <c r="A5" s="17" t="s">
        <v>12</v>
      </c>
      <c r="B5" s="17">
        <v>0.12922979251882122</v>
      </c>
      <c r="K5">
        <v>-2</v>
      </c>
      <c r="Q5" s="31">
        <f t="shared" ref="Q5:Q7" si="0">AB7</f>
        <v>0.98471909128688306</v>
      </c>
      <c r="W5" s="40">
        <f>AVERAGE(N9,N13,N17,N21)</f>
        <v>1.0075359173646639</v>
      </c>
      <c r="X5" s="40"/>
      <c r="Y5" s="40">
        <f t="shared" ref="Y5:Y7" si="1">W5/$X$4</f>
        <v>0.98471909128688306</v>
      </c>
      <c r="AA5" s="25" t="s">
        <v>41</v>
      </c>
      <c r="AB5" s="29">
        <f>B18</f>
        <v>1788.5220588235288</v>
      </c>
      <c r="AF5" s="44" t="s">
        <v>33</v>
      </c>
      <c r="AG5" s="44" t="s">
        <v>2</v>
      </c>
      <c r="AH5" s="44" t="s">
        <v>3</v>
      </c>
      <c r="AI5" s="44" t="s">
        <v>4</v>
      </c>
      <c r="AJ5" s="44" t="s">
        <v>5</v>
      </c>
      <c r="AK5" s="44" t="s">
        <v>6</v>
      </c>
      <c r="AL5" s="44" t="s">
        <v>59</v>
      </c>
    </row>
    <row r="6" spans="1:38" ht="18.75" x14ac:dyDescent="0.35">
      <c r="A6" s="17" t="s">
        <v>13</v>
      </c>
      <c r="B6" s="17">
        <v>7.1178445353409295E-2</v>
      </c>
      <c r="K6">
        <v>-1</v>
      </c>
      <c r="Q6" s="31">
        <f t="shared" si="0"/>
        <v>1.573717283800554</v>
      </c>
      <c r="W6" s="40">
        <f>AVERAGE(N10,N14,N18,N22)</f>
        <v>1.6101817271913583</v>
      </c>
      <c r="X6" s="40"/>
      <c r="Y6" s="40">
        <f t="shared" si="1"/>
        <v>1.573717283800554</v>
      </c>
      <c r="AA6" s="26" t="s">
        <v>42</v>
      </c>
      <c r="AB6" s="30">
        <f>Y4</f>
        <v>0.59677282400342113</v>
      </c>
      <c r="AF6">
        <v>1</v>
      </c>
      <c r="AG6" s="34">
        <f>$AL6*AG$4</f>
        <v>1940.5943489309948</v>
      </c>
      <c r="AH6" s="34">
        <f t="shared" ref="AH6:AK21" si="2">$AL6*AH$4</f>
        <v>7139.7208276058836</v>
      </c>
      <c r="AI6" s="34">
        <f t="shared" si="2"/>
        <v>11956.091487171007</v>
      </c>
      <c r="AJ6" s="34">
        <f t="shared" si="2"/>
        <v>3396.0933154970626</v>
      </c>
      <c r="AK6" s="34">
        <f t="shared" si="2"/>
        <v>2285.3352899821098</v>
      </c>
      <c r="AL6" s="34">
        <f t="shared" ref="AL6:AL25" si="3">R8</f>
        <v>26717.835269187057</v>
      </c>
    </row>
    <row r="7" spans="1:38" ht="18.75" x14ac:dyDescent="0.35">
      <c r="A7" s="17" t="s">
        <v>14</v>
      </c>
      <c r="B7" s="17">
        <v>24213.033909213555</v>
      </c>
      <c r="K7">
        <v>0</v>
      </c>
      <c r="O7" s="31">
        <f>AB4</f>
        <v>42982.007352941189</v>
      </c>
      <c r="P7" s="31">
        <f>AB5</f>
        <v>1788.5220588235288</v>
      </c>
      <c r="Q7" s="31">
        <f t="shared" si="0"/>
        <v>0.84479080090914183</v>
      </c>
      <c r="W7" s="40">
        <f>AVERAGE(N11,N15,N19,N23)</f>
        <v>0.86436536277862164</v>
      </c>
      <c r="X7" s="40"/>
      <c r="Y7" s="40">
        <f t="shared" si="1"/>
        <v>0.84479080090914183</v>
      </c>
      <c r="AA7" s="26" t="s">
        <v>43</v>
      </c>
      <c r="AB7" s="30">
        <f t="shared" ref="AB7:AB9" si="4">Y5</f>
        <v>0.98471909128688306</v>
      </c>
      <c r="AF7">
        <v>2</v>
      </c>
      <c r="AG7" s="34">
        <f t="shared" ref="AG7:AK23" si="5">$AL7*AG$4</f>
        <v>3331.6137339634729</v>
      </c>
      <c r="AH7" s="34">
        <f t="shared" si="2"/>
        <v>12257.4777047146</v>
      </c>
      <c r="AI7" s="34">
        <f t="shared" si="2"/>
        <v>20526.226217821015</v>
      </c>
      <c r="AJ7" s="34">
        <f t="shared" si="2"/>
        <v>5830.4153765903229</v>
      </c>
      <c r="AK7" s="34">
        <f t="shared" si="2"/>
        <v>3923.4652223995176</v>
      </c>
      <c r="AL7" s="34">
        <f t="shared" si="3"/>
        <v>45869.198255488925</v>
      </c>
    </row>
    <row r="8" spans="1:38" ht="19.5" thickBot="1" x14ac:dyDescent="0.4">
      <c r="A8" s="18" t="s">
        <v>15</v>
      </c>
      <c r="B8" s="18">
        <v>17</v>
      </c>
      <c r="K8">
        <v>1</v>
      </c>
      <c r="L8">
        <f>Data!J2</f>
        <v>27512</v>
      </c>
      <c r="M8" s="34">
        <f>$B$17+$B$18*K8</f>
        <v>44770.529411764721</v>
      </c>
      <c r="N8" s="34">
        <f>L8/M8</f>
        <v>0.61451138419574836</v>
      </c>
      <c r="O8" s="34">
        <f>$G$4*(L8/Q4)+((1-$G$4)*(O7+P7))</f>
        <v>44781.502795130225</v>
      </c>
      <c r="P8" s="34">
        <f>$H$4*(O8-O7)+((1-$H$4)*P7)</f>
        <v>1799.4954421890361</v>
      </c>
      <c r="Q8" s="33">
        <f>$I$4*(L8/O8)+((1-$I$4)*Q4)</f>
        <v>0.59677282400342113</v>
      </c>
      <c r="R8" s="34">
        <f>SUM(O7:P7)*Q4</f>
        <v>26717.835269187057</v>
      </c>
      <c r="S8" s="34">
        <f>L8-R8</f>
        <v>794.16473081294316</v>
      </c>
      <c r="T8" s="34">
        <f>S8^2</f>
        <v>630697.61966719443</v>
      </c>
      <c r="U8" s="34">
        <f t="shared" ref="U8:U24" si="6">ABS(S8/L8)*100</f>
        <v>2.8866121358423347</v>
      </c>
      <c r="AA8" s="26" t="s">
        <v>44</v>
      </c>
      <c r="AB8" s="30">
        <f t="shared" si="4"/>
        <v>1.573717283800554</v>
      </c>
      <c r="AF8">
        <v>3</v>
      </c>
      <c r="AG8" s="34">
        <f t="shared" si="5"/>
        <v>5529.9321252873233</v>
      </c>
      <c r="AH8" s="34">
        <f t="shared" si="2"/>
        <v>20345.401702272353</v>
      </c>
      <c r="AI8" s="34">
        <f t="shared" si="2"/>
        <v>34070.167443393017</v>
      </c>
      <c r="AJ8" s="34">
        <f t="shared" si="2"/>
        <v>9677.5328322408423</v>
      </c>
      <c r="AK8" s="34">
        <f t="shared" si="2"/>
        <v>6512.3084812065863</v>
      </c>
      <c r="AL8" s="34">
        <f t="shared" si="3"/>
        <v>76135.342584400118</v>
      </c>
    </row>
    <row r="9" spans="1:38" ht="18.75" x14ac:dyDescent="0.35">
      <c r="K9">
        <v>2</v>
      </c>
      <c r="L9">
        <f>Data!J3</f>
        <v>45798</v>
      </c>
      <c r="M9" s="34">
        <f t="shared" ref="M9:M23" si="7">$B$17+$B$18*K9</f>
        <v>46559.051470588245</v>
      </c>
      <c r="N9" s="34">
        <f t="shared" ref="N9:N23" si="8">L9/M9</f>
        <v>0.98365405981114096</v>
      </c>
      <c r="O9" s="34">
        <f t="shared" ref="O9:O23" si="9">$G$4*(L9/Q5)+((1-$G$4)*(O8+P8))</f>
        <v>46580.402031804821</v>
      </c>
      <c r="P9" s="34">
        <f t="shared" ref="P9:P23" si="10">$H$4*(O9-O8)+((1-$H$4)*P8)</f>
        <v>1798.8992366745952</v>
      </c>
      <c r="Q9" s="33">
        <f>$I$4*(L9/O9)+((1-$I$4)*Q5)</f>
        <v>0.98471909128688306</v>
      </c>
      <c r="R9" s="34">
        <f t="shared" ref="R9:R23" si="11">SUM(O8:P8)*Q5</f>
        <v>45869.198255488925</v>
      </c>
      <c r="S9" s="34">
        <f t="shared" ref="S9:S24" si="12">L9-R9</f>
        <v>-71.198255488925497</v>
      </c>
      <c r="T9" s="34">
        <f t="shared" ref="T9:T24" si="13">S9^2</f>
        <v>5069.1915846663096</v>
      </c>
      <c r="U9" s="34">
        <f t="shared" si="6"/>
        <v>0.15546149501927048</v>
      </c>
      <c r="W9" s="3" t="s">
        <v>56</v>
      </c>
      <c r="X9" s="3" t="s">
        <v>57</v>
      </c>
      <c r="Y9" s="3" t="s">
        <v>62</v>
      </c>
      <c r="AA9" s="26" t="s">
        <v>45</v>
      </c>
      <c r="AB9" s="30">
        <f t="shared" si="4"/>
        <v>0.84479080090914183</v>
      </c>
      <c r="AF9" s="23">
        <v>4</v>
      </c>
      <c r="AG9" s="35">
        <f t="shared" si="5"/>
        <v>3079.4507968314624</v>
      </c>
      <c r="AH9" s="35">
        <f t="shared" si="2"/>
        <v>11329.734626835674</v>
      </c>
      <c r="AI9" s="35">
        <f t="shared" si="2"/>
        <v>18972.638705992558</v>
      </c>
      <c r="AJ9" s="35">
        <f t="shared" si="2"/>
        <v>5389.1233231110009</v>
      </c>
      <c r="AK9" s="35">
        <f t="shared" si="2"/>
        <v>3626.5062730081759</v>
      </c>
      <c r="AL9" s="35">
        <f t="shared" si="3"/>
        <v>42397.453725778869</v>
      </c>
    </row>
    <row r="10" spans="1:38" ht="16.5" thickBot="1" x14ac:dyDescent="0.3">
      <c r="A10" t="s">
        <v>16</v>
      </c>
      <c r="K10">
        <v>3</v>
      </c>
      <c r="L10">
        <f>Data!J4</f>
        <v>76968</v>
      </c>
      <c r="M10" s="34">
        <f t="shared" si="7"/>
        <v>48347.573529411777</v>
      </c>
      <c r="N10" s="34">
        <f t="shared" si="8"/>
        <v>1.5919723448618837</v>
      </c>
      <c r="O10" s="34">
        <f t="shared" si="9"/>
        <v>48383.664202381144</v>
      </c>
      <c r="P10" s="34">
        <f t="shared" si="10"/>
        <v>1803.2621705763231</v>
      </c>
      <c r="Q10" s="33">
        <f t="shared" ref="Q10:Q23" si="14">$I$4*(L10/O10)+((1-$I$4)*Q6)</f>
        <v>1.573717283800554</v>
      </c>
      <c r="R10" s="34">
        <f t="shared" si="11"/>
        <v>76135.342584400118</v>
      </c>
      <c r="S10" s="34">
        <f t="shared" si="12"/>
        <v>832.65741559988237</v>
      </c>
      <c r="T10" s="34">
        <f t="shared" si="13"/>
        <v>693318.37175347528</v>
      </c>
      <c r="U10" s="34">
        <f t="shared" si="6"/>
        <v>1.0818228557320997</v>
      </c>
      <c r="W10" s="34">
        <f>AVERAGE(U8:U24)</f>
        <v>4.3806904919392649</v>
      </c>
      <c r="X10" s="34">
        <f>SUMPRODUCT(ABS(S8:S24))/17</f>
        <v>2979.5819546882458</v>
      </c>
      <c r="Y10" s="33">
        <f>AVERAGE(T8:T24)</f>
        <v>19383148.723811608</v>
      </c>
      <c r="AA10" s="26"/>
      <c r="AB10" s="27"/>
      <c r="AF10">
        <v>5</v>
      </c>
      <c r="AG10" s="34">
        <f t="shared" si="5"/>
        <v>2254.7688979625805</v>
      </c>
      <c r="AH10" s="34">
        <f t="shared" si="2"/>
        <v>8295.6133882846025</v>
      </c>
      <c r="AI10" s="34">
        <f t="shared" si="2"/>
        <v>13891.7354063814</v>
      </c>
      <c r="AJ10" s="34">
        <f t="shared" si="2"/>
        <v>3945.9073899599853</v>
      </c>
      <c r="AK10" s="34">
        <f t="shared" si="2"/>
        <v>2655.3220337400808</v>
      </c>
      <c r="AL10" s="34">
        <f t="shared" si="3"/>
        <v>31043.347116328649</v>
      </c>
    </row>
    <row r="11" spans="1:38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Data!J5</f>
        <v>43858</v>
      </c>
      <c r="M11" s="35">
        <f t="shared" si="7"/>
        <v>50136.095588235301</v>
      </c>
      <c r="N11" s="35">
        <f t="shared" si="8"/>
        <v>0.87477892894179643</v>
      </c>
      <c r="O11" s="35">
        <f t="shared" si="9"/>
        <v>50201.18261758631</v>
      </c>
      <c r="P11" s="35">
        <f t="shared" si="10"/>
        <v>1817.5184152051661</v>
      </c>
      <c r="Q11" s="41">
        <f t="shared" si="14"/>
        <v>0.84479080090914183</v>
      </c>
      <c r="R11" s="35">
        <f t="shared" si="11"/>
        <v>42397.453725778869</v>
      </c>
      <c r="S11" s="35">
        <f t="shared" si="12"/>
        <v>1460.5462742211312</v>
      </c>
      <c r="T11" s="35">
        <f t="shared" si="13"/>
        <v>2133195.4191412278</v>
      </c>
      <c r="U11" s="35">
        <f t="shared" si="6"/>
        <v>3.3301707196432377</v>
      </c>
      <c r="AA11" s="26"/>
      <c r="AB11" s="27"/>
      <c r="AF11">
        <v>6</v>
      </c>
      <c r="AG11" s="34">
        <f t="shared" si="5"/>
        <v>3849.613251384671</v>
      </c>
      <c r="AH11" s="34">
        <f t="shared" si="2"/>
        <v>14163.271125817382</v>
      </c>
      <c r="AI11" s="34">
        <f t="shared" si="2"/>
        <v>23717.645189029459</v>
      </c>
      <c r="AJ11" s="34">
        <f t="shared" si="2"/>
        <v>6736.9287339614311</v>
      </c>
      <c r="AK11" s="34">
        <f t="shared" si="2"/>
        <v>4533.4858472706983</v>
      </c>
      <c r="AL11" s="34">
        <f t="shared" si="3"/>
        <v>53000.944147463641</v>
      </c>
    </row>
    <row r="12" spans="1:38" ht="15.75" x14ac:dyDescent="0.25">
      <c r="A12" s="17" t="s">
        <v>17</v>
      </c>
      <c r="B12" s="17">
        <v>1</v>
      </c>
      <c r="C12" s="17">
        <v>1305114951.1985302</v>
      </c>
      <c r="D12" s="17">
        <v>1305114951.1985302</v>
      </c>
      <c r="E12" s="17">
        <v>2.2261290879364592</v>
      </c>
      <c r="F12" s="17">
        <v>0.15642462593093634</v>
      </c>
      <c r="K12">
        <v>5</v>
      </c>
      <c r="L12">
        <f>Data!J6</f>
        <v>30580</v>
      </c>
      <c r="M12" s="34">
        <f t="shared" si="7"/>
        <v>51924.617647058833</v>
      </c>
      <c r="N12" s="34">
        <f t="shared" si="8"/>
        <v>0.58893067268897148</v>
      </c>
      <c r="O12" s="34">
        <f t="shared" si="9"/>
        <v>52012.298726895104</v>
      </c>
      <c r="P12" s="34">
        <f t="shared" si="10"/>
        <v>1811.116109308794</v>
      </c>
      <c r="Q12" s="33">
        <f t="shared" si="14"/>
        <v>0.59677282400342113</v>
      </c>
      <c r="R12" s="34">
        <f t="shared" si="11"/>
        <v>31043.347116328649</v>
      </c>
      <c r="S12" s="34">
        <f t="shared" si="12"/>
        <v>-463.34711632864855</v>
      </c>
      <c r="T12" s="34">
        <f t="shared" si="13"/>
        <v>214690.55021007417</v>
      </c>
      <c r="U12" s="34">
        <f t="shared" si="6"/>
        <v>1.5151965870786415</v>
      </c>
      <c r="W12" s="50" t="s">
        <v>63</v>
      </c>
      <c r="X12">
        <f>SQRT(Y10)</f>
        <v>4402.6297509342767</v>
      </c>
      <c r="AA12" s="26"/>
      <c r="AB12" s="27"/>
      <c r="AF12">
        <v>7</v>
      </c>
      <c r="AG12" s="34">
        <f t="shared" si="5"/>
        <v>6359.608799750692</v>
      </c>
      <c r="AH12" s="34">
        <f t="shared" si="2"/>
        <v>23397.899426027983</v>
      </c>
      <c r="AI12" s="34">
        <f t="shared" si="2"/>
        <v>39181.843786323851</v>
      </c>
      <c r="AJ12" s="34">
        <f t="shared" si="2"/>
        <v>11129.489759622924</v>
      </c>
      <c r="AK12" s="34">
        <f t="shared" si="2"/>
        <v>7489.3748034241189</v>
      </c>
      <c r="AL12" s="34">
        <f t="shared" si="3"/>
        <v>87558.216575149563</v>
      </c>
    </row>
    <row r="13" spans="1:38" ht="15.75" x14ac:dyDescent="0.25">
      <c r="A13" s="17" t="s">
        <v>18</v>
      </c>
      <c r="B13" s="17">
        <v>15</v>
      </c>
      <c r="C13" s="17">
        <v>8794065166.3308811</v>
      </c>
      <c r="D13" s="17">
        <v>586271011.08872545</v>
      </c>
      <c r="E13" s="17"/>
      <c r="F13" s="17"/>
      <c r="K13">
        <v>6</v>
      </c>
      <c r="L13">
        <f>Data!J7</f>
        <v>53198</v>
      </c>
      <c r="M13" s="34">
        <f t="shared" si="7"/>
        <v>53713.139705882364</v>
      </c>
      <c r="N13" s="34">
        <f t="shared" si="8"/>
        <v>0.99040942851780556</v>
      </c>
      <c r="O13" s="34">
        <f t="shared" si="9"/>
        <v>53825.064957897586</v>
      </c>
      <c r="P13" s="34">
        <f t="shared" si="10"/>
        <v>1812.7662310024825</v>
      </c>
      <c r="Q13" s="33">
        <f t="shared" si="14"/>
        <v>0.98471909128688306</v>
      </c>
      <c r="R13" s="34">
        <f t="shared" si="11"/>
        <v>53000.944147463641</v>
      </c>
      <c r="S13" s="34">
        <f t="shared" si="12"/>
        <v>197.05585253635945</v>
      </c>
      <c r="T13" s="34">
        <f t="shared" si="13"/>
        <v>38831.009018831443</v>
      </c>
      <c r="U13" s="34">
        <f t="shared" si="6"/>
        <v>0.37041966340155541</v>
      </c>
      <c r="AA13" s="26"/>
      <c r="AB13" s="27"/>
      <c r="AF13" s="23">
        <v>8</v>
      </c>
      <c r="AG13" s="35">
        <f t="shared" si="5"/>
        <v>3525.8836640199838</v>
      </c>
      <c r="AH13" s="35">
        <f t="shared" si="2"/>
        <v>12972.224228925636</v>
      </c>
      <c r="AI13" s="35">
        <f t="shared" si="2"/>
        <v>21723.13223696997</v>
      </c>
      <c r="AJ13" s="35">
        <f t="shared" si="2"/>
        <v>6170.3930804471011</v>
      </c>
      <c r="AK13" s="35">
        <f t="shared" si="2"/>
        <v>4152.2466404146062</v>
      </c>
      <c r="AL13" s="35">
        <f t="shared" si="3"/>
        <v>48543.879850777295</v>
      </c>
    </row>
    <row r="14" spans="1:38" ht="16.5" thickBot="1" x14ac:dyDescent="0.3">
      <c r="A14" s="18" t="s">
        <v>7</v>
      </c>
      <c r="B14" s="18">
        <v>16</v>
      </c>
      <c r="C14" s="18">
        <v>10099180117.529411</v>
      </c>
      <c r="D14" s="18"/>
      <c r="E14" s="18"/>
      <c r="F14" s="18"/>
      <c r="K14">
        <v>7</v>
      </c>
      <c r="L14">
        <f>Data!J8</f>
        <v>88704</v>
      </c>
      <c r="M14" s="34">
        <f t="shared" si="7"/>
        <v>55501.661764705888</v>
      </c>
      <c r="N14" s="34">
        <f t="shared" si="8"/>
        <v>1.5982224167638859</v>
      </c>
      <c r="O14" s="34">
        <f t="shared" si="9"/>
        <v>55643.834831280066</v>
      </c>
      <c r="P14" s="34">
        <f t="shared" si="10"/>
        <v>1818.76987338248</v>
      </c>
      <c r="Q14" s="33">
        <f t="shared" si="14"/>
        <v>1.573717283800554</v>
      </c>
      <c r="R14" s="34">
        <f t="shared" si="11"/>
        <v>87558.216575149563</v>
      </c>
      <c r="S14" s="34">
        <f t="shared" si="12"/>
        <v>1145.7834248504369</v>
      </c>
      <c r="T14" s="34">
        <f t="shared" si="13"/>
        <v>1312819.6566619966</v>
      </c>
      <c r="U14" s="34">
        <f t="shared" si="6"/>
        <v>1.2916930745518092</v>
      </c>
      <c r="V14" s="58"/>
      <c r="AB14" s="27"/>
      <c r="AF14">
        <v>9</v>
      </c>
      <c r="AG14" s="34">
        <f t="shared" si="5"/>
        <v>2572.1496015140265</v>
      </c>
      <c r="AH14" s="34">
        <f t="shared" si="2"/>
        <v>9463.3018444911922</v>
      </c>
      <c r="AI14" s="34">
        <f t="shared" si="2"/>
        <v>15847.132591792208</v>
      </c>
      <c r="AJ14" s="34">
        <f t="shared" si="2"/>
        <v>4501.3323227351275</v>
      </c>
      <c r="AK14" s="34">
        <f t="shared" si="2"/>
        <v>3029.0844960419126</v>
      </c>
      <c r="AL14" s="34">
        <f t="shared" si="3"/>
        <v>35413.000856574465</v>
      </c>
    </row>
    <row r="15" spans="1:38" ht="16.5" thickBot="1" x14ac:dyDescent="0.3">
      <c r="K15" s="23">
        <v>8</v>
      </c>
      <c r="L15" s="23">
        <f>Data!J9</f>
        <v>51590</v>
      </c>
      <c r="M15" s="35">
        <f t="shared" si="7"/>
        <v>57290.18382352942</v>
      </c>
      <c r="N15" s="35">
        <f t="shared" si="8"/>
        <v>0.90050330714442006</v>
      </c>
      <c r="O15" s="35">
        <f t="shared" si="9"/>
        <v>57492.337575700345</v>
      </c>
      <c r="P15" s="35">
        <f t="shared" si="10"/>
        <v>1848.5027444202788</v>
      </c>
      <c r="Q15" s="41">
        <f t="shared" si="14"/>
        <v>0.84479080090914183</v>
      </c>
      <c r="R15" s="35">
        <f t="shared" si="11"/>
        <v>48543.879850777295</v>
      </c>
      <c r="S15" s="35">
        <f t="shared" si="12"/>
        <v>3046.1201492227046</v>
      </c>
      <c r="T15" s="35">
        <f t="shared" si="13"/>
        <v>9278847.9635005519</v>
      </c>
      <c r="U15" s="35">
        <f t="shared" si="6"/>
        <v>5.9044779011876418</v>
      </c>
      <c r="AB15" s="27"/>
      <c r="AF15">
        <v>10</v>
      </c>
      <c r="AG15" s="34">
        <f t="shared" si="5"/>
        <v>4376.3656538531877</v>
      </c>
      <c r="AH15" s="34">
        <f t="shared" si="2"/>
        <v>16101.267647845611</v>
      </c>
      <c r="AI15" s="34">
        <f t="shared" si="2"/>
        <v>26962.991089613988</v>
      </c>
      <c r="AJ15" s="34">
        <f t="shared" si="2"/>
        <v>7658.7598801413569</v>
      </c>
      <c r="AK15" s="34">
        <f t="shared" si="2"/>
        <v>5153.8142817563985</v>
      </c>
      <c r="AL15" s="34">
        <f t="shared" si="3"/>
        <v>60253.198553210539</v>
      </c>
    </row>
    <row r="16" spans="1:38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Data!J10</f>
        <v>35372</v>
      </c>
      <c r="M16" s="34">
        <f t="shared" si="7"/>
        <v>59078.705882352951</v>
      </c>
      <c r="N16" s="34">
        <f t="shared" si="8"/>
        <v>0.59872672347357159</v>
      </c>
      <c r="O16" s="34">
        <f t="shared" si="9"/>
        <v>59340.273790155181</v>
      </c>
      <c r="P16" s="34">
        <f t="shared" si="10"/>
        <v>1847.9362144548359</v>
      </c>
      <c r="Q16" s="33">
        <f t="shared" si="14"/>
        <v>0.59677282400342113</v>
      </c>
      <c r="R16" s="34">
        <f t="shared" si="11"/>
        <v>35413.000856574465</v>
      </c>
      <c r="S16" s="34">
        <f t="shared" si="12"/>
        <v>-41.000856574464706</v>
      </c>
      <c r="T16" s="34">
        <f t="shared" si="13"/>
        <v>1681.0702398398257</v>
      </c>
      <c r="U16" s="34">
        <f t="shared" si="6"/>
        <v>0.11591331158674857</v>
      </c>
      <c r="AB16" s="27"/>
      <c r="AF16">
        <v>11</v>
      </c>
      <c r="AG16" s="34">
        <f t="shared" si="5"/>
        <v>7200.6437677721533</v>
      </c>
      <c r="AH16" s="34">
        <f t="shared" si="2"/>
        <v>26492.185916780407</v>
      </c>
      <c r="AI16" s="34">
        <f t="shared" si="2"/>
        <v>44363.499100899891</v>
      </c>
      <c r="AJ16" s="34">
        <f t="shared" si="2"/>
        <v>12601.324012139617</v>
      </c>
      <c r="AK16" s="34">
        <f t="shared" si="2"/>
        <v>8479.8171870099559</v>
      </c>
      <c r="AL16" s="34">
        <f t="shared" si="3"/>
        <v>99137.469984602023</v>
      </c>
    </row>
    <row r="17" spans="1:38" ht="15.75" x14ac:dyDescent="0.25">
      <c r="A17" s="17" t="s">
        <v>19</v>
      </c>
      <c r="B17" s="21">
        <v>42982.007352941189</v>
      </c>
      <c r="C17" s="17">
        <v>12283.263777603519</v>
      </c>
      <c r="D17" s="17">
        <v>3.499233439186717</v>
      </c>
      <c r="E17" s="17">
        <v>3.2286054513754113E-3</v>
      </c>
      <c r="F17" s="17">
        <v>16800.850356177332</v>
      </c>
      <c r="G17" s="17">
        <v>69163.164349705039</v>
      </c>
      <c r="H17" s="17">
        <v>16800.850356177332</v>
      </c>
      <c r="I17" s="17">
        <v>69163.164349705039</v>
      </c>
      <c r="K17">
        <v>10</v>
      </c>
      <c r="L17">
        <f>Data!J11</f>
        <v>57840</v>
      </c>
      <c r="M17" s="34">
        <f t="shared" si="7"/>
        <v>60867.227941176476</v>
      </c>
      <c r="N17" s="34">
        <f t="shared" si="8"/>
        <v>0.95026505981014842</v>
      </c>
      <c r="O17" s="34">
        <f t="shared" si="9"/>
        <v>61168.002174025074</v>
      </c>
      <c r="P17" s="34">
        <f t="shared" si="10"/>
        <v>1827.7283838698932</v>
      </c>
      <c r="Q17" s="33">
        <f t="shared" si="14"/>
        <v>0.98471909128688306</v>
      </c>
      <c r="R17" s="34">
        <f t="shared" si="11"/>
        <v>60253.198553210539</v>
      </c>
      <c r="S17" s="34">
        <f t="shared" si="12"/>
        <v>-2413.1985532105391</v>
      </c>
      <c r="T17" s="34">
        <f t="shared" si="13"/>
        <v>5823527.2572174389</v>
      </c>
      <c r="U17" s="34">
        <f t="shared" si="6"/>
        <v>4.1721966687595762</v>
      </c>
      <c r="AB17" s="27"/>
      <c r="AF17" s="23">
        <v>12</v>
      </c>
      <c r="AG17" s="35">
        <f t="shared" si="5"/>
        <v>3973.8458643647814</v>
      </c>
      <c r="AH17" s="35">
        <f t="shared" si="2"/>
        <v>14620.340463801696</v>
      </c>
      <c r="AI17" s="35">
        <f t="shared" si="2"/>
        <v>24483.048060216181</v>
      </c>
      <c r="AJ17" s="35">
        <f t="shared" si="2"/>
        <v>6954.3392127360903</v>
      </c>
      <c r="AK17" s="35">
        <f t="shared" si="2"/>
        <v>4679.7880225638155</v>
      </c>
      <c r="AL17" s="35">
        <f t="shared" si="3"/>
        <v>54711.361623682562</v>
      </c>
    </row>
    <row r="18" spans="1:38" ht="15.75" thickBot="1" x14ac:dyDescent="0.3">
      <c r="A18" s="18" t="s">
        <v>32</v>
      </c>
      <c r="B18" s="22">
        <v>1788.5220588235288</v>
      </c>
      <c r="C18" s="18">
        <v>1198.7238016609347</v>
      </c>
      <c r="D18" s="18">
        <v>1.492021812151705</v>
      </c>
      <c r="E18" s="18">
        <v>0.15642462593093656</v>
      </c>
      <c r="F18" s="18">
        <v>-766.49724347835536</v>
      </c>
      <c r="G18" s="18">
        <v>4343.5413611254135</v>
      </c>
      <c r="H18" s="18">
        <v>-766.49724347835536</v>
      </c>
      <c r="I18" s="18">
        <v>4343.5413611254135</v>
      </c>
      <c r="K18">
        <v>11</v>
      </c>
      <c r="L18">
        <f>Data!J12</f>
        <v>93388</v>
      </c>
      <c r="M18" s="34">
        <f t="shared" si="7"/>
        <v>62655.750000000007</v>
      </c>
      <c r="N18" s="34">
        <f t="shared" si="8"/>
        <v>1.4904936897252046</v>
      </c>
      <c r="O18" s="34">
        <f t="shared" si="9"/>
        <v>62965.604653720191</v>
      </c>
      <c r="P18" s="34">
        <f t="shared" si="10"/>
        <v>1797.6024796951169</v>
      </c>
      <c r="Q18" s="33">
        <f t="shared" si="14"/>
        <v>1.573717283800554</v>
      </c>
      <c r="R18" s="34">
        <f t="shared" si="11"/>
        <v>99137.469984602023</v>
      </c>
      <c r="S18" s="34">
        <f t="shared" si="12"/>
        <v>-5749.469984602023</v>
      </c>
      <c r="T18" s="34">
        <f t="shared" si="13"/>
        <v>33056405.103839587</v>
      </c>
      <c r="U18" s="34">
        <f t="shared" si="6"/>
        <v>6.1565404383882543</v>
      </c>
      <c r="AF18">
        <v>13</v>
      </c>
      <c r="AG18" s="34">
        <f t="shared" si="5"/>
        <v>2888.6511264614919</v>
      </c>
      <c r="AH18" s="34">
        <f t="shared" si="2"/>
        <v>10627.755678380407</v>
      </c>
      <c r="AI18" s="34">
        <f t="shared" si="2"/>
        <v>17797.113117184119</v>
      </c>
      <c r="AJ18" s="34">
        <f t="shared" si="2"/>
        <v>5055.2186688490492</v>
      </c>
      <c r="AK18" s="34">
        <f t="shared" si="2"/>
        <v>3401.8115962182287</v>
      </c>
      <c r="AL18" s="34">
        <f t="shared" si="3"/>
        <v>39770.550187093293</v>
      </c>
    </row>
    <row r="19" spans="1:38" x14ac:dyDescent="0.25">
      <c r="K19" s="23">
        <v>12</v>
      </c>
      <c r="L19" s="23">
        <f>Data!J13</f>
        <v>58906</v>
      </c>
      <c r="M19" s="35">
        <f t="shared" si="7"/>
        <v>64444.272058823539</v>
      </c>
      <c r="N19" s="35">
        <f t="shared" si="8"/>
        <v>0.91406106575665391</v>
      </c>
      <c r="O19" s="35">
        <f t="shared" si="9"/>
        <v>64804.150574837033</v>
      </c>
      <c r="P19" s="35">
        <f t="shared" si="10"/>
        <v>1838.5459211168418</v>
      </c>
      <c r="Q19" s="41">
        <f t="shared" si="14"/>
        <v>0.84479080090914183</v>
      </c>
      <c r="R19" s="35">
        <f t="shared" si="11"/>
        <v>54711.361623682562</v>
      </c>
      <c r="S19" s="35">
        <f t="shared" si="12"/>
        <v>4194.6383763174381</v>
      </c>
      <c r="T19" s="35">
        <f t="shared" si="13"/>
        <v>17594991.108074993</v>
      </c>
      <c r="U19" s="35">
        <f t="shared" si="6"/>
        <v>7.1209017355064645</v>
      </c>
      <c r="AF19">
        <v>14</v>
      </c>
      <c r="AG19" s="34">
        <f t="shared" si="5"/>
        <v>4897.2173818582041</v>
      </c>
      <c r="AH19" s="34">
        <f t="shared" si="2"/>
        <v>18017.554754721117</v>
      </c>
      <c r="AI19" s="34">
        <f t="shared" si="2"/>
        <v>30171.98266207194</v>
      </c>
      <c r="AJ19" s="34">
        <f t="shared" si="2"/>
        <v>8570.2646842326067</v>
      </c>
      <c r="AK19" s="34">
        <f t="shared" si="2"/>
        <v>5767.1938041247558</v>
      </c>
      <c r="AL19" s="34">
        <f t="shared" si="3"/>
        <v>67424.213287008621</v>
      </c>
    </row>
    <row r="20" spans="1:38" x14ac:dyDescent="0.25">
      <c r="K20">
        <v>13</v>
      </c>
      <c r="L20">
        <f>Data!J14</f>
        <v>39382</v>
      </c>
      <c r="M20" s="34">
        <f t="shared" si="7"/>
        <v>66232.794117647063</v>
      </c>
      <c r="N20" s="34">
        <f t="shared" si="8"/>
        <v>0.59459970736018009</v>
      </c>
      <c r="O20" s="34">
        <f t="shared" si="9"/>
        <v>66637.327697776011</v>
      </c>
      <c r="P20" s="34">
        <f t="shared" si="10"/>
        <v>1833.1771229389778</v>
      </c>
      <c r="Q20" s="33">
        <f t="shared" si="14"/>
        <v>0.59677282400342113</v>
      </c>
      <c r="R20" s="34">
        <f t="shared" si="11"/>
        <v>39770.550187093293</v>
      </c>
      <c r="S20" s="34">
        <f t="shared" si="12"/>
        <v>-388.55018709329306</v>
      </c>
      <c r="T20" s="34">
        <f t="shared" si="13"/>
        <v>150971.24789023303</v>
      </c>
      <c r="U20" s="34">
        <f t="shared" si="6"/>
        <v>0.98661872706640863</v>
      </c>
      <c r="AF20">
        <v>15</v>
      </c>
      <c r="AG20" s="34">
        <f t="shared" si="5"/>
        <v>8050.8912928140289</v>
      </c>
      <c r="AH20" s="34">
        <f t="shared" si="2"/>
        <v>29620.366706601773</v>
      </c>
      <c r="AI20" s="34">
        <f t="shared" si="2"/>
        <v>49601.913405126477</v>
      </c>
      <c r="AJ20" s="34">
        <f t="shared" si="2"/>
        <v>14089.280492020778</v>
      </c>
      <c r="AK20" s="34">
        <f t="shared" si="2"/>
        <v>9481.1087115722803</v>
      </c>
      <c r="AL20" s="34">
        <f t="shared" si="3"/>
        <v>110843.56060813533</v>
      </c>
    </row>
    <row r="21" spans="1:38" x14ac:dyDescent="0.25">
      <c r="K21">
        <v>14</v>
      </c>
      <c r="L21">
        <f>Data!J15</f>
        <v>75219</v>
      </c>
      <c r="M21" s="34">
        <f t="shared" si="7"/>
        <v>68021.316176470602</v>
      </c>
      <c r="N21" s="34">
        <f t="shared" si="8"/>
        <v>1.1058151213195602</v>
      </c>
      <c r="O21" s="34">
        <f t="shared" si="9"/>
        <v>68535.777414688797</v>
      </c>
      <c r="P21" s="34">
        <f t="shared" si="10"/>
        <v>1898.4497169127862</v>
      </c>
      <c r="Q21" s="33">
        <f t="shared" si="14"/>
        <v>0.98471909128688306</v>
      </c>
      <c r="R21" s="34">
        <f t="shared" si="11"/>
        <v>67424.213287008621</v>
      </c>
      <c r="S21" s="34">
        <f t="shared" si="12"/>
        <v>7794.7867129913793</v>
      </c>
      <c r="T21" s="34">
        <f t="shared" si="13"/>
        <v>60758699.901026949</v>
      </c>
      <c r="U21" s="34">
        <f t="shared" si="6"/>
        <v>10.362789605008548</v>
      </c>
      <c r="AF21" s="23">
        <v>16</v>
      </c>
      <c r="AG21" s="35">
        <f t="shared" si="5"/>
        <v>4446.0376228687455</v>
      </c>
      <c r="AH21" s="35">
        <f t="shared" si="2"/>
        <v>16357.60066693057</v>
      </c>
      <c r="AI21" s="35">
        <f t="shared" si="2"/>
        <v>27392.243311285267</v>
      </c>
      <c r="AJ21" s="35">
        <f t="shared" si="2"/>
        <v>7780.6877361003308</v>
      </c>
      <c r="AK21" s="35">
        <f t="shared" si="2"/>
        <v>5235.8632733972872</v>
      </c>
      <c r="AL21" s="35">
        <f t="shared" si="3"/>
        <v>61212.432610582197</v>
      </c>
    </row>
    <row r="22" spans="1:38" x14ac:dyDescent="0.25">
      <c r="K22">
        <v>15</v>
      </c>
      <c r="L22">
        <f>Data!J16</f>
        <v>122868</v>
      </c>
      <c r="M22" s="34">
        <f t="shared" si="7"/>
        <v>69809.838235294126</v>
      </c>
      <c r="N22" s="34">
        <f t="shared" si="8"/>
        <v>1.7600384574144592</v>
      </c>
      <c r="O22" s="34">
        <f t="shared" si="9"/>
        <v>70497.232436411388</v>
      </c>
      <c r="P22" s="34">
        <f t="shared" si="10"/>
        <v>1961.4550217225915</v>
      </c>
      <c r="Q22" s="33">
        <f t="shared" si="14"/>
        <v>1.573717283800554</v>
      </c>
      <c r="R22" s="34">
        <f t="shared" si="11"/>
        <v>110843.56060813533</v>
      </c>
      <c r="S22" s="34">
        <f t="shared" si="12"/>
        <v>12024.439391864667</v>
      </c>
      <c r="T22" s="34">
        <f t="shared" si="13"/>
        <v>144587142.68862674</v>
      </c>
      <c r="U22" s="34">
        <f t="shared" si="6"/>
        <v>9.7864695379306799</v>
      </c>
      <c r="AF22">
        <v>17</v>
      </c>
      <c r="AG22" s="34">
        <f t="shared" si="5"/>
        <v>3220.5070429906218</v>
      </c>
      <c r="AH22" s="34">
        <f t="shared" si="5"/>
        <v>11848.700488568309</v>
      </c>
      <c r="AI22" s="34">
        <f t="shared" si="5"/>
        <v>19841.692758862933</v>
      </c>
      <c r="AJ22" s="34">
        <f t="shared" si="5"/>
        <v>5635.9756211990152</v>
      </c>
      <c r="AK22" s="34">
        <f t="shared" si="5"/>
        <v>3792.6207509759738</v>
      </c>
      <c r="AL22" s="34">
        <f t="shared" si="3"/>
        <v>44339.496662596852</v>
      </c>
    </row>
    <row r="23" spans="1:38" x14ac:dyDescent="0.25">
      <c r="G23" s="43"/>
      <c r="K23" s="23">
        <v>16</v>
      </c>
      <c r="L23" s="23">
        <f>Data!J17</f>
        <v>54996</v>
      </c>
      <c r="M23" s="35">
        <f t="shared" si="7"/>
        <v>71598.36029411765</v>
      </c>
      <c r="N23" s="35">
        <f t="shared" si="8"/>
        <v>0.76811814927161592</v>
      </c>
      <c r="O23" s="35">
        <f t="shared" si="9"/>
        <v>72398.009487446339</v>
      </c>
      <c r="P23" s="35">
        <f t="shared" si="10"/>
        <v>1900.777051034951</v>
      </c>
      <c r="Q23" s="41">
        <f t="shared" si="14"/>
        <v>0.84479080090914183</v>
      </c>
      <c r="R23" s="35">
        <f t="shared" si="11"/>
        <v>61212.432610582197</v>
      </c>
      <c r="S23" s="35">
        <f t="shared" si="12"/>
        <v>-6216.4326105821965</v>
      </c>
      <c r="T23" s="35">
        <f t="shared" si="13"/>
        <v>38644034.401909783</v>
      </c>
      <c r="U23" s="35">
        <f t="shared" si="6"/>
        <v>11.303426813917733</v>
      </c>
      <c r="AF23">
        <v>18</v>
      </c>
      <c r="AG23" s="34">
        <f t="shared" si="5"/>
        <v>5457.5724221539904</v>
      </c>
      <c r="AH23" s="34">
        <f t="shared" si="5"/>
        <v>20079.180129574775</v>
      </c>
      <c r="AI23" s="34">
        <f t="shared" si="5"/>
        <v>33624.3559675824</v>
      </c>
      <c r="AJ23" s="34">
        <f t="shared" si="5"/>
        <v>9550.9013678867213</v>
      </c>
      <c r="AK23" s="34">
        <f t="shared" si="5"/>
        <v>6427.0942873003069</v>
      </c>
      <c r="AL23" s="34">
        <f t="shared" si="3"/>
        <v>75139.104174498192</v>
      </c>
    </row>
    <row r="24" spans="1:38" x14ac:dyDescent="0.25">
      <c r="K24">
        <v>17</v>
      </c>
      <c r="L24">
        <f>Data!J18</f>
        <v>48159</v>
      </c>
      <c r="M24" s="34">
        <f>$B$17+$B$18*K24</f>
        <v>73386.882352941175</v>
      </c>
      <c r="N24" s="34">
        <f>L24/M24</f>
        <v>0.65623444484789317</v>
      </c>
      <c r="O24" s="34">
        <f>$G$4*(L24/Q20)+((1-$G$4)*(O23+P23))</f>
        <v>74351.562584509229</v>
      </c>
      <c r="P24" s="34">
        <f>$H$4*(O24-O23)+((1-$H$4)*P23)</f>
        <v>1953.5530970628897</v>
      </c>
      <c r="Q24" s="33">
        <f>$I$4*(L24/O24)+((1-$I$4)*Q20)</f>
        <v>0.59677282400342113</v>
      </c>
      <c r="R24" s="34">
        <f>SUM(O23:P23)*Q20</f>
        <v>44339.496662596852</v>
      </c>
      <c r="S24" s="34">
        <f t="shared" si="12"/>
        <v>3819.5033374031482</v>
      </c>
      <c r="T24" s="34">
        <f t="shared" si="13"/>
        <v>14588605.744433787</v>
      </c>
      <c r="U24" s="34">
        <f t="shared" si="6"/>
        <v>7.9310270923464943</v>
      </c>
      <c r="AF24">
        <v>19</v>
      </c>
      <c r="AG24" s="34">
        <f t="shared" ref="AG24:AK25" si="15">$AL24*AG$4</f>
        <v>8945.253759651825</v>
      </c>
      <c r="AH24" s="34">
        <f t="shared" si="15"/>
        <v>32910.852601002291</v>
      </c>
      <c r="AI24" s="34">
        <f t="shared" si="15"/>
        <v>55112.121904958025</v>
      </c>
      <c r="AJ24" s="34">
        <f t="shared" si="15"/>
        <v>15654.439329534896</v>
      </c>
      <c r="AK24" s="34">
        <f t="shared" si="15"/>
        <v>10534.352069013672</v>
      </c>
      <c r="AL24" s="34">
        <f t="shared" si="3"/>
        <v>123157.0196641607</v>
      </c>
    </row>
    <row r="25" spans="1:38" x14ac:dyDescent="0.25">
      <c r="K25">
        <v>18</v>
      </c>
      <c r="M25" s="34"/>
      <c r="N25" s="34"/>
      <c r="O25" s="34"/>
      <c r="P25" s="34"/>
      <c r="Q25" s="33"/>
      <c r="R25" s="47">
        <f t="shared" ref="R25" si="16">SUM(O24:P24)*Q21</f>
        <v>75139.104174498192</v>
      </c>
      <c r="S25" s="34"/>
      <c r="T25" s="34"/>
      <c r="U25" s="34"/>
      <c r="AF25">
        <v>20</v>
      </c>
      <c r="AG25" s="34">
        <f t="shared" si="15"/>
        <v>4921.791558525043</v>
      </c>
      <c r="AH25" s="34">
        <f t="shared" si="15"/>
        <v>18107.966623160366</v>
      </c>
      <c r="AI25" s="34">
        <f t="shared" si="15"/>
        <v>30323.385300450478</v>
      </c>
      <c r="AJ25" s="34">
        <f t="shared" si="15"/>
        <v>8613.2701671446175</v>
      </c>
      <c r="AK25" s="34">
        <f t="shared" si="15"/>
        <v>5796.1335117921099</v>
      </c>
      <c r="AL25" s="34">
        <f t="shared" si="3"/>
        <v>67762.547161072609</v>
      </c>
    </row>
    <row r="26" spans="1:38" x14ac:dyDescent="0.25">
      <c r="K26">
        <v>19</v>
      </c>
      <c r="M26" s="34"/>
      <c r="N26" s="34"/>
      <c r="O26" s="34"/>
      <c r="P26" s="34"/>
      <c r="Q26" s="33"/>
      <c r="R26" s="47">
        <f>($O$24+($P$24*2))*Q22</f>
        <v>123157.0196641607</v>
      </c>
      <c r="S26" s="34"/>
      <c r="T26" s="34"/>
      <c r="U26" s="34"/>
    </row>
    <row r="27" spans="1:38" x14ac:dyDescent="0.25">
      <c r="K27">
        <v>20</v>
      </c>
      <c r="M27" s="34"/>
      <c r="N27" s="34"/>
      <c r="O27" s="34"/>
      <c r="P27" s="34"/>
      <c r="Q27" s="33"/>
      <c r="R27" s="47">
        <f>($O$24+($P$24*3))*Q23</f>
        <v>67762.547161072609</v>
      </c>
      <c r="S27" s="34"/>
      <c r="T27" s="34"/>
      <c r="U27" s="34"/>
      <c r="AF27" s="49" t="s">
        <v>56</v>
      </c>
      <c r="AG27" s="45">
        <f>AVERAGE(AG47:AG63)</f>
        <v>33.033406042176395</v>
      </c>
      <c r="AH27" s="45">
        <f>AVERAGE(AH47:AH63)</f>
        <v>14.118475010792187</v>
      </c>
      <c r="AI27" s="45">
        <f t="shared" ref="AI27:AK27" si="17">AVERAGE(AI47:AI63)</f>
        <v>21.797691358485036</v>
      </c>
      <c r="AJ27" s="45">
        <f t="shared" si="17"/>
        <v>100.80645222743094</v>
      </c>
      <c r="AK27" s="45">
        <f t="shared" si="17"/>
        <v>27.536172132501889</v>
      </c>
      <c r="AL27" s="34"/>
    </row>
    <row r="29" spans="1:38" ht="15.75" x14ac:dyDescent="0.25">
      <c r="K29" s="37" t="s">
        <v>53</v>
      </c>
      <c r="L29" s="36">
        <f>W10</f>
        <v>4.3806904919392649</v>
      </c>
      <c r="M29" s="34"/>
      <c r="N29" s="37" t="s">
        <v>54</v>
      </c>
      <c r="O29" s="36">
        <f>W10</f>
        <v>4.3806904919392649</v>
      </c>
      <c r="P29" s="34"/>
      <c r="Q29" s="37" t="s">
        <v>55</v>
      </c>
      <c r="R29" s="36">
        <f>W10</f>
        <v>4.3806904919392649</v>
      </c>
      <c r="AF29" s="57" t="s">
        <v>51</v>
      </c>
      <c r="AG29" s="34">
        <f>Data!E2-AG6</f>
        <v>167.40565106900522</v>
      </c>
      <c r="AH29" s="34">
        <f>Data!F2-AH6</f>
        <v>-423.72082760588364</v>
      </c>
      <c r="AI29" s="34">
        <f>Data!G2-AI6</f>
        <v>-1268.0914871710065</v>
      </c>
      <c r="AJ29" s="34">
        <f>Data!H2-AJ6</f>
        <v>3761.9066845029374</v>
      </c>
      <c r="AK29" s="34">
        <f>Data!I2-AK6</f>
        <v>-1443.3352899821098</v>
      </c>
    </row>
    <row r="30" spans="1:38" x14ac:dyDescent="0.25">
      <c r="K30" s="39">
        <v>0</v>
      </c>
      <c r="L30" s="34">
        <f t="dataTable" ref="L30:L50" dt2D="0" dtr="0" r1="G4" ca="1"/>
        <v>4.4267830699170272</v>
      </c>
      <c r="M30" s="34"/>
      <c r="N30" s="39">
        <v>0</v>
      </c>
      <c r="O30" s="34">
        <f t="dataTable" ref="O30:O50" dt2D="0" dtr="0" r1="H4"/>
        <v>4.4220345074843825</v>
      </c>
      <c r="P30" s="34"/>
      <c r="Q30" s="39">
        <v>0</v>
      </c>
      <c r="R30" s="34">
        <f t="dataTable" ref="R30:R50" dt2D="0" dtr="0" r1="I4" ca="1"/>
        <v>4.3806904919392649</v>
      </c>
      <c r="AF30" s="57"/>
      <c r="AG30" s="34">
        <f>Data!E3-AG7</f>
        <v>-815.6137339634729</v>
      </c>
      <c r="AH30" s="34">
        <f>Data!F3-AH7</f>
        <v>-747.47770471459989</v>
      </c>
      <c r="AI30" s="34">
        <f>Data!G3-AI7</f>
        <v>1161.7737821789851</v>
      </c>
      <c r="AJ30" s="34">
        <f>Data!H3-AJ7</f>
        <v>1203.5846234096771</v>
      </c>
      <c r="AK30" s="34">
        <f>Data!I3-AK7</f>
        <v>-873.46522239951764</v>
      </c>
    </row>
    <row r="31" spans="1:38" x14ac:dyDescent="0.25">
      <c r="K31" s="39">
        <v>0.05</v>
      </c>
      <c r="L31" s="34">
        <v>4.5169969598427882</v>
      </c>
      <c r="M31" s="34"/>
      <c r="N31" s="39">
        <v>0.05</v>
      </c>
      <c r="O31" s="34">
        <v>4.4189132104012545</v>
      </c>
      <c r="P31" s="34"/>
      <c r="Q31" s="39">
        <v>0.05</v>
      </c>
      <c r="R31" s="34">
        <v>4.4418989897465222</v>
      </c>
      <c r="AF31" s="57"/>
      <c r="AG31" s="34">
        <f>Data!E4-AG8</f>
        <v>-2575.9321252873233</v>
      </c>
      <c r="AH31" s="34">
        <f>Data!F4-AH8</f>
        <v>-1907.4017022723528</v>
      </c>
      <c r="AI31" s="34">
        <f>Data!G4-AI8</f>
        <v>6743.8325566069834</v>
      </c>
      <c r="AJ31" s="34">
        <f>Data!H4-AJ8</f>
        <v>-651.53283224084225</v>
      </c>
      <c r="AK31" s="34">
        <f>Data!I4-AK8</f>
        <v>-776.30848120658629</v>
      </c>
    </row>
    <row r="32" spans="1:38" x14ac:dyDescent="0.25">
      <c r="K32" s="39">
        <v>0.1</v>
      </c>
      <c r="L32" s="34">
        <v>4.6983955443415688</v>
      </c>
      <c r="M32" s="34"/>
      <c r="N32" s="39">
        <v>0.1</v>
      </c>
      <c r="O32" s="34">
        <v>4.4158335786225544</v>
      </c>
      <c r="P32" s="34"/>
      <c r="Q32" s="39">
        <v>0.1</v>
      </c>
      <c r="R32" s="34">
        <v>4.4994554313048409</v>
      </c>
      <c r="AF32" s="57"/>
      <c r="AG32" s="34">
        <f>Data!E5-AG9</f>
        <v>-855.45079683146241</v>
      </c>
      <c r="AH32" s="34">
        <f>Data!F5-AH9</f>
        <v>-873.73462683567413</v>
      </c>
      <c r="AI32" s="34">
        <f>Data!G5-AI9</f>
        <v>537.36129400744176</v>
      </c>
      <c r="AJ32" s="34">
        <f>Data!H5-AJ9</f>
        <v>1864.8766768889991</v>
      </c>
      <c r="AK32" s="34">
        <f>Data!I5-AK9</f>
        <v>787.49372699182413</v>
      </c>
    </row>
    <row r="33" spans="11:37" x14ac:dyDescent="0.25">
      <c r="K33" s="39">
        <v>0.15</v>
      </c>
      <c r="L33" s="34">
        <v>4.8179718360930988</v>
      </c>
      <c r="M33" s="34"/>
      <c r="N33" s="39">
        <v>0.15</v>
      </c>
      <c r="O33" s="34">
        <v>4.4127951849066207</v>
      </c>
      <c r="P33" s="34"/>
      <c r="Q33" s="39">
        <v>0.15</v>
      </c>
      <c r="R33" s="34">
        <v>4.5533878366050251</v>
      </c>
      <c r="AF33" s="57"/>
      <c r="AG33" s="34">
        <f>Data!E6-AG10</f>
        <v>-466.76889796258047</v>
      </c>
      <c r="AH33" s="34">
        <f>Data!F6-AH10</f>
        <v>1168.3866117153975</v>
      </c>
      <c r="AI33" s="34">
        <f>Data!G6-AI10</f>
        <v>-4067.7354063814</v>
      </c>
      <c r="AJ33" s="34">
        <f>Data!H6-AJ10</f>
        <v>3022.0926100400147</v>
      </c>
      <c r="AK33" s="34">
        <f>Data!I6-AK10</f>
        <v>-119.32203374008077</v>
      </c>
    </row>
    <row r="34" spans="11:37" x14ac:dyDescent="0.25">
      <c r="K34" s="39">
        <v>0.2</v>
      </c>
      <c r="L34" s="34">
        <v>4.941285038301559</v>
      </c>
      <c r="M34" s="34"/>
      <c r="N34" s="39">
        <v>0.2</v>
      </c>
      <c r="O34" s="34">
        <v>4.4097976053172587</v>
      </c>
      <c r="P34" s="34"/>
      <c r="Q34" s="39">
        <v>0.2</v>
      </c>
      <c r="R34" s="34">
        <v>4.603746613032996</v>
      </c>
      <c r="AF34" s="57"/>
      <c r="AG34" s="34">
        <f>Data!E7-AG11</f>
        <v>-1337.613251384671</v>
      </c>
      <c r="AH34" s="34">
        <f>Data!F7-AH11</f>
        <v>-1221.2711258173822</v>
      </c>
      <c r="AI34" s="34">
        <f>Data!G7-AI11</f>
        <v>-1869.6451890294593</v>
      </c>
      <c r="AJ34" s="34">
        <f>Data!H7-AJ11</f>
        <v>2419.0712660385689</v>
      </c>
      <c r="AK34" s="34">
        <f>Data!I7-AK11</f>
        <v>2206.5141527293017</v>
      </c>
    </row>
    <row r="35" spans="11:37" x14ac:dyDescent="0.25">
      <c r="K35" s="39">
        <v>0.25</v>
      </c>
      <c r="L35" s="34">
        <v>5.1117292956714442</v>
      </c>
      <c r="M35" s="34"/>
      <c r="N35" s="39">
        <v>0.25</v>
      </c>
      <c r="O35" s="34">
        <v>4.4068404192040722</v>
      </c>
      <c r="P35" s="34"/>
      <c r="Q35" s="39">
        <v>0.25</v>
      </c>
      <c r="R35" s="34">
        <v>4.6506045581108166</v>
      </c>
      <c r="AF35" s="57"/>
      <c r="AG35" s="34">
        <f>Data!E8-AG12</f>
        <v>-2819.608799750692</v>
      </c>
      <c r="AH35" s="34">
        <f>Data!F8-AH12</f>
        <v>-1757.8994260279833</v>
      </c>
      <c r="AI35" s="34">
        <f>Data!G8-AI12</f>
        <v>9754.1562136761495</v>
      </c>
      <c r="AJ35" s="34">
        <f>Data!H8-AJ12</f>
        <v>-2995.4897596229239</v>
      </c>
      <c r="AK35" s="34">
        <f>Data!I8-AK12</f>
        <v>-1035.3748034241189</v>
      </c>
    </row>
    <row r="36" spans="11:37" x14ac:dyDescent="0.25">
      <c r="K36" s="39">
        <v>0.3</v>
      </c>
      <c r="L36" s="34">
        <v>5.3019026706382739</v>
      </c>
      <c r="M36" s="34"/>
      <c r="N36" s="39">
        <v>0.3</v>
      </c>
      <c r="O36" s="34">
        <v>4.403923209182814</v>
      </c>
      <c r="P36" s="34"/>
      <c r="Q36" s="39">
        <v>0.3</v>
      </c>
      <c r="R36" s="34">
        <v>4.6940568690548208</v>
      </c>
      <c r="AF36" s="57"/>
      <c r="AG36" s="34">
        <f>Data!E9-AG13</f>
        <v>140.11633598001617</v>
      </c>
      <c r="AH36" s="34">
        <f>Data!F9-AH13</f>
        <v>-1322.2242289256355</v>
      </c>
      <c r="AI36" s="34">
        <f>Data!G9-AI13</f>
        <v>2916.8677630300299</v>
      </c>
      <c r="AJ36" s="34">
        <f>Data!H9-AJ13</f>
        <v>787.60691955289894</v>
      </c>
      <c r="AK36" s="34">
        <f>Data!I9-AK13</f>
        <v>523.75335958539381</v>
      </c>
    </row>
    <row r="37" spans="11:37" x14ac:dyDescent="0.25">
      <c r="K37" s="39">
        <v>0.35</v>
      </c>
      <c r="L37" s="34">
        <v>5.4984430745690513</v>
      </c>
      <c r="M37" s="34"/>
      <c r="N37" s="39">
        <v>0.35</v>
      </c>
      <c r="O37" s="34">
        <v>4.4010455611160593</v>
      </c>
      <c r="P37" s="34"/>
      <c r="Q37" s="39">
        <v>0.35</v>
      </c>
      <c r="R37" s="34">
        <v>4.7342211587096648</v>
      </c>
      <c r="AF37" s="57"/>
      <c r="AG37" s="34">
        <f>Data!E10-AG14</f>
        <v>973.85039848597353</v>
      </c>
      <c r="AH37" s="34">
        <f>Data!F10-AH14</f>
        <v>1806.6981555088078</v>
      </c>
      <c r="AI37" s="34">
        <f>Data!G10-AI14</f>
        <v>-3447.1325917922077</v>
      </c>
      <c r="AJ37" s="34">
        <f>Data!H10-AJ14</f>
        <v>706.66767726487251</v>
      </c>
      <c r="AK37" s="34">
        <f>Data!I10-AK14</f>
        <v>-81.084496041912644</v>
      </c>
    </row>
    <row r="38" spans="11:37" x14ac:dyDescent="0.25">
      <c r="K38" s="39">
        <v>0.4</v>
      </c>
      <c r="L38" s="34">
        <v>5.7056267082659176</v>
      </c>
      <c r="M38" s="34"/>
      <c r="N38" s="39">
        <v>0.4</v>
      </c>
      <c r="O38" s="34">
        <v>4.3982070640936559</v>
      </c>
      <c r="P38" s="34"/>
      <c r="Q38" s="39">
        <v>0.4</v>
      </c>
      <c r="R38" s="34">
        <v>4.7712374774110149</v>
      </c>
      <c r="AF38" s="57"/>
      <c r="AG38" s="34">
        <f>Data!E11-AG15</f>
        <v>1219.6343461468123</v>
      </c>
      <c r="AH38" s="34">
        <f>Data!F11-AH15</f>
        <v>-779.26764784561055</v>
      </c>
      <c r="AI38" s="34">
        <f>Data!G11-AI15</f>
        <v>-3270.9910896139882</v>
      </c>
      <c r="AJ38" s="34">
        <f>Data!H11-AJ15</f>
        <v>-852.75988014135692</v>
      </c>
      <c r="AK38" s="34">
        <f>Data!I11-AK15</f>
        <v>1270.1857182436015</v>
      </c>
    </row>
    <row r="39" spans="11:37" x14ac:dyDescent="0.25">
      <c r="K39" s="39">
        <v>0.45</v>
      </c>
      <c r="L39" s="34">
        <v>6.0195167968477659</v>
      </c>
      <c r="M39" s="34"/>
      <c r="N39" s="39">
        <v>0.45</v>
      </c>
      <c r="O39" s="34">
        <v>4.3954073104135238</v>
      </c>
      <c r="P39" s="34"/>
      <c r="Q39" s="39">
        <v>0.45</v>
      </c>
      <c r="R39" s="34">
        <v>4.8052683403204579</v>
      </c>
      <c r="AF39" s="57"/>
      <c r="AG39" s="34">
        <f>Data!E12-AG16</f>
        <v>-1252.6437677721533</v>
      </c>
      <c r="AH39" s="34">
        <f>Data!F12-AH16</f>
        <v>-7068.1859167804068</v>
      </c>
      <c r="AI39" s="34">
        <f>Data!G12-AI16</f>
        <v>3540.5008991001087</v>
      </c>
      <c r="AJ39" s="34">
        <f>Data!H12-AJ16</f>
        <v>-2155.3240121396175</v>
      </c>
      <c r="AK39" s="34">
        <f>Data!I12-AK16</f>
        <v>1186.1828129900441</v>
      </c>
    </row>
    <row r="40" spans="11:37" x14ac:dyDescent="0.25">
      <c r="K40" s="39">
        <v>0.5</v>
      </c>
      <c r="L40" s="34">
        <v>6.3426752610576047</v>
      </c>
      <c r="M40" s="34"/>
      <c r="N40" s="39">
        <v>0.5</v>
      </c>
      <c r="O40" s="34">
        <v>4.3926458955624028</v>
      </c>
      <c r="P40" s="34"/>
      <c r="Q40" s="39">
        <v>0.5</v>
      </c>
      <c r="R40" s="34">
        <v>4.8364987597633018</v>
      </c>
      <c r="AF40" s="57"/>
      <c r="AG40" s="34">
        <f>Data!E13-AG17</f>
        <v>918.15413563521861</v>
      </c>
      <c r="AH40" s="34">
        <f>Data!F13-AH17</f>
        <v>-1310.3404638016964</v>
      </c>
      <c r="AI40" s="34">
        <f>Data!G13-AI17</f>
        <v>2506.9519397838194</v>
      </c>
      <c r="AJ40" s="34">
        <f>Data!H13-AJ17</f>
        <v>1005.6607872639097</v>
      </c>
      <c r="AK40" s="34">
        <f>Data!I13-AK17</f>
        <v>1074.2119774361845</v>
      </c>
    </row>
    <row r="41" spans="11:37" x14ac:dyDescent="0.25">
      <c r="K41" s="39">
        <v>0.55000000000000004</v>
      </c>
      <c r="L41" s="34">
        <v>6.6361314575131098</v>
      </c>
      <c r="M41" s="34"/>
      <c r="N41" s="39">
        <v>0.55000000000000004</v>
      </c>
      <c r="O41" s="34">
        <v>4.3899224181967593</v>
      </c>
      <c r="P41" s="34"/>
      <c r="Q41" s="39">
        <v>0.55000000000000004</v>
      </c>
      <c r="R41" s="34">
        <v>4.8720872125209143</v>
      </c>
      <c r="AF41" s="57"/>
      <c r="AG41" s="34">
        <f>Data!E14-AG18</f>
        <v>1422.3488735385081</v>
      </c>
      <c r="AH41" s="34">
        <f>Data!F14-AH18</f>
        <v>-413.75567838040661</v>
      </c>
      <c r="AI41" s="34">
        <f>Data!G14-AI18</f>
        <v>-3946.1131171841189</v>
      </c>
      <c r="AJ41" s="34">
        <f>Data!H14-AJ18</f>
        <v>2341.7813311509508</v>
      </c>
      <c r="AK41" s="34">
        <f>Data!I14-AK18</f>
        <v>207.18840378177129</v>
      </c>
    </row>
    <row r="42" spans="11:37" x14ac:dyDescent="0.25">
      <c r="K42" s="39">
        <v>0.6</v>
      </c>
      <c r="L42" s="34">
        <v>6.9356088642173921</v>
      </c>
      <c r="M42" s="34"/>
      <c r="N42" s="39">
        <v>0.6</v>
      </c>
      <c r="O42" s="34">
        <v>4.3872364801237351</v>
      </c>
      <c r="P42" s="34"/>
      <c r="Q42" s="39">
        <v>0.6</v>
      </c>
      <c r="R42" s="34">
        <v>4.9105371987057378</v>
      </c>
      <c r="AF42" s="57"/>
      <c r="AG42" s="34">
        <f>Data!E15-AG19</f>
        <v>1739.7826181417959</v>
      </c>
      <c r="AH42" s="34">
        <f>Data!F15-AH19</f>
        <v>2965.4452452788828</v>
      </c>
      <c r="AI42" s="34">
        <f>Data!G15-AI19</f>
        <v>1335.0173379280604</v>
      </c>
      <c r="AJ42" s="34">
        <f>Data!H15-AJ19</f>
        <v>472.73531576739333</v>
      </c>
      <c r="AK42" s="34">
        <f>Data!I15-AK19</f>
        <v>1281.8061958752442</v>
      </c>
    </row>
    <row r="43" spans="11:37" x14ac:dyDescent="0.25">
      <c r="K43" s="39">
        <v>0.65</v>
      </c>
      <c r="L43" s="34">
        <v>7.3179887756727053</v>
      </c>
      <c r="M43" s="34"/>
      <c r="N43" s="39">
        <v>0.65</v>
      </c>
      <c r="O43" s="34">
        <v>4.3849076673518033</v>
      </c>
      <c r="P43" s="34"/>
      <c r="Q43" s="39">
        <v>0.65</v>
      </c>
      <c r="R43" s="34">
        <v>4.9485927938873377</v>
      </c>
      <c r="AF43" s="57"/>
      <c r="AG43" s="34">
        <f>Data!E16-AG20</f>
        <v>-227.89129281402893</v>
      </c>
      <c r="AH43" s="34">
        <f>Data!F16-AH20</f>
        <v>-2128.3667066017733</v>
      </c>
      <c r="AI43" s="34">
        <f>Data!G16-AI20</f>
        <v>17042.086594873523</v>
      </c>
      <c r="AJ43" s="34">
        <f>Data!H16-AJ20</f>
        <v>-2856.2804920207782</v>
      </c>
      <c r="AK43" s="34">
        <f>Data!I16-AK20</f>
        <v>194.8912884277197</v>
      </c>
    </row>
    <row r="44" spans="11:37" x14ac:dyDescent="0.25">
      <c r="K44" s="39">
        <v>0.7</v>
      </c>
      <c r="L44" s="34">
        <v>7.6868295700521001</v>
      </c>
      <c r="M44" s="34"/>
      <c r="N44" s="39">
        <v>0.7</v>
      </c>
      <c r="O44" s="34">
        <v>4.384227813594717</v>
      </c>
      <c r="P44" s="34"/>
      <c r="Q44" s="39">
        <v>0.7</v>
      </c>
      <c r="R44" s="34">
        <v>4.9865290374038773</v>
      </c>
      <c r="AF44" s="57"/>
      <c r="AG44" s="34">
        <f>Data!E17-AG21</f>
        <v>2205.9623771312545</v>
      </c>
      <c r="AH44" s="34">
        <f>Data!F17-AH21</f>
        <v>3177.3993330694302</v>
      </c>
      <c r="AI44" s="34">
        <f>Data!G17-AI21</f>
        <v>-10055.243311285267</v>
      </c>
      <c r="AJ44" s="34">
        <f>Data!H17-AJ21</f>
        <v>-284.68773610033077</v>
      </c>
      <c r="AK44" s="34">
        <f>Data!I17-AK21</f>
        <v>-1259.8632733972872</v>
      </c>
    </row>
    <row r="45" spans="11:37" x14ac:dyDescent="0.25">
      <c r="K45" s="39">
        <v>0.75</v>
      </c>
      <c r="L45" s="34">
        <v>8.048141715859785</v>
      </c>
      <c r="M45" s="34"/>
      <c r="N45" s="39">
        <v>0.75</v>
      </c>
      <c r="O45" s="34">
        <v>4.3835743459419918</v>
      </c>
      <c r="P45" s="34"/>
      <c r="Q45" s="39">
        <v>0.75</v>
      </c>
      <c r="R45" s="34">
        <v>5.0246436871376412</v>
      </c>
      <c r="AF45" s="57"/>
      <c r="AG45" s="34">
        <f>Data!E18-AG22</f>
        <v>3014.4929570093782</v>
      </c>
      <c r="AH45" s="34">
        <f>Data!F18-AH22</f>
        <v>16171.299511431691</v>
      </c>
      <c r="AI45" s="34">
        <f>Data!G18-AI22</f>
        <v>-8678.6927588629333</v>
      </c>
      <c r="AJ45" s="34">
        <f>Data!H18-AJ22</f>
        <v>-5251.9756211990152</v>
      </c>
      <c r="AK45" s="34">
        <f>Data!I18-AK22</f>
        <v>-1435.6207509759738</v>
      </c>
    </row>
    <row r="46" spans="11:37" x14ac:dyDescent="0.25">
      <c r="K46" s="39">
        <v>0.8</v>
      </c>
      <c r="L46" s="34">
        <v>8.4043429857669576</v>
      </c>
      <c r="M46" s="34"/>
      <c r="N46" s="39">
        <v>0.8</v>
      </c>
      <c r="O46" s="34">
        <v>4.3829469097721985</v>
      </c>
      <c r="P46" s="34"/>
      <c r="Q46" s="39">
        <v>0.8</v>
      </c>
      <c r="R46" s="34">
        <v>5.0632572712335886</v>
      </c>
      <c r="AG46" s="34"/>
    </row>
    <row r="47" spans="11:37" x14ac:dyDescent="0.25">
      <c r="K47" s="39">
        <v>0.85</v>
      </c>
      <c r="L47" s="34">
        <v>8.7532876656405509</v>
      </c>
      <c r="M47" s="34"/>
      <c r="N47" s="39">
        <v>0.85</v>
      </c>
      <c r="O47" s="34">
        <v>4.3823451534590934</v>
      </c>
      <c r="P47" s="34"/>
      <c r="Q47" s="39">
        <v>0.85</v>
      </c>
      <c r="R47" s="34">
        <v>5.1027131411964106</v>
      </c>
      <c r="AF47" s="57" t="s">
        <v>52</v>
      </c>
      <c r="AG47" s="34">
        <f>ABS(AG29/Data!E2)*100</f>
        <v>7.9414445478655225</v>
      </c>
      <c r="AH47" s="34">
        <f>ABS(AH29/Data!F2)*100</f>
        <v>6.3091248899029733</v>
      </c>
      <c r="AI47" s="34">
        <f>ABS(AI29/Data!G2)*100</f>
        <v>11.864628435357471</v>
      </c>
      <c r="AJ47" s="34">
        <f>ABS(AJ29/Data!H2)*100</f>
        <v>52.555276397079318</v>
      </c>
      <c r="AK47" s="34">
        <f>ABS(AK29/Data!I2)*100</f>
        <v>171.41749287198454</v>
      </c>
    </row>
    <row r="48" spans="11:37" x14ac:dyDescent="0.25">
      <c r="K48" s="39">
        <v>0.9</v>
      </c>
      <c r="L48" s="34">
        <v>9.0883019907605131</v>
      </c>
      <c r="M48" s="34"/>
      <c r="N48" s="39">
        <v>0.9</v>
      </c>
      <c r="O48" s="34">
        <v>4.3817687283532143</v>
      </c>
      <c r="P48" s="34"/>
      <c r="Q48" s="39">
        <v>0.9</v>
      </c>
      <c r="R48" s="34">
        <v>5.1433775258416103</v>
      </c>
      <c r="AF48" s="57"/>
      <c r="AG48" s="34">
        <f>ABS(AG30/Data!E3)*100</f>
        <v>32.417080046242965</v>
      </c>
      <c r="AH48" s="34">
        <f>ABS(AH30/Data!F3)*100</f>
        <v>6.4941590331416155</v>
      </c>
      <c r="AI48" s="34">
        <f>ABS(AI30/Data!G3)*100</f>
        <v>5.3567584940012223</v>
      </c>
      <c r="AJ48" s="34">
        <f>ABS(AJ30/Data!H3)*100</f>
        <v>17.110955692489011</v>
      </c>
      <c r="AK48" s="34">
        <f>ABS(AK30/Data!I3)*100</f>
        <v>28.638204013098939</v>
      </c>
    </row>
    <row r="49" spans="11:37" x14ac:dyDescent="0.25">
      <c r="K49" s="39">
        <v>0.95</v>
      </c>
      <c r="L49" s="34">
        <v>9.5033185068210937</v>
      </c>
      <c r="M49" s="34"/>
      <c r="N49" s="39">
        <v>0.95</v>
      </c>
      <c r="O49" s="34">
        <v>4.3812172887635201</v>
      </c>
      <c r="P49" s="34"/>
      <c r="Q49" s="39">
        <v>0.95</v>
      </c>
      <c r="R49" s="34">
        <v>5.1856395855973547</v>
      </c>
      <c r="AF49" s="57"/>
      <c r="AG49" s="34">
        <f>ABS(AG31/Data!E4)*100</f>
        <v>87.201493747031932</v>
      </c>
      <c r="AH49" s="34">
        <f>ABS(AH31/Data!F4)*100</f>
        <v>10.344949030655998</v>
      </c>
      <c r="AI49" s="34">
        <f>ABS(AI31/Data!G4)*100</f>
        <v>16.523331593587944</v>
      </c>
      <c r="AJ49" s="34">
        <f>ABS(AJ31/Data!H4)*100</f>
        <v>7.2184005344653466</v>
      </c>
      <c r="AK49" s="34">
        <f>ABS(AK31/Data!I4)*100</f>
        <v>13.533969337632257</v>
      </c>
    </row>
    <row r="50" spans="11:37" x14ac:dyDescent="0.25">
      <c r="K50" s="39">
        <v>1</v>
      </c>
      <c r="L50" s="34">
        <v>10.013408735014977</v>
      </c>
      <c r="M50" s="34"/>
      <c r="N50" s="39">
        <v>1</v>
      </c>
      <c r="O50" s="34">
        <v>4.3806904919392649</v>
      </c>
      <c r="P50" s="34"/>
      <c r="Q50" s="39">
        <v>1</v>
      </c>
      <c r="R50" s="34">
        <v>5.2299114666846052</v>
      </c>
      <c r="AF50" s="57"/>
      <c r="AG50" s="34">
        <f>ABS(AG32/Data!E5)*100</f>
        <v>38.464514246018993</v>
      </c>
      <c r="AH50" s="34">
        <f>ABS(AH32/Data!F5)*100</f>
        <v>8.3562990324758424</v>
      </c>
      <c r="AI50" s="34">
        <f>ABS(AI32/Data!G5)*100</f>
        <v>2.7542864890181535</v>
      </c>
      <c r="AJ50" s="34">
        <f>ABS(AJ32/Data!H5)*100</f>
        <v>25.708253058850278</v>
      </c>
      <c r="AK50" s="34">
        <f>ABS(AK32/Data!I5)*100</f>
        <v>17.840818463793028</v>
      </c>
    </row>
    <row r="51" spans="11:37" x14ac:dyDescent="0.25">
      <c r="AF51" s="57"/>
      <c r="AG51" s="34">
        <f>ABS(AG33/Data!E6)*100</f>
        <v>26.105643062784146</v>
      </c>
      <c r="AH51" s="34">
        <f>ABS(AH33/Data!F6)*100</f>
        <v>12.345589726494056</v>
      </c>
      <c r="AI51" s="34">
        <f>ABS(AI33/Data!G6)*100</f>
        <v>41.406101449322072</v>
      </c>
      <c r="AJ51" s="34">
        <f>ABS(AJ33/Data!H6)*100</f>
        <v>43.371019087830291</v>
      </c>
      <c r="AK51" s="34">
        <f>ABS(AK33/Data!I6)*100</f>
        <v>4.7051275134101251</v>
      </c>
    </row>
    <row r="52" spans="11:37" x14ac:dyDescent="0.25">
      <c r="AF52" s="57"/>
      <c r="AG52" s="34">
        <f>ABS(AG34/Data!E7)*100</f>
        <v>53.248935166587216</v>
      </c>
      <c r="AH52" s="34">
        <f>ABS(AH34/Data!F7)*100</f>
        <v>9.4364945589351112</v>
      </c>
      <c r="AI52" s="34">
        <f>ABS(AI34/Data!G7)*100</f>
        <v>8.557511850189762</v>
      </c>
      <c r="AJ52" s="34">
        <f>ABS(AJ34/Data!H7)*100</f>
        <v>26.420612342055144</v>
      </c>
      <c r="AK52" s="34">
        <f>ABS(AK34/Data!I7)*100</f>
        <v>32.737598705182521</v>
      </c>
    </row>
    <row r="53" spans="11:37" x14ac:dyDescent="0.25">
      <c r="AF53" s="57"/>
      <c r="AG53" s="34">
        <f>ABS(AG35/Data!E8)*100</f>
        <v>79.649966094652314</v>
      </c>
      <c r="AH53" s="34">
        <f>ABS(AH35/Data!F8)*100</f>
        <v>8.1233799724028799</v>
      </c>
      <c r="AI53" s="34">
        <f>ABS(AI35/Data!G8)*100</f>
        <v>19.932475506122589</v>
      </c>
      <c r="AJ53" s="34">
        <f>ABS(AJ35/Data!H8)*100</f>
        <v>36.826773538516399</v>
      </c>
      <c r="AK53" s="34">
        <f>ABS(AK35/Data!I8)*100</f>
        <v>16.042373774777175</v>
      </c>
    </row>
    <row r="54" spans="11:37" x14ac:dyDescent="0.25">
      <c r="AF54" s="57"/>
      <c r="AG54" s="34">
        <f>ABS(AG36/Data!E9)*100</f>
        <v>3.8220495357342106</v>
      </c>
      <c r="AH54" s="34">
        <f>ABS(AH36/Data!F9)*100</f>
        <v>11.349564196786572</v>
      </c>
      <c r="AI54" s="34">
        <f>ABS(AI36/Data!G9)*100</f>
        <v>11.837937349959537</v>
      </c>
      <c r="AJ54" s="34">
        <f>ABS(AJ36/Data!H9)*100</f>
        <v>11.319444086704497</v>
      </c>
      <c r="AK54" s="34">
        <f>ABS(AK36/Data!I9)*100</f>
        <v>11.200884507814239</v>
      </c>
    </row>
    <row r="55" spans="11:37" x14ac:dyDescent="0.25">
      <c r="AF55" s="57"/>
      <c r="AG55" s="34">
        <f>ABS(AG37/Data!E10)*100</f>
        <v>27.463350211110367</v>
      </c>
      <c r="AH55" s="34">
        <f>ABS(AH37/Data!F10)*100</f>
        <v>16.031039534239643</v>
      </c>
      <c r="AI55" s="34">
        <f>ABS(AI37/Data!G10)*100</f>
        <v>27.799456385421028</v>
      </c>
      <c r="AJ55" s="34">
        <f>ABS(AJ37/Data!H10)*100</f>
        <v>13.568887812305539</v>
      </c>
      <c r="AK55" s="34">
        <f>ABS(AK37/Data!I10)*100</f>
        <v>2.7504917246239025</v>
      </c>
    </row>
    <row r="56" spans="11:37" x14ac:dyDescent="0.25">
      <c r="AF56" s="57"/>
      <c r="AG56" s="34">
        <f>ABS(AG38/Data!E11)*100</f>
        <v>21.794752432930885</v>
      </c>
      <c r="AH56" s="34">
        <f>ABS(AH38/Data!F11)*100</f>
        <v>5.0859394846991943</v>
      </c>
      <c r="AI56" s="34">
        <f>ABS(AI38/Data!G11)*100</f>
        <v>13.806310525130797</v>
      </c>
      <c r="AJ56" s="34">
        <f>ABS(AJ38/Data!H11)*100</f>
        <v>12.529531004133954</v>
      </c>
      <c r="AK56" s="34">
        <f>ABS(AK38/Data!I11)*100</f>
        <v>19.772504953978853</v>
      </c>
    </row>
    <row r="57" spans="11:37" x14ac:dyDescent="0.25">
      <c r="AF57" s="57"/>
      <c r="AG57" s="34">
        <f>ABS(AG39/Data!E12)*100</f>
        <v>21.059915396303854</v>
      </c>
      <c r="AH57" s="34">
        <f>ABS(AH39/Data!F12)*100</f>
        <v>36.388930790673427</v>
      </c>
      <c r="AI57" s="34">
        <f>ABS(AI39/Data!G12)*100</f>
        <v>7.3908251901722375</v>
      </c>
      <c r="AJ57" s="34">
        <f>ABS(AJ39/Data!H12)*100</f>
        <v>20.633007966107769</v>
      </c>
      <c r="AK57" s="34">
        <f>ABS(AK39/Data!I12)*100</f>
        <v>12.271703010449453</v>
      </c>
    </row>
    <row r="58" spans="11:37" x14ac:dyDescent="0.25">
      <c r="AF58" s="57"/>
      <c r="AG58" s="34">
        <f>ABS(AG40/Data!E13)*100</f>
        <v>18.768481922224421</v>
      </c>
      <c r="AH58" s="34">
        <f>ABS(AH40/Data!F13)*100</f>
        <v>9.8447818467445263</v>
      </c>
      <c r="AI58" s="34">
        <f>ABS(AI40/Data!G13)*100</f>
        <v>9.2884473500697275</v>
      </c>
      <c r="AJ58" s="34">
        <f>ABS(AJ40/Data!H13)*100</f>
        <v>12.633929488240073</v>
      </c>
      <c r="AK58" s="34">
        <f>ABS(AK40/Data!I13)*100</f>
        <v>18.668960330833933</v>
      </c>
    </row>
    <row r="59" spans="11:37" x14ac:dyDescent="0.25">
      <c r="AF59" s="57"/>
      <c r="AG59" s="34">
        <f>ABS(AG41/Data!E14)*100</f>
        <v>32.993478857307082</v>
      </c>
      <c r="AH59" s="34">
        <f>ABS(AH41/Data!F14)*100</f>
        <v>4.0508682042334696</v>
      </c>
      <c r="AI59" s="34">
        <f>ABS(AI41/Data!G14)*100</f>
        <v>28.489734439275999</v>
      </c>
      <c r="AJ59" s="34">
        <f>ABS(AJ41/Data!H14)*100</f>
        <v>31.658528202662577</v>
      </c>
      <c r="AK59" s="34">
        <f>ABS(AK41/Data!I14)*100</f>
        <v>5.7408812352942995</v>
      </c>
    </row>
    <row r="60" spans="11:37" x14ac:dyDescent="0.25">
      <c r="AF60" s="57"/>
      <c r="AG60" s="34">
        <f>ABS(AG42/Data!E15)*100</f>
        <v>26.213388852520652</v>
      </c>
      <c r="AH60" s="34">
        <f>ABS(AH42/Data!F15)*100</f>
        <v>14.132608517747142</v>
      </c>
      <c r="AI60" s="34">
        <f>ABS(AI42/Data!G15)*100</f>
        <v>4.2372086772084305</v>
      </c>
      <c r="AJ60" s="34">
        <f>ABS(AJ42/Data!H15)*100</f>
        <v>5.2276381263672826</v>
      </c>
      <c r="AK60" s="34">
        <f>ABS(AK42/Data!I15)*100</f>
        <v>18.184227491491615</v>
      </c>
    </row>
    <row r="61" spans="11:37" x14ac:dyDescent="0.25">
      <c r="AF61" s="57"/>
      <c r="AG61" s="34">
        <f>ABS(AG43/Data!E16)*100</f>
        <v>2.9130933505564225</v>
      </c>
      <c r="AH61" s="34">
        <f>ABS(AH43/Data!F16)*100</f>
        <v>7.7417674472638334</v>
      </c>
      <c r="AI61" s="34">
        <f>ABS(AI43/Data!G16)*100</f>
        <v>25.571824312576556</v>
      </c>
      <c r="AJ61" s="34">
        <f>ABS(AJ43/Data!H16)*100</f>
        <v>25.427583833533145</v>
      </c>
      <c r="AK61" s="34">
        <f>ABS(AK43/Data!I16)*100</f>
        <v>2.014172058988422</v>
      </c>
    </row>
    <row r="62" spans="11:37" x14ac:dyDescent="0.25">
      <c r="AF62" s="57"/>
      <c r="AG62" s="34">
        <f>ABS(AG44/Data!E17)*100</f>
        <v>33.162392921395892</v>
      </c>
      <c r="AH62" s="34">
        <f>ABS(AH44/Data!F17)*100</f>
        <v>16.265161674274022</v>
      </c>
      <c r="AI62" s="34">
        <f>ABS(AI44/Data!G17)*100</f>
        <v>57.998750137193667</v>
      </c>
      <c r="AJ62" s="34">
        <f>ABS(AJ44/Data!H17)*100</f>
        <v>3.7978620077418728</v>
      </c>
      <c r="AK62" s="34">
        <f>ABS(AK44/Data!I17)*100</f>
        <v>31.686702047215476</v>
      </c>
    </row>
    <row r="63" spans="11:37" x14ac:dyDescent="0.25">
      <c r="AF63" s="57"/>
      <c r="AG63" s="34">
        <f>ABS(AG45/Data!E18)*100</f>
        <v>48.347922325731808</v>
      </c>
      <c r="AH63" s="34">
        <f>ABS(AH45/Data!F18)*100</f>
        <v>57.713417242796893</v>
      </c>
      <c r="AI63" s="34">
        <f>ABS(AI45/Data!G18)*100</f>
        <v>77.74516490963839</v>
      </c>
      <c r="AJ63" s="34">
        <f>ABS(AJ45/Data!H18)*100</f>
        <v>1367.7019846872436</v>
      </c>
      <c r="AK63" s="34">
        <f>ABS(AK45/Data!I18)*100</f>
        <v>60.908814211963247</v>
      </c>
    </row>
    <row r="64" spans="11:37" x14ac:dyDescent="0.25">
      <c r="AG64" s="34"/>
    </row>
    <row r="65" spans="33:33" x14ac:dyDescent="0.25">
      <c r="AG65" s="34"/>
    </row>
    <row r="66" spans="33:33" x14ac:dyDescent="0.25">
      <c r="AG66" s="34"/>
    </row>
    <row r="67" spans="33:33" x14ac:dyDescent="0.25">
      <c r="AG67" s="34"/>
    </row>
    <row r="68" spans="33:33" x14ac:dyDescent="0.25">
      <c r="AG68" s="34"/>
    </row>
    <row r="69" spans="33:33" x14ac:dyDescent="0.25">
      <c r="AG69" s="34"/>
    </row>
    <row r="70" spans="33:33" x14ac:dyDescent="0.25">
      <c r="AG70" s="34"/>
    </row>
    <row r="71" spans="33:33" x14ac:dyDescent="0.25">
      <c r="AG71" s="34"/>
    </row>
    <row r="72" spans="33:33" x14ac:dyDescent="0.25">
      <c r="AG72" s="34"/>
    </row>
    <row r="73" spans="33:33" x14ac:dyDescent="0.25">
      <c r="AG73" s="34"/>
    </row>
    <row r="74" spans="33:33" x14ac:dyDescent="0.25">
      <c r="AG74" s="34"/>
    </row>
    <row r="75" spans="33:33" x14ac:dyDescent="0.25">
      <c r="AG75" s="34"/>
    </row>
    <row r="76" spans="33:33" x14ac:dyDescent="0.25">
      <c r="AG76" s="34"/>
    </row>
    <row r="77" spans="33:33" x14ac:dyDescent="0.25">
      <c r="AG77" s="34"/>
    </row>
    <row r="78" spans="33:33" x14ac:dyDescent="0.25">
      <c r="AG78" s="34"/>
    </row>
    <row r="79" spans="33:33" x14ac:dyDescent="0.25">
      <c r="AG79" s="34"/>
    </row>
    <row r="80" spans="33:33" x14ac:dyDescent="0.25">
      <c r="AG80" s="34"/>
    </row>
    <row r="81" spans="33:33" x14ac:dyDescent="0.25">
      <c r="AG81" s="34"/>
    </row>
  </sheetData>
  <mergeCells count="4">
    <mergeCell ref="AA3:AB3"/>
    <mergeCell ref="AF3:AL3"/>
    <mergeCell ref="AF29:AF45"/>
    <mergeCell ref="AF47:AF6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</sheetPr>
  <dimension ref="A1:AA50"/>
  <sheetViews>
    <sheetView zoomScale="70" zoomScaleNormal="70" workbookViewId="0">
      <selection activeCell="I6" sqref="I6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  <col min="11" max="11" width="12.140625" bestFit="1" customWidth="1"/>
    <col min="12" max="12" width="6.4257812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9.28515625" bestFit="1" customWidth="1"/>
    <col min="19" max="19" width="10.7109375" bestFit="1" customWidth="1"/>
    <col min="20" max="20" width="6.85546875" bestFit="1" customWidth="1"/>
    <col min="22" max="22" width="8.28515625" bestFit="1" customWidth="1"/>
    <col min="23" max="23" width="9.7109375" bestFit="1" customWidth="1"/>
    <col min="26" max="26" width="3.42578125" bestFit="1" customWidth="1"/>
    <col min="27" max="27" width="12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0.89938229511283052</v>
      </c>
      <c r="G4" s="46">
        <v>0.48320763198417049</v>
      </c>
      <c r="H4" s="46">
        <v>0</v>
      </c>
      <c r="I4" s="46">
        <v>0</v>
      </c>
      <c r="K4">
        <v>-3</v>
      </c>
      <c r="Q4" s="31">
        <f>AA6</f>
        <v>0.863804714829982</v>
      </c>
      <c r="V4" s="40">
        <f>AVERAGE(N8,N12,N16,N20,N24)</f>
        <v>0.8816877664443632</v>
      </c>
      <c r="W4" s="40">
        <f>AVERAGE(V4:V7)</f>
        <v>1.0207026557129883</v>
      </c>
      <c r="X4" s="40">
        <f>V4/$W$4</f>
        <v>0.863804714829982</v>
      </c>
      <c r="Z4" s="24" t="s">
        <v>40</v>
      </c>
      <c r="AA4" s="28">
        <f>B17</f>
        <v>1264.0367647058833</v>
      </c>
    </row>
    <row r="5" spans="1:27" ht="18.75" x14ac:dyDescent="0.35">
      <c r="A5" s="17" t="s">
        <v>12</v>
      </c>
      <c r="B5" s="17">
        <v>0.80888851276242257</v>
      </c>
      <c r="K5">
        <v>-2</v>
      </c>
      <c r="Q5" s="31">
        <f t="shared" ref="Q5:Q7" si="0">AA7</f>
        <v>1.0740204115666152</v>
      </c>
      <c r="V5" s="40">
        <f>AVERAGE(N9,N13,N17,N21)</f>
        <v>1.0962554863760008</v>
      </c>
      <c r="W5" s="40"/>
      <c r="X5" s="40">
        <f t="shared" ref="X5:X7" si="1">V5/$W$4</f>
        <v>1.0740204115666152</v>
      </c>
      <c r="Z5" s="25" t="s">
        <v>41</v>
      </c>
      <c r="AA5" s="29">
        <f>B18</f>
        <v>336.33578431372536</v>
      </c>
    </row>
    <row r="6" spans="1:27" ht="18.75" x14ac:dyDescent="0.35">
      <c r="A6" s="17" t="s">
        <v>13</v>
      </c>
      <c r="B6" s="17">
        <v>0.79614774694658408</v>
      </c>
      <c r="K6">
        <v>-1</v>
      </c>
      <c r="Q6" s="31">
        <f t="shared" si="0"/>
        <v>1.1551277236375255</v>
      </c>
      <c r="V6" s="40">
        <f>AVERAGE(N10,N14,N18,N22)</f>
        <v>1.1790419352045212</v>
      </c>
      <c r="W6" s="40"/>
      <c r="X6" s="40">
        <f t="shared" si="1"/>
        <v>1.1551277236375255</v>
      </c>
      <c r="Z6" s="26" t="s">
        <v>42</v>
      </c>
      <c r="AA6" s="30">
        <f>X4</f>
        <v>0.863804714829982</v>
      </c>
    </row>
    <row r="7" spans="1:27" ht="18.75" x14ac:dyDescent="0.35">
      <c r="A7" s="17" t="s">
        <v>14</v>
      </c>
      <c r="B7" s="17">
        <v>852.62211007086808</v>
      </c>
      <c r="K7">
        <v>0</v>
      </c>
      <c r="O7" s="31">
        <f>AA4</f>
        <v>1264.0367647058833</v>
      </c>
      <c r="P7" s="31">
        <f>AA5</f>
        <v>336.33578431372536</v>
      </c>
      <c r="Q7" s="31">
        <f t="shared" si="0"/>
        <v>0.90704714996587721</v>
      </c>
      <c r="V7" s="40">
        <f>AVERAGE(N11,N15,N19,N23)</f>
        <v>0.92582543482706803</v>
      </c>
      <c r="W7" s="40"/>
      <c r="X7" s="40">
        <f t="shared" si="1"/>
        <v>0.90704714996587721</v>
      </c>
      <c r="Z7" s="26" t="s">
        <v>43</v>
      </c>
      <c r="AA7" s="30">
        <f t="shared" ref="AA7:AA9" si="2">X5</f>
        <v>1.0740204115666152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Data!E2</f>
        <v>2108</v>
      </c>
      <c r="M8" s="34">
        <f>$B$17+$B$18*K8</f>
        <v>1600.3725490196086</v>
      </c>
      <c r="N8" s="34">
        <f>L8/M8</f>
        <v>1.3171933005795213</v>
      </c>
      <c r="O8" s="34">
        <f>$G$4*(L8/Q4)+((1-$G$4)*(O7+P7))</f>
        <v>2006.2639873841645</v>
      </c>
      <c r="P8" s="34">
        <f>$H$4*(O8-O7)+((1-$H$4)*P7)</f>
        <v>336.33578431372536</v>
      </c>
      <c r="Q8" s="33">
        <f>$I$4*(L8/O8)+((1-$I$4)*Q4)</f>
        <v>0.863804714829982</v>
      </c>
      <c r="R8" s="34">
        <f>SUM(O7:P7)*Q4</f>
        <v>1382.4093533276143</v>
      </c>
      <c r="S8" s="34">
        <f>L8-R8</f>
        <v>725.59064667238567</v>
      </c>
      <c r="T8" s="34">
        <f>ABS(S8/L8)*100</f>
        <v>34.420808665672951</v>
      </c>
      <c r="Z8" s="26" t="s">
        <v>44</v>
      </c>
      <c r="AA8" s="30">
        <f t="shared" si="2"/>
        <v>1.1551277236375255</v>
      </c>
    </row>
    <row r="9" spans="1:27" ht="18.75" x14ac:dyDescent="0.35">
      <c r="K9">
        <v>2</v>
      </c>
      <c r="L9">
        <f>Data!E3</f>
        <v>2516</v>
      </c>
      <c r="M9" s="34">
        <f t="shared" ref="M9:M23" si="3">$B$17+$B$18*K9</f>
        <v>1936.7083333333339</v>
      </c>
      <c r="N9" s="34">
        <f t="shared" ref="N9:N23" si="4">L9/M9</f>
        <v>1.299111464899636</v>
      </c>
      <c r="O9" s="34">
        <f t="shared" ref="O9:O23" si="5">$G$4*(L9/Q5)+((1-$G$4)*(O8+P8))</f>
        <v>2342.5997847744698</v>
      </c>
      <c r="P9" s="34">
        <f t="shared" ref="P9:P23" si="6">$H$4*(O9-O8)+((1-$H$4)*P8)</f>
        <v>336.33578431372536</v>
      </c>
      <c r="Q9" s="33">
        <f>$I$4*(L9/O9)+((1-$I$4)*Q5)</f>
        <v>1.0740204115666152</v>
      </c>
      <c r="R9" s="34">
        <f t="shared" ref="R9:R23" si="7">SUM(O8:P8)*Q5</f>
        <v>2515.9999709348267</v>
      </c>
      <c r="S9" s="34">
        <f t="shared" ref="S9:S24" si="8">L9-R9</f>
        <v>2.9065173293929547E-5</v>
      </c>
      <c r="T9" s="34">
        <f t="shared" ref="T9:T24" si="9">ABS(S9/L9)*100</f>
        <v>1.1552135649415559E-6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0.90704714996587721</v>
      </c>
    </row>
    <row r="10" spans="1:27" ht="16.5" thickBot="1" x14ac:dyDescent="0.3">
      <c r="A10" t="s">
        <v>16</v>
      </c>
      <c r="K10">
        <v>3</v>
      </c>
      <c r="L10">
        <f>Data!E4</f>
        <v>2954</v>
      </c>
      <c r="M10" s="34">
        <f t="shared" si="3"/>
        <v>2273.0441176470595</v>
      </c>
      <c r="N10" s="34">
        <f t="shared" si="4"/>
        <v>1.2995788234228518</v>
      </c>
      <c r="O10" s="34">
        <f t="shared" si="5"/>
        <v>2620.1569338600216</v>
      </c>
      <c r="P10" s="34">
        <f t="shared" si="6"/>
        <v>336.33578431372536</v>
      </c>
      <c r="Q10" s="33">
        <f t="shared" ref="Q10:Q23" si="10">$I$4*(L10/O10)+((1-$I$4)*Q6)</f>
        <v>1.1551277236375255</v>
      </c>
      <c r="R10" s="34">
        <f t="shared" si="7"/>
        <v>3094.5127456924461</v>
      </c>
      <c r="S10" s="34">
        <f t="shared" si="8"/>
        <v>-140.51274569244606</v>
      </c>
      <c r="T10" s="34">
        <f t="shared" si="9"/>
        <v>4.7566941669751541</v>
      </c>
      <c r="V10" s="34">
        <f>AVERAGE(T8:T24)</f>
        <v>12.391944674299106</v>
      </c>
      <c r="W10" s="34">
        <f>SUMPRODUCT(ABS(S8:S24))/17</f>
        <v>405.3848125455512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Data!E5</f>
        <v>2224</v>
      </c>
      <c r="M11" s="35">
        <f t="shared" si="3"/>
        <v>2609.379901960785</v>
      </c>
      <c r="N11" s="35">
        <f t="shared" si="4"/>
        <v>0.85230977609998593</v>
      </c>
      <c r="O11" s="35">
        <f t="shared" si="5"/>
        <v>2712.675575237753</v>
      </c>
      <c r="P11" s="35">
        <f t="shared" si="6"/>
        <v>336.33578431372536</v>
      </c>
      <c r="Q11" s="41">
        <f t="shared" si="10"/>
        <v>0.90704714996587721</v>
      </c>
      <c r="R11" s="35">
        <f t="shared" si="7"/>
        <v>2681.6782939143668</v>
      </c>
      <c r="S11" s="35">
        <f t="shared" si="8"/>
        <v>-457.6782939143668</v>
      </c>
      <c r="T11" s="35">
        <f t="shared" si="9"/>
        <v>20.579059978163976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46153678.00245098</v>
      </c>
      <c r="D12" s="17">
        <v>46153678.00245098</v>
      </c>
      <c r="E12" s="17">
        <v>63.488217620079368</v>
      </c>
      <c r="F12" s="17">
        <v>9.0470357370202423E-7</v>
      </c>
      <c r="K12">
        <v>5</v>
      </c>
      <c r="L12">
        <f>Data!E6</f>
        <v>1788</v>
      </c>
      <c r="M12" s="34">
        <f t="shared" si="3"/>
        <v>2945.7156862745101</v>
      </c>
      <c r="N12" s="34">
        <f t="shared" si="4"/>
        <v>0.60698322255984927</v>
      </c>
      <c r="O12" s="34">
        <f t="shared" si="5"/>
        <v>2575.9032192563564</v>
      </c>
      <c r="P12" s="34">
        <f t="shared" si="6"/>
        <v>336.33578431372536</v>
      </c>
      <c r="Q12" s="33">
        <f t="shared" si="10"/>
        <v>0.863804714829982</v>
      </c>
      <c r="R12" s="34">
        <f t="shared" si="7"/>
        <v>2633.7503879507408</v>
      </c>
      <c r="S12" s="34">
        <f t="shared" si="8"/>
        <v>-845.75038795074079</v>
      </c>
      <c r="T12" s="34">
        <f t="shared" si="9"/>
        <v>47.301475836171186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10904466.938725492</v>
      </c>
      <c r="D13" s="17">
        <v>726964.46258169948</v>
      </c>
      <c r="E13" s="17"/>
      <c r="F13" s="17"/>
      <c r="K13">
        <v>6</v>
      </c>
      <c r="L13">
        <f>Data!E7</f>
        <v>2512</v>
      </c>
      <c r="M13" s="34">
        <f t="shared" si="3"/>
        <v>3282.0514705882356</v>
      </c>
      <c r="N13" s="34">
        <f t="shared" si="4"/>
        <v>0.76537495603314809</v>
      </c>
      <c r="O13" s="34">
        <f t="shared" si="5"/>
        <v>2635.185370545516</v>
      </c>
      <c r="P13" s="34">
        <f t="shared" si="6"/>
        <v>336.33578431372536</v>
      </c>
      <c r="Q13" s="33">
        <f t="shared" si="10"/>
        <v>1.0740204115666152</v>
      </c>
      <c r="R13" s="34">
        <f t="shared" si="7"/>
        <v>3127.8041331946888</v>
      </c>
      <c r="S13" s="34">
        <f t="shared" si="8"/>
        <v>-615.8041331946888</v>
      </c>
      <c r="T13" s="34">
        <f t="shared" si="9"/>
        <v>24.514495748196211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57058144.941176474</v>
      </c>
      <c r="D14" s="18"/>
      <c r="E14" s="18"/>
      <c r="F14" s="18"/>
      <c r="K14">
        <v>7</v>
      </c>
      <c r="L14">
        <f>Data!E8</f>
        <v>3540</v>
      </c>
      <c r="M14" s="34">
        <f t="shared" si="3"/>
        <v>3618.3872549019607</v>
      </c>
      <c r="N14" s="34">
        <f t="shared" si="4"/>
        <v>0.97833641084276801</v>
      </c>
      <c r="O14" s="34">
        <f t="shared" si="5"/>
        <v>3016.4957134758988</v>
      </c>
      <c r="P14" s="34">
        <f t="shared" si="6"/>
        <v>336.33578431372536</v>
      </c>
      <c r="Q14" s="33">
        <f t="shared" si="10"/>
        <v>1.1551277236375255</v>
      </c>
      <c r="R14" s="34">
        <f t="shared" si="7"/>
        <v>3432.4864673533066</v>
      </c>
      <c r="S14" s="34">
        <f t="shared" si="8"/>
        <v>107.51353264669342</v>
      </c>
      <c r="T14" s="34">
        <f t="shared" si="9"/>
        <v>3.0371054419969892</v>
      </c>
      <c r="AA14" s="27"/>
    </row>
    <row r="15" spans="1:27" ht="16.5" thickBot="1" x14ac:dyDescent="0.3">
      <c r="K15" s="23">
        <v>8</v>
      </c>
      <c r="L15" s="23">
        <f>Data!E9</f>
        <v>3666</v>
      </c>
      <c r="M15" s="35">
        <f t="shared" si="3"/>
        <v>3954.7230392156862</v>
      </c>
      <c r="N15" s="35">
        <f t="shared" si="4"/>
        <v>0.92699285478334115</v>
      </c>
      <c r="O15" s="35">
        <f t="shared" si="5"/>
        <v>3685.6913745193247</v>
      </c>
      <c r="P15" s="35">
        <f t="shared" si="6"/>
        <v>336.33578431372536</v>
      </c>
      <c r="Q15" s="41">
        <f t="shared" si="10"/>
        <v>0.90704714996587721</v>
      </c>
      <c r="R15" s="35">
        <f t="shared" si="7"/>
        <v>3041.1762543859022</v>
      </c>
      <c r="S15" s="35">
        <f t="shared" si="8"/>
        <v>624.82374561409779</v>
      </c>
      <c r="T15" s="35">
        <f t="shared" si="9"/>
        <v>17.043746470651875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Data!E10</f>
        <v>3546</v>
      </c>
      <c r="M16" s="34">
        <f t="shared" si="3"/>
        <v>4291.0588235294117</v>
      </c>
      <c r="N16" s="34">
        <f t="shared" si="4"/>
        <v>0.82636946866260896</v>
      </c>
      <c r="O16" s="34">
        <f t="shared" si="5"/>
        <v>4062.1659410471475</v>
      </c>
      <c r="P16" s="34">
        <f t="shared" si="6"/>
        <v>336.33578431372536</v>
      </c>
      <c r="Q16" s="33">
        <f t="shared" si="10"/>
        <v>0.863804714829982</v>
      </c>
      <c r="R16" s="34">
        <f t="shared" si="7"/>
        <v>3474.2460229742255</v>
      </c>
      <c r="S16" s="34">
        <f t="shared" si="8"/>
        <v>71.753977025774475</v>
      </c>
      <c r="T16" s="34">
        <f t="shared" si="9"/>
        <v>2.0235188106535387</v>
      </c>
      <c r="AA16" s="27"/>
    </row>
    <row r="17" spans="1:27" ht="15.75" x14ac:dyDescent="0.25">
      <c r="A17" s="17" t="s">
        <v>19</v>
      </c>
      <c r="B17" s="21">
        <v>1264.0367647058833</v>
      </c>
      <c r="C17" s="17">
        <v>432.53490330396761</v>
      </c>
      <c r="D17" s="17">
        <v>2.9223925168822058</v>
      </c>
      <c r="E17" s="17">
        <v>1.0506342557919103E-2</v>
      </c>
      <c r="F17" s="17">
        <v>342.11044161990071</v>
      </c>
      <c r="G17" s="17">
        <v>2185.9630877918662</v>
      </c>
      <c r="H17" s="17">
        <v>342.11044161990071</v>
      </c>
      <c r="I17" s="17">
        <v>2185.9630877918662</v>
      </c>
      <c r="K17">
        <v>10</v>
      </c>
      <c r="L17">
        <f>Data!E11</f>
        <v>5596</v>
      </c>
      <c r="M17" s="34">
        <f t="shared" si="3"/>
        <v>4627.3946078431363</v>
      </c>
      <c r="N17" s="34">
        <f t="shared" si="4"/>
        <v>1.2093198169257362</v>
      </c>
      <c r="O17" s="34">
        <f t="shared" si="5"/>
        <v>4790.7829966508943</v>
      </c>
      <c r="P17" s="34">
        <f t="shared" si="6"/>
        <v>336.33578431372536</v>
      </c>
      <c r="Q17" s="33">
        <f t="shared" si="10"/>
        <v>1.0740204115666152</v>
      </c>
      <c r="R17" s="34">
        <f t="shared" si="7"/>
        <v>4724.0806333485516</v>
      </c>
      <c r="S17" s="34">
        <f t="shared" si="8"/>
        <v>871.9193666514484</v>
      </c>
      <c r="T17" s="34">
        <f t="shared" si="9"/>
        <v>15.581118060247471</v>
      </c>
      <c r="AA17" s="27"/>
    </row>
    <row r="18" spans="1:27" ht="15.75" thickBot="1" x14ac:dyDescent="0.3">
      <c r="A18" s="18" t="s">
        <v>32</v>
      </c>
      <c r="B18" s="22">
        <v>336.33578431372536</v>
      </c>
      <c r="C18" s="18">
        <v>42.211084368712868</v>
      </c>
      <c r="D18" s="18">
        <v>7.9679493986896874</v>
      </c>
      <c r="E18" s="18">
        <v>9.0470357370202582E-7</v>
      </c>
      <c r="F18" s="18">
        <v>246.36498771844703</v>
      </c>
      <c r="G18" s="18">
        <v>426.30658090900369</v>
      </c>
      <c r="H18" s="18">
        <v>246.36498771844703</v>
      </c>
      <c r="I18" s="18">
        <v>426.30658090900369</v>
      </c>
      <c r="K18">
        <v>11</v>
      </c>
      <c r="L18">
        <f>Data!E12</f>
        <v>5948</v>
      </c>
      <c r="M18" s="34">
        <f t="shared" si="3"/>
        <v>4963.7303921568619</v>
      </c>
      <c r="N18" s="34">
        <f t="shared" si="4"/>
        <v>1.1982923184946492</v>
      </c>
      <c r="O18" s="34">
        <f t="shared" si="5"/>
        <v>5137.7954237101749</v>
      </c>
      <c r="P18" s="34">
        <f t="shared" si="6"/>
        <v>336.33578431372536</v>
      </c>
      <c r="Q18" s="33">
        <f t="shared" si="10"/>
        <v>1.1551277236375255</v>
      </c>
      <c r="R18" s="34">
        <f t="shared" si="7"/>
        <v>5922.4770462748656</v>
      </c>
      <c r="S18" s="34">
        <f t="shared" si="8"/>
        <v>25.522953725134357</v>
      </c>
      <c r="T18" s="34">
        <f t="shared" si="9"/>
        <v>0.42910144124301208</v>
      </c>
    </row>
    <row r="19" spans="1:27" x14ac:dyDescent="0.25">
      <c r="K19" s="23">
        <v>12</v>
      </c>
      <c r="L19" s="23">
        <f>Data!E13</f>
        <v>4892</v>
      </c>
      <c r="M19" s="35">
        <f t="shared" si="3"/>
        <v>5300.0661764705874</v>
      </c>
      <c r="N19" s="35">
        <f t="shared" si="4"/>
        <v>0.92300734313805755</v>
      </c>
      <c r="O19" s="35">
        <f t="shared" si="5"/>
        <v>5435.0849942564346</v>
      </c>
      <c r="P19" s="35">
        <f t="shared" si="6"/>
        <v>336.33578431372536</v>
      </c>
      <c r="Q19" s="41">
        <f t="shared" si="10"/>
        <v>0.90704714996587721</v>
      </c>
      <c r="R19" s="35">
        <f t="shared" si="7"/>
        <v>4965.2951107773433</v>
      </c>
      <c r="S19" s="35">
        <f t="shared" si="8"/>
        <v>-73.295110777343325</v>
      </c>
      <c r="T19" s="35">
        <f t="shared" si="9"/>
        <v>1.4982647337968791</v>
      </c>
    </row>
    <row r="20" spans="1:27" x14ac:dyDescent="0.25">
      <c r="K20">
        <v>13</v>
      </c>
      <c r="L20">
        <f>Data!E14</f>
        <v>4311</v>
      </c>
      <c r="M20" s="34">
        <f t="shared" si="3"/>
        <v>5636.4019607843129</v>
      </c>
      <c r="N20" s="34">
        <f t="shared" si="4"/>
        <v>0.76484963811915896</v>
      </c>
      <c r="O20" s="34">
        <f t="shared" si="5"/>
        <v>5394.176027407837</v>
      </c>
      <c r="P20" s="34">
        <f t="shared" si="6"/>
        <v>336.33578431372536</v>
      </c>
      <c r="Q20" s="33">
        <f t="shared" si="10"/>
        <v>0.863804714829982</v>
      </c>
      <c r="R20" s="34">
        <f t="shared" si="7"/>
        <v>4985.3804797966295</v>
      </c>
      <c r="S20" s="34">
        <f t="shared" si="8"/>
        <v>-674.38047979662952</v>
      </c>
      <c r="T20" s="34">
        <f t="shared" si="9"/>
        <v>15.643249357379482</v>
      </c>
    </row>
    <row r="21" spans="1:27" x14ac:dyDescent="0.25">
      <c r="K21">
        <v>14</v>
      </c>
      <c r="L21">
        <f>Data!E15</f>
        <v>6637</v>
      </c>
      <c r="M21" s="34">
        <f t="shared" si="3"/>
        <v>5972.7377450980384</v>
      </c>
      <c r="N21" s="34">
        <f t="shared" si="4"/>
        <v>1.1112157076454825</v>
      </c>
      <c r="O21" s="34">
        <f t="shared" si="5"/>
        <v>5947.5072124024573</v>
      </c>
      <c r="P21" s="34">
        <f t="shared" si="6"/>
        <v>336.33578431372536</v>
      </c>
      <c r="Q21" s="33">
        <f t="shared" si="10"/>
        <v>1.0740204115666152</v>
      </c>
      <c r="R21" s="34">
        <f t="shared" si="7"/>
        <v>6154.6866545125422</v>
      </c>
      <c r="S21" s="34">
        <f t="shared" si="8"/>
        <v>482.31334548745781</v>
      </c>
      <c r="T21" s="34">
        <f t="shared" si="9"/>
        <v>7.267038503653124</v>
      </c>
    </row>
    <row r="22" spans="1:27" x14ac:dyDescent="0.25">
      <c r="K22">
        <v>15</v>
      </c>
      <c r="L22">
        <f>Data!E16</f>
        <v>7823</v>
      </c>
      <c r="M22" s="34">
        <f t="shared" si="3"/>
        <v>6309.073529411764</v>
      </c>
      <c r="N22" s="34">
        <f t="shared" si="4"/>
        <v>1.2399601880578159</v>
      </c>
      <c r="O22" s="34">
        <f t="shared" si="5"/>
        <v>6519.9229093176546</v>
      </c>
      <c r="P22" s="34">
        <f t="shared" si="6"/>
        <v>336.33578431372536</v>
      </c>
      <c r="Q22" s="33">
        <f t="shared" si="10"/>
        <v>1.1551277236375255</v>
      </c>
      <c r="R22" s="34">
        <f t="shared" si="7"/>
        <v>7258.6412564923703</v>
      </c>
      <c r="S22" s="34">
        <f t="shared" si="8"/>
        <v>564.3587435076297</v>
      </c>
      <c r="T22" s="34">
        <f t="shared" si="9"/>
        <v>7.2140961716429723</v>
      </c>
    </row>
    <row r="23" spans="1:27" x14ac:dyDescent="0.25">
      <c r="K23" s="23">
        <v>16</v>
      </c>
      <c r="L23" s="23">
        <f>Data!E17</f>
        <v>6652</v>
      </c>
      <c r="M23" s="35">
        <f t="shared" si="3"/>
        <v>6645.4093137254895</v>
      </c>
      <c r="N23" s="35">
        <f t="shared" si="4"/>
        <v>1.0009917652868874</v>
      </c>
      <c r="O23" s="35">
        <f t="shared" si="5"/>
        <v>7086.9557524794791</v>
      </c>
      <c r="P23" s="35">
        <f t="shared" si="6"/>
        <v>336.33578431372536</v>
      </c>
      <c r="Q23" s="41">
        <f t="shared" si="10"/>
        <v>0.90704714996587721</v>
      </c>
      <c r="R23" s="35">
        <f t="shared" si="7"/>
        <v>6218.9499074871119</v>
      </c>
      <c r="S23" s="35">
        <f t="shared" si="8"/>
        <v>433.05009251288811</v>
      </c>
      <c r="T23" s="35">
        <f t="shared" si="9"/>
        <v>6.5100735495022271</v>
      </c>
    </row>
    <row r="24" spans="1:27" x14ac:dyDescent="0.25">
      <c r="K24">
        <v>17</v>
      </c>
      <c r="L24">
        <f>Data!E18</f>
        <v>6235</v>
      </c>
      <c r="M24" s="34">
        <f>$B$17+$B$18*K24</f>
        <v>6981.745098039215</v>
      </c>
      <c r="N24" s="34">
        <f>L24/M24</f>
        <v>0.8930432023006778</v>
      </c>
      <c r="O24" s="34">
        <f>$G$4*(L24/Q20)+((1-$G$4)*(O23+P23))</f>
        <v>7324.12530285705</v>
      </c>
      <c r="P24" s="34">
        <f>$H$4*(O24-O23)+((1-$H$4)*P23)</f>
        <v>336.33578431372536</v>
      </c>
      <c r="Q24" s="33">
        <f>$I$4*(L24/O24)+((1-$I$4)*Q20)</f>
        <v>0.863804714829982</v>
      </c>
      <c r="R24" s="34">
        <f>SUM(O23:P23)*Q20</f>
        <v>6412.2742290394726</v>
      </c>
      <c r="S24" s="34">
        <f t="shared" si="8"/>
        <v>-177.27422903947263</v>
      </c>
      <c r="T24" s="34">
        <f t="shared" si="9"/>
        <v>2.8432113719241801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 t="shared" ref="R25" si="11">SUM(O24:P24)*Q21</f>
        <v>8227.4915696331973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($O$24+($P$24*2))*Q22</f>
        <v>9237.3217665495777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($O$24+($P$24*3))*Q23</f>
        <v>7558.5442257293626</v>
      </c>
      <c r="S27" s="34"/>
      <c r="T27" s="34"/>
    </row>
    <row r="29" spans="1:27" ht="15.75" x14ac:dyDescent="0.25">
      <c r="K29" s="37" t="s">
        <v>53</v>
      </c>
      <c r="L29" s="36">
        <f>V10</f>
        <v>12.391944674299106</v>
      </c>
      <c r="M29" s="34"/>
      <c r="N29" s="37" t="s">
        <v>54</v>
      </c>
      <c r="O29" s="36">
        <f>V10</f>
        <v>12.391944674299106</v>
      </c>
      <c r="P29" s="34"/>
      <c r="Q29" s="37" t="s">
        <v>55</v>
      </c>
      <c r="R29" s="36">
        <f>V10</f>
        <v>12.391944674299106</v>
      </c>
    </row>
    <row r="30" spans="1:27" x14ac:dyDescent="0.25">
      <c r="K30" s="39">
        <v>0</v>
      </c>
      <c r="L30" s="34">
        <f t="dataTable" ref="L30:L50" dt2D="0" dtr="0" r1="G4" ca="1"/>
        <v>13.46938609207335</v>
      </c>
      <c r="M30" s="34"/>
      <c r="N30" s="39">
        <v>0</v>
      </c>
      <c r="O30" s="34">
        <f t="dataTable" ref="O30:O50" dt2D="0" dtr="0" r1="H4"/>
        <v>12.391944674299106</v>
      </c>
      <c r="P30" s="34"/>
      <c r="Q30" s="39">
        <v>0</v>
      </c>
      <c r="R30" s="34">
        <f t="dataTable" ref="R30:R50" dt2D="0" dtr="0" r1="I4" ca="1"/>
        <v>12.391944674299106</v>
      </c>
    </row>
    <row r="31" spans="1:27" x14ac:dyDescent="0.25">
      <c r="K31" s="39">
        <v>0.05</v>
      </c>
      <c r="L31" s="34">
        <v>13.699300590984681</v>
      </c>
      <c r="M31" s="34"/>
      <c r="N31" s="39">
        <v>0.05</v>
      </c>
      <c r="O31" s="34">
        <v>12.913615851765888</v>
      </c>
      <c r="P31" s="34"/>
      <c r="Q31" s="39">
        <v>0.05</v>
      </c>
      <c r="R31" s="34">
        <v>12.505727563665666</v>
      </c>
    </row>
    <row r="32" spans="1:27" x14ac:dyDescent="0.25">
      <c r="K32" s="39">
        <v>0.1</v>
      </c>
      <c r="L32" s="34">
        <v>13.747469095482124</v>
      </c>
      <c r="M32" s="34"/>
      <c r="N32" s="39">
        <v>0.1</v>
      </c>
      <c r="O32" s="34">
        <v>13.410584129041284</v>
      </c>
      <c r="P32" s="34"/>
      <c r="Q32" s="39">
        <v>0.1</v>
      </c>
      <c r="R32" s="34">
        <v>12.621178752063622</v>
      </c>
    </row>
    <row r="33" spans="11:18" x14ac:dyDescent="0.25">
      <c r="K33" s="39">
        <v>0.15</v>
      </c>
      <c r="L33" s="34">
        <v>13.626159264792228</v>
      </c>
      <c r="M33" s="34"/>
      <c r="N33" s="39">
        <v>0.15</v>
      </c>
      <c r="O33" s="34">
        <v>13.873014163979866</v>
      </c>
      <c r="P33" s="34"/>
      <c r="Q33" s="39">
        <v>0.15</v>
      </c>
      <c r="R33" s="34">
        <v>12.744618897632678</v>
      </c>
    </row>
    <row r="34" spans="11:18" x14ac:dyDescent="0.25">
      <c r="K34" s="39">
        <v>0.2</v>
      </c>
      <c r="L34" s="34">
        <v>13.463689015690559</v>
      </c>
      <c r="M34" s="34"/>
      <c r="N34" s="39">
        <v>0.2</v>
      </c>
      <c r="O34" s="34">
        <v>14.2957716714758</v>
      </c>
      <c r="P34" s="34"/>
      <c r="Q34" s="39">
        <v>0.2</v>
      </c>
      <c r="R34" s="34">
        <v>12.859386477511713</v>
      </c>
    </row>
    <row r="35" spans="11:18" x14ac:dyDescent="0.25">
      <c r="K35" s="39">
        <v>0.25</v>
      </c>
      <c r="L35" s="34">
        <v>13.210114618666294</v>
      </c>
      <c r="M35" s="34"/>
      <c r="N35" s="39">
        <v>0.25</v>
      </c>
      <c r="O35" s="34">
        <v>14.742789961255211</v>
      </c>
      <c r="P35" s="34"/>
      <c r="Q35" s="39">
        <v>0.25</v>
      </c>
      <c r="R35" s="34">
        <v>12.96713675625022</v>
      </c>
    </row>
    <row r="36" spans="11:18" x14ac:dyDescent="0.25">
      <c r="K36" s="39">
        <v>0.3</v>
      </c>
      <c r="L36" s="34">
        <v>12.989179982103943</v>
      </c>
      <c r="M36" s="34"/>
      <c r="N36" s="39">
        <v>0.3</v>
      </c>
      <c r="O36" s="34">
        <v>15.167101597100626</v>
      </c>
      <c r="P36" s="34"/>
      <c r="Q36" s="39">
        <v>0.3</v>
      </c>
      <c r="R36" s="34">
        <v>13.069483868468177</v>
      </c>
    </row>
    <row r="37" spans="11:18" x14ac:dyDescent="0.25">
      <c r="K37" s="39">
        <v>0.35</v>
      </c>
      <c r="L37" s="34">
        <v>12.781870472218912</v>
      </c>
      <c r="M37" s="34"/>
      <c r="N37" s="39">
        <v>0.35</v>
      </c>
      <c r="O37" s="34">
        <v>15.565053442953914</v>
      </c>
      <c r="P37" s="34"/>
      <c r="Q37" s="39">
        <v>0.35</v>
      </c>
      <c r="R37" s="34">
        <v>13.223149858256068</v>
      </c>
    </row>
    <row r="38" spans="11:18" x14ac:dyDescent="0.25">
      <c r="K38" s="39">
        <v>0.4</v>
      </c>
      <c r="L38" s="34">
        <v>12.555377127965693</v>
      </c>
      <c r="M38" s="34"/>
      <c r="N38" s="39">
        <v>0.4</v>
      </c>
      <c r="O38" s="34">
        <v>15.932469874361512</v>
      </c>
      <c r="P38" s="34"/>
      <c r="Q38" s="39">
        <v>0.4</v>
      </c>
      <c r="R38" s="34">
        <v>13.395802838667251</v>
      </c>
    </row>
    <row r="39" spans="11:18" x14ac:dyDescent="0.25">
      <c r="K39" s="39">
        <v>0.45</v>
      </c>
      <c r="L39" s="34">
        <v>12.461711656320182</v>
      </c>
      <c r="M39" s="34"/>
      <c r="N39" s="39">
        <v>0.45</v>
      </c>
      <c r="O39" s="34">
        <v>16.264745297137839</v>
      </c>
      <c r="P39" s="34"/>
      <c r="Q39" s="39">
        <v>0.45</v>
      </c>
      <c r="R39" s="34">
        <v>13.568588924682283</v>
      </c>
    </row>
    <row r="40" spans="11:18" x14ac:dyDescent="0.25">
      <c r="K40" s="39">
        <v>0.5</v>
      </c>
      <c r="L40" s="34">
        <v>12.41455222005342</v>
      </c>
      <c r="M40" s="34"/>
      <c r="N40" s="39">
        <v>0.5</v>
      </c>
      <c r="O40" s="34">
        <v>16.55702438219285</v>
      </c>
      <c r="P40" s="34"/>
      <c r="Q40" s="39">
        <v>0.5</v>
      </c>
      <c r="R40" s="34">
        <v>13.741759237258456</v>
      </c>
    </row>
    <row r="41" spans="11:18" x14ac:dyDescent="0.25">
      <c r="K41" s="39">
        <v>0.55000000000000004</v>
      </c>
      <c r="L41" s="34">
        <v>12.530108907998736</v>
      </c>
      <c r="M41" s="34"/>
      <c r="N41" s="39">
        <v>0.55000000000000004</v>
      </c>
      <c r="O41" s="34">
        <v>16.804437059402204</v>
      </c>
      <c r="P41" s="34"/>
      <c r="Q41" s="39">
        <v>0.55000000000000004</v>
      </c>
      <c r="R41" s="34">
        <v>13.915614456287903</v>
      </c>
    </row>
    <row r="42" spans="11:18" x14ac:dyDescent="0.25">
      <c r="K42" s="39">
        <v>0.6</v>
      </c>
      <c r="L42" s="34">
        <v>12.594041667601015</v>
      </c>
      <c r="M42" s="34"/>
      <c r="N42" s="39">
        <v>0.6</v>
      </c>
      <c r="O42" s="34">
        <v>17.002358130139331</v>
      </c>
      <c r="P42" s="34"/>
      <c r="Q42" s="39">
        <v>0.6</v>
      </c>
      <c r="R42" s="34">
        <v>14.090504047226606</v>
      </c>
    </row>
    <row r="43" spans="11:18" x14ac:dyDescent="0.25">
      <c r="K43" s="39">
        <v>0.65</v>
      </c>
      <c r="L43" s="34">
        <v>12.651946271589717</v>
      </c>
      <c r="M43" s="34"/>
      <c r="N43" s="39">
        <v>0.65</v>
      </c>
      <c r="O43" s="34">
        <v>17.146665560609396</v>
      </c>
      <c r="P43" s="34"/>
      <c r="Q43" s="39">
        <v>0.65</v>
      </c>
      <c r="R43" s="34">
        <v>14.266824455643651</v>
      </c>
    </row>
    <row r="44" spans="11:18" x14ac:dyDescent="0.25">
      <c r="K44" s="39">
        <v>0.7</v>
      </c>
      <c r="L44" s="34">
        <v>12.72116510823251</v>
      </c>
      <c r="M44" s="34"/>
      <c r="N44" s="39">
        <v>0.7</v>
      </c>
      <c r="O44" s="34">
        <v>17.233976469441114</v>
      </c>
      <c r="P44" s="34"/>
      <c r="Q44" s="39">
        <v>0.7</v>
      </c>
      <c r="R44" s="34">
        <v>14.445016280199237</v>
      </c>
    </row>
    <row r="45" spans="11:18" x14ac:dyDescent="0.25">
      <c r="K45" s="39">
        <v>0.75</v>
      </c>
      <c r="L45" s="34">
        <v>12.756536529695524</v>
      </c>
      <c r="M45" s="34"/>
      <c r="N45" s="39">
        <v>0.75</v>
      </c>
      <c r="O45" s="34">
        <v>17.440746448178103</v>
      </c>
      <c r="P45" s="34"/>
      <c r="Q45" s="39">
        <v>0.75</v>
      </c>
      <c r="R45" s="34">
        <v>14.625560421770814</v>
      </c>
    </row>
    <row r="46" spans="11:18" x14ac:dyDescent="0.25">
      <c r="K46" s="39">
        <v>0.8</v>
      </c>
      <c r="L46" s="34">
        <v>12.763776667758711</v>
      </c>
      <c r="M46" s="34"/>
      <c r="N46" s="39">
        <v>0.8</v>
      </c>
      <c r="O46" s="34">
        <v>17.67078230994958</v>
      </c>
      <c r="P46" s="34"/>
      <c r="Q46" s="39">
        <v>0.8</v>
      </c>
      <c r="R46" s="34">
        <v>14.808973193341799</v>
      </c>
    </row>
    <row r="47" spans="11:18" x14ac:dyDescent="0.25">
      <c r="K47" s="39">
        <v>0.85</v>
      </c>
      <c r="L47" s="34">
        <v>12.748285323629831</v>
      </c>
      <c r="M47" s="34"/>
      <c r="N47" s="39">
        <v>0.85</v>
      </c>
      <c r="O47" s="34">
        <v>17.835088776970888</v>
      </c>
      <c r="P47" s="34"/>
      <c r="Q47" s="39">
        <v>0.85</v>
      </c>
      <c r="R47" s="34">
        <v>14.99580036151872</v>
      </c>
    </row>
    <row r="48" spans="11:18" x14ac:dyDescent="0.25">
      <c r="K48" s="39">
        <v>0.9</v>
      </c>
      <c r="L48" s="34">
        <v>12.71503623387156</v>
      </c>
      <c r="M48" s="34"/>
      <c r="N48" s="39">
        <v>0.9</v>
      </c>
      <c r="O48" s="34">
        <v>18.103765026230153</v>
      </c>
      <c r="P48" s="34"/>
      <c r="Q48" s="39">
        <v>0.9</v>
      </c>
      <c r="R48" s="34">
        <v>15.186610075604248</v>
      </c>
    </row>
    <row r="49" spans="11:18" x14ac:dyDescent="0.25">
      <c r="K49" s="39">
        <v>0.95</v>
      </c>
      <c r="L49" s="34">
        <v>12.668551862079807</v>
      </c>
      <c r="M49" s="34"/>
      <c r="N49" s="39">
        <v>0.95</v>
      </c>
      <c r="O49" s="34">
        <v>18.328406956955824</v>
      </c>
      <c r="P49" s="34"/>
      <c r="Q49" s="39">
        <v>0.95</v>
      </c>
      <c r="R49" s="34">
        <v>15.381984623149632</v>
      </c>
    </row>
    <row r="50" spans="11:18" x14ac:dyDescent="0.25">
      <c r="K50" s="39">
        <v>1</v>
      </c>
      <c r="L50" s="34">
        <v>12.612948715493463</v>
      </c>
      <c r="M50" s="34"/>
      <c r="N50" s="39">
        <v>1</v>
      </c>
      <c r="O50" s="34">
        <v>18.496113459663196</v>
      </c>
      <c r="P50" s="34"/>
      <c r="Q50" s="39">
        <v>1</v>
      </c>
      <c r="R50" s="34">
        <v>15.582510930477564</v>
      </c>
    </row>
  </sheetData>
  <mergeCells count="1">
    <mergeCell ref="Z3:AA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</sheetPr>
  <dimension ref="A1:AA50"/>
  <sheetViews>
    <sheetView topLeftCell="B1" zoomScale="70" zoomScaleNormal="70" workbookViewId="0">
      <selection activeCell="S30" sqref="S30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  <col min="11" max="11" width="12.140625" bestFit="1" customWidth="1"/>
    <col min="12" max="12" width="7.42578125" bestFit="1" customWidth="1"/>
    <col min="13" max="13" width="10.57031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5703125" bestFit="1" customWidth="1"/>
    <col min="19" max="19" width="10.7109375" bestFit="1" customWidth="1"/>
    <col min="20" max="20" width="6.85546875" customWidth="1"/>
    <col min="22" max="22" width="8.28515625" bestFit="1" customWidth="1"/>
    <col min="23" max="23" width="9.7109375" bestFit="1" customWidth="1"/>
    <col min="26" max="26" width="3.42578125" bestFit="1" customWidth="1"/>
    <col min="27" max="27" width="11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0.66231897355754388</v>
      </c>
      <c r="G4" s="46">
        <v>0.39454710277131</v>
      </c>
      <c r="H4" s="46">
        <v>0</v>
      </c>
      <c r="I4" s="46">
        <v>0</v>
      </c>
      <c r="K4">
        <v>-3</v>
      </c>
      <c r="Q4" s="31">
        <f>AA6</f>
        <v>0.78458863907554943</v>
      </c>
      <c r="V4" s="40">
        <f>AVERAGE(N8,N12,N16,N20,N24)</f>
        <v>0.7979400342905224</v>
      </c>
      <c r="W4" s="40">
        <f>AVERAGE(V4:V7)</f>
        <v>1.0170170641658849</v>
      </c>
      <c r="X4" s="40">
        <f>V4/$W$4</f>
        <v>0.78458863907554943</v>
      </c>
      <c r="Z4" s="24" t="s">
        <v>40</v>
      </c>
      <c r="AA4" s="28">
        <f>B17</f>
        <v>8355.5735294117694</v>
      </c>
    </row>
    <row r="5" spans="1:27" ht="18.75" x14ac:dyDescent="0.35">
      <c r="A5" s="17" t="s">
        <v>12</v>
      </c>
      <c r="B5" s="17">
        <v>0.43866642273431855</v>
      </c>
      <c r="K5">
        <v>-2</v>
      </c>
      <c r="Q5" s="31">
        <f t="shared" ref="Q5:Q7" si="0">AA7</f>
        <v>1.0074487347136432</v>
      </c>
      <c r="V5" s="40">
        <f>AVERAGE(N9,N13,N17,N21)</f>
        <v>1.0245925544761048</v>
      </c>
      <c r="W5" s="40"/>
      <c r="X5" s="40">
        <f t="shared" ref="X5:X7" si="1">V5/$W$4</f>
        <v>1.0074487347136432</v>
      </c>
      <c r="Z5" s="25" t="s">
        <v>41</v>
      </c>
      <c r="AA5" s="29">
        <f>B18</f>
        <v>825.75980392156816</v>
      </c>
    </row>
    <row r="6" spans="1:27" ht="18.75" x14ac:dyDescent="0.35">
      <c r="A6" s="17" t="s">
        <v>13</v>
      </c>
      <c r="B6" s="17">
        <v>0.40124418424993979</v>
      </c>
      <c r="K6">
        <v>-1</v>
      </c>
      <c r="Q6" s="31">
        <f t="shared" si="0"/>
        <v>1.3943123692561088</v>
      </c>
      <c r="V6" s="40">
        <f>AVERAGE(N10,N14,N18,N22)</f>
        <v>1.418039472311027</v>
      </c>
      <c r="W6" s="40"/>
      <c r="X6" s="40">
        <f t="shared" si="1"/>
        <v>1.3943123692561088</v>
      </c>
      <c r="Z6" s="26" t="s">
        <v>42</v>
      </c>
      <c r="AA6" s="30">
        <f>X4</f>
        <v>0.78458863907554943</v>
      </c>
    </row>
    <row r="7" spans="1:27" ht="18.75" x14ac:dyDescent="0.35">
      <c r="A7" s="17" t="s">
        <v>14</v>
      </c>
      <c r="B7" s="17">
        <v>4871.710860183387</v>
      </c>
      <c r="K7">
        <v>0</v>
      </c>
      <c r="O7" s="31">
        <f>AA4</f>
        <v>8355.5735294117694</v>
      </c>
      <c r="P7" s="31">
        <f>AA5</f>
        <v>825.75980392156816</v>
      </c>
      <c r="Q7" s="31">
        <f t="shared" si="0"/>
        <v>0.81365025695469817</v>
      </c>
      <c r="V7" s="40">
        <f>AVERAGE(N11,N15,N19,N23)</f>
        <v>0.82749619558588494</v>
      </c>
      <c r="W7" s="40"/>
      <c r="X7" s="40">
        <f t="shared" si="1"/>
        <v>0.81365025695469817</v>
      </c>
      <c r="Z7" s="26" t="s">
        <v>43</v>
      </c>
      <c r="AA7" s="30">
        <f t="shared" ref="AA7:AA9" si="2">X5</f>
        <v>1.0074487347136432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Data!F2</f>
        <v>6716</v>
      </c>
      <c r="M8" s="34">
        <f>$B$17+$B$18*K8</f>
        <v>9181.3333333333376</v>
      </c>
      <c r="N8" s="34">
        <f>L8/M8</f>
        <v>0.73148417078129502</v>
      </c>
      <c r="O8" s="34">
        <f>$G$4*(L8/Q4)+((1-$G$4)*(O7+P7))</f>
        <v>8936.1484654524193</v>
      </c>
      <c r="P8" s="34">
        <f>$H$4*(O8-O7)+((1-$H$4)*P7)</f>
        <v>825.75980392156816</v>
      </c>
      <c r="Q8" s="33">
        <f>$I$4*(L8/O8)+((1-$I$4)*Q4)</f>
        <v>0.78458863907554943</v>
      </c>
      <c r="R8" s="34">
        <f>SUM(O7:P7)*Q4</f>
        <v>7203.5698248989811</v>
      </c>
      <c r="S8" s="34">
        <f>L8-R8</f>
        <v>-487.5698248989811</v>
      </c>
      <c r="T8" s="34">
        <f>ABS(S8/L8)*100</f>
        <v>7.259824670919909</v>
      </c>
      <c r="Z8" s="26" t="s">
        <v>44</v>
      </c>
      <c r="AA8" s="30">
        <f t="shared" si="2"/>
        <v>1.3943123692561088</v>
      </c>
    </row>
    <row r="9" spans="1:27" ht="18.75" x14ac:dyDescent="0.35">
      <c r="K9">
        <v>2</v>
      </c>
      <c r="L9">
        <f>Data!F3</f>
        <v>11510</v>
      </c>
      <c r="M9" s="34">
        <f t="shared" ref="M9:M24" si="3">$B$17+$B$18*K9</f>
        <v>10007.093137254906</v>
      </c>
      <c r="N9" s="34">
        <f t="shared" ref="N9:N24" si="4">L9/M9</f>
        <v>1.1501841585894708</v>
      </c>
      <c r="O9" s="34">
        <f t="shared" ref="O9:O23" si="5">$G$4*(L9/Q5)+((1-$G$4)*(O8+P8))</f>
        <v>10418.036427715268</v>
      </c>
      <c r="P9" s="34">
        <f t="shared" ref="P9:P23" si="6">$H$4*(O9-O8)+((1-$H$4)*P8)</f>
        <v>825.75980392156816</v>
      </c>
      <c r="Q9" s="33">
        <f t="shared" ref="Q9:Q24" si="7">$I$4*(L9/O9)+((1-$I$4)*Q5)</f>
        <v>1.0074487347136432</v>
      </c>
      <c r="R9" s="34">
        <f t="shared" ref="R9:R25" si="8">SUM(O8:P8)*Q5</f>
        <v>9834.6221343714733</v>
      </c>
      <c r="S9" s="34">
        <f t="shared" ref="S9:S24" si="9">L9-R9</f>
        <v>1675.3778656285267</v>
      </c>
      <c r="T9" s="34">
        <f t="shared" ref="T9:T24" si="10">ABS(S9/L9)*100</f>
        <v>14.555845922054967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0.81365025695469817</v>
      </c>
    </row>
    <row r="10" spans="1:27" ht="16.5" thickBot="1" x14ac:dyDescent="0.3">
      <c r="A10" t="s">
        <v>16</v>
      </c>
      <c r="K10">
        <v>3</v>
      </c>
      <c r="L10">
        <f>Data!F4</f>
        <v>18438</v>
      </c>
      <c r="M10" s="34">
        <f t="shared" si="3"/>
        <v>10832.852941176474</v>
      </c>
      <c r="N10" s="34">
        <f t="shared" si="4"/>
        <v>1.702044706054838</v>
      </c>
      <c r="O10" s="34">
        <f t="shared" si="5"/>
        <v>12024.970447146687</v>
      </c>
      <c r="P10" s="34">
        <f t="shared" si="6"/>
        <v>825.75980392156816</v>
      </c>
      <c r="Q10" s="33">
        <f t="shared" si="7"/>
        <v>1.3943123692561088</v>
      </c>
      <c r="R10" s="34">
        <f t="shared" si="8"/>
        <v>15677.364163166465</v>
      </c>
      <c r="S10" s="34">
        <f t="shared" si="9"/>
        <v>2760.635836833535</v>
      </c>
      <c r="T10" s="34">
        <f t="shared" si="10"/>
        <v>14.972534097155521</v>
      </c>
      <c r="V10" s="34">
        <f>AVERAGE(T8:T24)</f>
        <v>13.051246292260622</v>
      </c>
      <c r="W10" s="34">
        <f>SUMPRODUCT(ABS(S8:S24))/17</f>
        <v>2251.3673576127189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Data!F5</f>
        <v>10456</v>
      </c>
      <c r="M11" s="35">
        <f t="shared" si="3"/>
        <v>11658.612745098042</v>
      </c>
      <c r="N11" s="35">
        <f t="shared" si="4"/>
        <v>0.89684769780146523</v>
      </c>
      <c r="O11" s="35">
        <f t="shared" si="5"/>
        <v>12850.730265209586</v>
      </c>
      <c r="P11" s="35">
        <f t="shared" si="6"/>
        <v>825.75980392156816</v>
      </c>
      <c r="Q11" s="41">
        <f t="shared" si="7"/>
        <v>0.81365025695469817</v>
      </c>
      <c r="R11" s="35">
        <f t="shared" si="8"/>
        <v>10455.999970837198</v>
      </c>
      <c r="S11" s="35">
        <f t="shared" si="9"/>
        <v>2.916280209319666E-5</v>
      </c>
      <c r="T11" s="35">
        <f t="shared" si="10"/>
        <v>2.7890973692804762E-7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278206735.5392158</v>
      </c>
      <c r="D12" s="17">
        <v>278206735.5392158</v>
      </c>
      <c r="E12" s="17">
        <v>11.72207864896783</v>
      </c>
      <c r="F12" s="17">
        <v>3.7695088411420111E-3</v>
      </c>
      <c r="K12">
        <v>5</v>
      </c>
      <c r="L12">
        <f>Data!F6</f>
        <v>9464</v>
      </c>
      <c r="M12" s="34">
        <f t="shared" si="3"/>
        <v>12484.37254901961</v>
      </c>
      <c r="N12" s="34">
        <f t="shared" si="4"/>
        <v>0.7580677333073661</v>
      </c>
      <c r="O12" s="34">
        <f t="shared" si="5"/>
        <v>13039.644445582675</v>
      </c>
      <c r="P12" s="34">
        <f t="shared" si="6"/>
        <v>825.75980392156816</v>
      </c>
      <c r="Q12" s="33">
        <f t="shared" si="7"/>
        <v>0.78458863907554943</v>
      </c>
      <c r="R12" s="34">
        <f t="shared" si="8"/>
        <v>10730.418730669879</v>
      </c>
      <c r="S12" s="34">
        <f t="shared" si="9"/>
        <v>-1266.4187306698786</v>
      </c>
      <c r="T12" s="34">
        <f t="shared" si="10"/>
        <v>13.381432065404466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356003500.57843137</v>
      </c>
      <c r="D13" s="17">
        <v>23733566.705228757</v>
      </c>
      <c r="E13" s="17"/>
      <c r="F13" s="17"/>
      <c r="K13">
        <v>6</v>
      </c>
      <c r="L13">
        <f>Data!F7</f>
        <v>12942</v>
      </c>
      <c r="M13" s="34">
        <f t="shared" si="3"/>
        <v>13310.132352941178</v>
      </c>
      <c r="N13" s="34">
        <f t="shared" si="4"/>
        <v>0.97234194648261096</v>
      </c>
      <c r="O13" s="34">
        <f t="shared" si="5"/>
        <v>13463.324053397049</v>
      </c>
      <c r="P13" s="34">
        <f t="shared" si="6"/>
        <v>825.75980392156816</v>
      </c>
      <c r="Q13" s="33">
        <f t="shared" si="7"/>
        <v>1.0074487347136432</v>
      </c>
      <c r="R13" s="34">
        <f>SUM(O12:P12)*Q9</f>
        <v>13968.683967456222</v>
      </c>
      <c r="S13" s="34">
        <f t="shared" si="9"/>
        <v>-1026.6839674562216</v>
      </c>
      <c r="T13" s="34">
        <f t="shared" si="10"/>
        <v>7.9329621963855788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634210236.11764717</v>
      </c>
      <c r="D14" s="18"/>
      <c r="E14" s="18"/>
      <c r="F14" s="18"/>
      <c r="K14">
        <v>7</v>
      </c>
      <c r="L14">
        <f>Data!F8</f>
        <v>21640</v>
      </c>
      <c r="M14" s="34">
        <f t="shared" si="3"/>
        <v>14135.892156862747</v>
      </c>
      <c r="N14" s="34">
        <f t="shared" si="4"/>
        <v>1.5308549159731761</v>
      </c>
      <c r="O14" s="34">
        <f t="shared" si="5"/>
        <v>14774.815230968734</v>
      </c>
      <c r="P14" s="34">
        <f t="shared" si="6"/>
        <v>825.75980392156816</v>
      </c>
      <c r="Q14" s="33">
        <f t="shared" si="7"/>
        <v>1.3943123692561088</v>
      </c>
      <c r="R14" s="34">
        <f t="shared" si="8"/>
        <v>19923.446367597138</v>
      </c>
      <c r="S14" s="34">
        <f t="shared" si="9"/>
        <v>1716.5536324028617</v>
      </c>
      <c r="T14" s="34">
        <f t="shared" si="10"/>
        <v>7.9323180794956638</v>
      </c>
      <c r="AA14" s="27"/>
    </row>
    <row r="15" spans="1:27" ht="16.5" thickBot="1" x14ac:dyDescent="0.3">
      <c r="K15" s="23">
        <v>8</v>
      </c>
      <c r="L15" s="23">
        <f>Data!F9</f>
        <v>11650</v>
      </c>
      <c r="M15" s="35">
        <f t="shared" si="3"/>
        <v>14961.651960784315</v>
      </c>
      <c r="N15" s="35">
        <f t="shared" si="4"/>
        <v>0.77865733212719968</v>
      </c>
      <c r="O15" s="35">
        <f t="shared" si="5"/>
        <v>15094.614232920829</v>
      </c>
      <c r="P15" s="35">
        <f t="shared" si="6"/>
        <v>825.75980392156816</v>
      </c>
      <c r="Q15" s="41">
        <f t="shared" si="7"/>
        <v>0.81365025695469817</v>
      </c>
      <c r="R15" s="35">
        <f t="shared" si="8"/>
        <v>12693.411885779544</v>
      </c>
      <c r="S15" s="35">
        <f t="shared" si="9"/>
        <v>-1043.4118857795438</v>
      </c>
      <c r="T15" s="35">
        <f t="shared" si="10"/>
        <v>8.9563251998244109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Data!F10</f>
        <v>11270</v>
      </c>
      <c r="M16" s="34">
        <f t="shared" si="3"/>
        <v>15787.411764705883</v>
      </c>
      <c r="N16" s="34">
        <f t="shared" si="4"/>
        <v>0.71385988836973613</v>
      </c>
      <c r="O16" s="34">
        <f t="shared" si="5"/>
        <v>15306.396048577728</v>
      </c>
      <c r="P16" s="34">
        <f t="shared" si="6"/>
        <v>825.75980392156816</v>
      </c>
      <c r="Q16" s="33">
        <f t="shared" si="7"/>
        <v>0.78458863907554943</v>
      </c>
      <c r="R16" s="34">
        <f t="shared" si="8"/>
        <v>12490.944599139888</v>
      </c>
      <c r="S16" s="34">
        <f t="shared" si="9"/>
        <v>-1220.9445991398879</v>
      </c>
      <c r="T16" s="34">
        <f t="shared" si="10"/>
        <v>10.833581181365465</v>
      </c>
      <c r="AA16" s="27"/>
    </row>
    <row r="17" spans="1:27" ht="15.75" x14ac:dyDescent="0.25">
      <c r="A17" s="17" t="s">
        <v>19</v>
      </c>
      <c r="B17" s="21">
        <v>8355.5735294117694</v>
      </c>
      <c r="C17" s="17">
        <v>2471.4172444568267</v>
      </c>
      <c r="D17" s="17">
        <v>3.3808833972299062</v>
      </c>
      <c r="E17" s="17">
        <v>4.116108765560518E-3</v>
      </c>
      <c r="F17" s="17">
        <v>3087.8723668256771</v>
      </c>
      <c r="G17" s="17">
        <v>13623.274691997862</v>
      </c>
      <c r="H17" s="17">
        <v>3087.8723668256771</v>
      </c>
      <c r="I17" s="17">
        <v>13623.274691997862</v>
      </c>
      <c r="K17">
        <v>10</v>
      </c>
      <c r="L17">
        <f>Data!F11</f>
        <v>15322</v>
      </c>
      <c r="M17" s="34">
        <f t="shared" si="3"/>
        <v>16613.171568627451</v>
      </c>
      <c r="N17" s="34">
        <f t="shared" si="4"/>
        <v>0.92228024833826927</v>
      </c>
      <c r="O17" s="34">
        <f t="shared" si="5"/>
        <v>15767.814671936711</v>
      </c>
      <c r="P17" s="34">
        <f t="shared" si="6"/>
        <v>825.75980392156816</v>
      </c>
      <c r="Q17" s="33">
        <f t="shared" si="7"/>
        <v>1.0074487347136432</v>
      </c>
      <c r="R17" s="34">
        <f t="shared" si="8"/>
        <v>16252.32000180371</v>
      </c>
      <c r="S17" s="34">
        <f t="shared" si="9"/>
        <v>-930.3200018037096</v>
      </c>
      <c r="T17" s="34">
        <f t="shared" si="10"/>
        <v>6.0717922060025433</v>
      </c>
      <c r="AA17" s="27"/>
    </row>
    <row r="18" spans="1:27" ht="15.75" thickBot="1" x14ac:dyDescent="0.3">
      <c r="A18" s="18" t="s">
        <v>32</v>
      </c>
      <c r="B18" s="22">
        <v>825.75980392156816</v>
      </c>
      <c r="C18" s="18">
        <v>241.185626915168</v>
      </c>
      <c r="D18" s="18">
        <v>3.4237521301881388</v>
      </c>
      <c r="E18" s="18">
        <v>3.7695088411420401E-3</v>
      </c>
      <c r="F18" s="18">
        <v>311.68480903768409</v>
      </c>
      <c r="G18" s="18">
        <v>1339.8347988054522</v>
      </c>
      <c r="H18" s="18">
        <v>311.68480903768409</v>
      </c>
      <c r="I18" s="18">
        <v>1339.8347988054522</v>
      </c>
      <c r="K18">
        <v>11</v>
      </c>
      <c r="L18">
        <f>Data!F12</f>
        <v>19424</v>
      </c>
      <c r="M18" s="34">
        <f t="shared" si="3"/>
        <v>17438.931372549021</v>
      </c>
      <c r="N18" s="34">
        <f t="shared" si="4"/>
        <v>1.1138297172598384</v>
      </c>
      <c r="O18" s="34">
        <f t="shared" si="5"/>
        <v>15543.016566280214</v>
      </c>
      <c r="P18" s="34">
        <f t="shared" si="6"/>
        <v>825.75980392156816</v>
      </c>
      <c r="Q18" s="33">
        <f t="shared" si="7"/>
        <v>1.3943123692561088</v>
      </c>
      <c r="R18" s="34">
        <f t="shared" si="8"/>
        <v>23136.626141861652</v>
      </c>
      <c r="S18" s="34">
        <f t="shared" si="9"/>
        <v>-3712.6261418616523</v>
      </c>
      <c r="T18" s="34">
        <f t="shared" si="10"/>
        <v>19.113602460160894</v>
      </c>
    </row>
    <row r="19" spans="1:27" x14ac:dyDescent="0.25">
      <c r="K19" s="23">
        <v>12</v>
      </c>
      <c r="L19" s="23">
        <f>Data!F13</f>
        <v>13310</v>
      </c>
      <c r="M19" s="35">
        <f t="shared" si="3"/>
        <v>18264.691176470587</v>
      </c>
      <c r="N19" s="35">
        <f t="shared" si="4"/>
        <v>0.72872844503095413</v>
      </c>
      <c r="O19" s="35">
        <f t="shared" si="5"/>
        <v>16364.67446864161</v>
      </c>
      <c r="P19" s="35">
        <f t="shared" si="6"/>
        <v>825.75980392156816</v>
      </c>
      <c r="Q19" s="41">
        <f t="shared" si="7"/>
        <v>0.81365025695469817</v>
      </c>
      <c r="R19" s="35">
        <f t="shared" si="8"/>
        <v>13318.459099648671</v>
      </c>
      <c r="S19" s="35">
        <f t="shared" si="9"/>
        <v>-8.4590996486713266</v>
      </c>
      <c r="T19" s="35">
        <f t="shared" si="10"/>
        <v>6.3554467683481053E-2</v>
      </c>
    </row>
    <row r="20" spans="1:27" x14ac:dyDescent="0.25">
      <c r="K20">
        <v>13</v>
      </c>
      <c r="L20">
        <f>Data!F14</f>
        <v>10214</v>
      </c>
      <c r="M20" s="34">
        <f t="shared" si="3"/>
        <v>19090.450980392154</v>
      </c>
      <c r="N20" s="34">
        <f t="shared" si="4"/>
        <v>0.53503188638606924</v>
      </c>
      <c r="O20" s="34">
        <f t="shared" si="5"/>
        <v>15544.325613394773</v>
      </c>
      <c r="P20" s="34">
        <f t="shared" si="6"/>
        <v>825.75980392156816</v>
      </c>
      <c r="Q20" s="33">
        <f t="shared" si="7"/>
        <v>0.78458863907554943</v>
      </c>
      <c r="R20" s="34">
        <f t="shared" si="8"/>
        <v>13487.419431028027</v>
      </c>
      <c r="S20" s="34">
        <f t="shared" si="9"/>
        <v>-3273.4194310280272</v>
      </c>
      <c r="T20" s="34">
        <f t="shared" si="10"/>
        <v>32.048359418719677</v>
      </c>
    </row>
    <row r="21" spans="1:27" x14ac:dyDescent="0.25">
      <c r="K21">
        <v>14</v>
      </c>
      <c r="L21">
        <f>Data!F15</f>
        <v>20983</v>
      </c>
      <c r="M21" s="34">
        <f t="shared" si="3"/>
        <v>19916.210784313724</v>
      </c>
      <c r="N21" s="34">
        <f t="shared" si="4"/>
        <v>1.0535638644940679</v>
      </c>
      <c r="O21" s="34">
        <f t="shared" si="5"/>
        <v>18128.886992280408</v>
      </c>
      <c r="P21" s="34">
        <f t="shared" si="6"/>
        <v>825.75980392156816</v>
      </c>
      <c r="Q21" s="33">
        <f t="shared" si="7"/>
        <v>1.0074487347136432</v>
      </c>
      <c r="R21" s="34">
        <f t="shared" si="8"/>
        <v>16492.02184082961</v>
      </c>
      <c r="S21" s="34">
        <f t="shared" si="9"/>
        <v>4490.9781591703904</v>
      </c>
      <c r="T21" s="34">
        <f t="shared" si="10"/>
        <v>21.402936468428681</v>
      </c>
    </row>
    <row r="22" spans="1:27" x14ac:dyDescent="0.25">
      <c r="K22">
        <v>15</v>
      </c>
      <c r="L22">
        <f>Data!F16</f>
        <v>27492</v>
      </c>
      <c r="M22" s="34">
        <f t="shared" si="3"/>
        <v>20741.970588235294</v>
      </c>
      <c r="N22" s="34">
        <f t="shared" si="4"/>
        <v>1.3254285499562553</v>
      </c>
      <c r="O22" s="34">
        <f t="shared" si="5"/>
        <v>19255.528106748996</v>
      </c>
      <c r="P22" s="34">
        <f t="shared" si="6"/>
        <v>825.75980392156816</v>
      </c>
      <c r="Q22" s="33">
        <f t="shared" si="7"/>
        <v>1.3943123692561088</v>
      </c>
      <c r="R22" s="34">
        <f t="shared" si="8"/>
        <v>26428.698482825086</v>
      </c>
      <c r="S22" s="34">
        <f t="shared" si="9"/>
        <v>1063.3015171749139</v>
      </c>
      <c r="T22" s="34">
        <f t="shared" si="10"/>
        <v>3.8676761136873052</v>
      </c>
    </row>
    <row r="23" spans="1:27" x14ac:dyDescent="0.25">
      <c r="K23" s="23">
        <v>16</v>
      </c>
      <c r="L23" s="23">
        <f>Data!F17</f>
        <v>19535</v>
      </c>
      <c r="M23" s="35">
        <f t="shared" si="3"/>
        <v>21567.73039215686</v>
      </c>
      <c r="N23" s="35">
        <f t="shared" si="4"/>
        <v>0.90575130738392085</v>
      </c>
      <c r="O23" s="35">
        <f t="shared" si="5"/>
        <v>21630.989755319002</v>
      </c>
      <c r="P23" s="35">
        <f t="shared" si="6"/>
        <v>825.75980392156816</v>
      </c>
      <c r="Q23" s="41">
        <f t="shared" si="7"/>
        <v>0.81365025695469817</v>
      </c>
      <c r="R23" s="35">
        <f t="shared" si="8"/>
        <v>16339.145068498379</v>
      </c>
      <c r="S23" s="35">
        <f t="shared" si="9"/>
        <v>3195.8549315016207</v>
      </c>
      <c r="T23" s="35">
        <f t="shared" si="10"/>
        <v>16.359636199138063</v>
      </c>
    </row>
    <row r="24" spans="1:27" x14ac:dyDescent="0.25">
      <c r="K24">
        <v>17</v>
      </c>
      <c r="L24">
        <f>Data!F18</f>
        <v>28020</v>
      </c>
      <c r="M24" s="34">
        <f t="shared" si="3"/>
        <v>22393.490196078426</v>
      </c>
      <c r="N24" s="34">
        <f t="shared" si="4"/>
        <v>1.2512564926081462</v>
      </c>
      <c r="O24" s="34">
        <f>$G$4*(L24/Q20)+((1-$G$4)*(O23+P23))</f>
        <v>27686.957690209216</v>
      </c>
      <c r="P24" s="34">
        <f>$H$4*(O24-O23)+((1-$H$4)*P23)</f>
        <v>825.75980392156816</v>
      </c>
      <c r="Q24" s="33">
        <f t="shared" si="7"/>
        <v>0.78458863907554943</v>
      </c>
      <c r="R24" s="34">
        <f t="shared" si="8"/>
        <v>17619.310574745003</v>
      </c>
      <c r="S24" s="34">
        <f t="shared" si="9"/>
        <v>10400.689425254997</v>
      </c>
      <c r="T24" s="34">
        <f t="shared" si="10"/>
        <v>37.118805943094209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 t="shared" si="8"/>
        <v>28725.101162709616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($O$24+($P$24*2))*Q22</f>
        <v>40907.001791813935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($O$24+($P$24*3))*Q23</f>
        <v>24543.139268863521</v>
      </c>
      <c r="S27" s="34"/>
      <c r="T27" s="34"/>
    </row>
    <row r="29" spans="1:27" ht="15.75" x14ac:dyDescent="0.25">
      <c r="K29" s="37" t="s">
        <v>53</v>
      </c>
      <c r="L29" s="36">
        <f>V10</f>
        <v>13.051246292260622</v>
      </c>
      <c r="M29" s="34"/>
      <c r="N29" s="37" t="s">
        <v>54</v>
      </c>
      <c r="O29" s="36">
        <f>V10</f>
        <v>13.051246292260622</v>
      </c>
      <c r="P29" s="34"/>
      <c r="Q29" s="37" t="s">
        <v>55</v>
      </c>
      <c r="R29" s="36">
        <f>V10</f>
        <v>13.051246292260622</v>
      </c>
    </row>
    <row r="30" spans="1:27" x14ac:dyDescent="0.25">
      <c r="K30" s="39">
        <v>0</v>
      </c>
      <c r="L30" s="34">
        <f t="dataTable" ref="L30:L50" dt2D="0" dtr="0" r1="G4" ca="1"/>
        <v>13.365203998401585</v>
      </c>
      <c r="M30" s="34"/>
      <c r="N30" s="39">
        <v>0</v>
      </c>
      <c r="O30" s="34">
        <f t="dataTable" ref="O30:O50" dt2D="0" dtr="0" r1="H4"/>
        <v>13.051246292260622</v>
      </c>
      <c r="P30" s="34"/>
      <c r="Q30" s="39">
        <v>0</v>
      </c>
      <c r="R30" s="34">
        <f t="dataTable" ref="R30:R50" dt2D="0" dtr="0" r1="I4" ca="1"/>
        <v>13.051246292260622</v>
      </c>
    </row>
    <row r="31" spans="1:27" x14ac:dyDescent="0.25">
      <c r="K31" s="39">
        <v>0.05</v>
      </c>
      <c r="L31" s="34">
        <v>13.631438488703653</v>
      </c>
      <c r="M31" s="34"/>
      <c r="N31" s="39">
        <v>0.05</v>
      </c>
      <c r="O31" s="34">
        <v>13.349990892638701</v>
      </c>
      <c r="P31" s="34"/>
      <c r="Q31" s="39">
        <v>0.05</v>
      </c>
      <c r="R31" s="34">
        <v>13.050435245691192</v>
      </c>
    </row>
    <row r="32" spans="1:27" x14ac:dyDescent="0.25">
      <c r="K32" s="39">
        <v>0.1</v>
      </c>
      <c r="L32" s="34">
        <v>13.693459623035119</v>
      </c>
      <c r="M32" s="34"/>
      <c r="N32" s="39">
        <v>0.1</v>
      </c>
      <c r="O32" s="34">
        <v>13.595552282724707</v>
      </c>
      <c r="P32" s="34"/>
      <c r="Q32" s="39">
        <v>0.1</v>
      </c>
      <c r="R32" s="34">
        <v>13.056186180180982</v>
      </c>
    </row>
    <row r="33" spans="11:18" x14ac:dyDescent="0.25">
      <c r="K33" s="39">
        <v>0.15</v>
      </c>
      <c r="L33" s="34">
        <v>13.758723692324914</v>
      </c>
      <c r="M33" s="34"/>
      <c r="N33" s="39">
        <v>0.15</v>
      </c>
      <c r="O33" s="34">
        <v>13.776030529475126</v>
      </c>
      <c r="P33" s="34"/>
      <c r="Q33" s="39">
        <v>0.15</v>
      </c>
      <c r="R33" s="34">
        <v>13.061329970394468</v>
      </c>
    </row>
    <row r="34" spans="11:18" x14ac:dyDescent="0.25">
      <c r="K34" s="39">
        <v>0.2</v>
      </c>
      <c r="L34" s="34">
        <v>13.754403510318578</v>
      </c>
      <c r="M34" s="34"/>
      <c r="N34" s="39">
        <v>0.2</v>
      </c>
      <c r="O34" s="34">
        <v>13.892725102503986</v>
      </c>
      <c r="P34" s="34"/>
      <c r="Q34" s="39">
        <v>0.2</v>
      </c>
      <c r="R34" s="34">
        <v>13.066133216047445</v>
      </c>
    </row>
    <row r="35" spans="11:18" x14ac:dyDescent="0.25">
      <c r="K35" s="39">
        <v>0.25</v>
      </c>
      <c r="L35" s="34">
        <v>13.649677195054345</v>
      </c>
      <c r="M35" s="34"/>
      <c r="N35" s="39">
        <v>0.25</v>
      </c>
      <c r="O35" s="34">
        <v>13.950802148290244</v>
      </c>
      <c r="P35" s="34"/>
      <c r="Q35" s="39">
        <v>0.25</v>
      </c>
      <c r="R35" s="34">
        <v>13.07082456623642</v>
      </c>
    </row>
    <row r="36" spans="11:18" x14ac:dyDescent="0.25">
      <c r="K36" s="39">
        <v>0.3</v>
      </c>
      <c r="L36" s="34">
        <v>13.477616800885196</v>
      </c>
      <c r="M36" s="34"/>
      <c r="N36" s="39">
        <v>0.3</v>
      </c>
      <c r="O36" s="34">
        <v>13.957829165109121</v>
      </c>
      <c r="P36" s="34"/>
      <c r="Q36" s="39">
        <v>0.3</v>
      </c>
      <c r="R36" s="34">
        <v>13.075597863366252</v>
      </c>
    </row>
    <row r="37" spans="11:18" x14ac:dyDescent="0.25">
      <c r="K37" s="39">
        <v>0.35</v>
      </c>
      <c r="L37" s="34">
        <v>13.263244739052709</v>
      </c>
      <c r="M37" s="34"/>
      <c r="N37" s="39">
        <v>0.35</v>
      </c>
      <c r="O37" s="34">
        <v>13.922640361573082</v>
      </c>
      <c r="P37" s="34"/>
      <c r="Q37" s="39">
        <v>0.35</v>
      </c>
      <c r="R37" s="34">
        <v>13.080615134385409</v>
      </c>
    </row>
    <row r="38" spans="11:18" x14ac:dyDescent="0.25">
      <c r="K38" s="39">
        <v>0.4</v>
      </c>
      <c r="L38" s="34">
        <v>13.0463950008076</v>
      </c>
      <c r="M38" s="34"/>
      <c r="N38" s="39">
        <v>0.4</v>
      </c>
      <c r="O38" s="34">
        <v>13.854479641107972</v>
      </c>
      <c r="P38" s="34"/>
      <c r="Q38" s="39">
        <v>0.4</v>
      </c>
      <c r="R38" s="34">
        <v>13.086009445604905</v>
      </c>
    </row>
    <row r="39" spans="11:18" x14ac:dyDescent="0.25">
      <c r="K39" s="39">
        <v>0.45</v>
      </c>
      <c r="L39" s="34">
        <v>13.055392796046794</v>
      </c>
      <c r="M39" s="34"/>
      <c r="N39" s="39">
        <v>0.45</v>
      </c>
      <c r="O39" s="34">
        <v>13.762374306541911</v>
      </c>
      <c r="P39" s="34"/>
      <c r="Q39" s="39">
        <v>0.45</v>
      </c>
      <c r="R39" s="34">
        <v>13.091887630787237</v>
      </c>
    </row>
    <row r="40" spans="11:18" x14ac:dyDescent="0.25">
      <c r="K40" s="39">
        <v>0.5</v>
      </c>
      <c r="L40" s="34">
        <v>13.043047937326818</v>
      </c>
      <c r="M40" s="34"/>
      <c r="N40" s="39">
        <v>0.5</v>
      </c>
      <c r="O40" s="34">
        <v>13.654698261046745</v>
      </c>
      <c r="P40" s="34"/>
      <c r="Q40" s="39">
        <v>0.5</v>
      </c>
      <c r="R40" s="34">
        <v>13.098332896559523</v>
      </c>
    </row>
    <row r="41" spans="11:18" x14ac:dyDescent="0.25">
      <c r="K41" s="39">
        <v>0.55000000000000004</v>
      </c>
      <c r="L41" s="34">
        <v>13.015576804655371</v>
      </c>
      <c r="M41" s="34"/>
      <c r="N41" s="39">
        <v>0.55000000000000004</v>
      </c>
      <c r="O41" s="34">
        <v>13.53888870576546</v>
      </c>
      <c r="P41" s="34"/>
      <c r="Q41" s="39">
        <v>0.55000000000000004</v>
      </c>
      <c r="R41" s="34">
        <v>13.105407304463604</v>
      </c>
    </row>
    <row r="42" spans="11:18" x14ac:dyDescent="0.25">
      <c r="K42" s="39">
        <v>0.6</v>
      </c>
      <c r="L42" s="34">
        <v>12.977142937798165</v>
      </c>
      <c r="M42" s="34"/>
      <c r="N42" s="39">
        <v>0.6</v>
      </c>
      <c r="O42" s="34">
        <v>13.441558766340627</v>
      </c>
      <c r="P42" s="34"/>
      <c r="Q42" s="39">
        <v>0.6</v>
      </c>
      <c r="R42" s="34">
        <v>13.113154125056573</v>
      </c>
    </row>
    <row r="43" spans="11:18" x14ac:dyDescent="0.25">
      <c r="K43" s="39">
        <v>0.65</v>
      </c>
      <c r="L43" s="34">
        <v>12.930519831985393</v>
      </c>
      <c r="M43" s="34"/>
      <c r="N43" s="39">
        <v>0.65</v>
      </c>
      <c r="O43" s="34">
        <v>13.38415919119643</v>
      </c>
      <c r="P43" s="34"/>
      <c r="Q43" s="39">
        <v>0.65</v>
      </c>
      <c r="R43" s="34">
        <v>13.121600056385345</v>
      </c>
    </row>
    <row r="44" spans="11:18" x14ac:dyDescent="0.25">
      <c r="K44" s="39">
        <v>0.7</v>
      </c>
      <c r="L44" s="34">
        <v>12.991444372663135</v>
      </c>
      <c r="M44" s="34"/>
      <c r="N44" s="39">
        <v>0.7</v>
      </c>
      <c r="O44" s="34">
        <v>13.326480683521041</v>
      </c>
      <c r="P44" s="34"/>
      <c r="Q44" s="39">
        <v>0.7</v>
      </c>
      <c r="R44" s="34">
        <v>13.130757296857668</v>
      </c>
    </row>
    <row r="45" spans="11:18" x14ac:dyDescent="0.25">
      <c r="K45" s="39">
        <v>0.75</v>
      </c>
      <c r="L45" s="34">
        <v>13.078846463390299</v>
      </c>
      <c r="M45" s="34"/>
      <c r="N45" s="39">
        <v>0.75</v>
      </c>
      <c r="O45" s="34">
        <v>13.270963998223362</v>
      </c>
      <c r="P45" s="34"/>
      <c r="Q45" s="39">
        <v>0.75</v>
      </c>
      <c r="R45" s="34">
        <v>13.140625461012933</v>
      </c>
    </row>
    <row r="46" spans="11:18" x14ac:dyDescent="0.25">
      <c r="K46" s="39">
        <v>0.8</v>
      </c>
      <c r="L46" s="34">
        <v>13.173865879024593</v>
      </c>
      <c r="M46" s="34"/>
      <c r="N46" s="39">
        <v>0.8</v>
      </c>
      <c r="O46" s="34">
        <v>13.219258097730497</v>
      </c>
      <c r="P46" s="34"/>
      <c r="Q46" s="39">
        <v>0.8</v>
      </c>
      <c r="R46" s="34">
        <v>13.151193325959778</v>
      </c>
    </row>
    <row r="47" spans="11:18" x14ac:dyDescent="0.25">
      <c r="K47" s="39">
        <v>0.85</v>
      </c>
      <c r="L47" s="34">
        <v>13.277227135794492</v>
      </c>
      <c r="M47" s="34"/>
      <c r="N47" s="39">
        <v>0.85</v>
      </c>
      <c r="O47" s="34">
        <v>13.172321789221046</v>
      </c>
      <c r="P47" s="34"/>
      <c r="Q47" s="39">
        <v>0.85</v>
      </c>
      <c r="R47" s="34">
        <v>13.220685737983619</v>
      </c>
    </row>
    <row r="48" spans="11:18" x14ac:dyDescent="0.25">
      <c r="K48" s="39">
        <v>0.9</v>
      </c>
      <c r="L48" s="34">
        <v>13.389894940993845</v>
      </c>
      <c r="M48" s="34"/>
      <c r="N48" s="39">
        <v>0.9</v>
      </c>
      <c r="O48" s="34">
        <v>13.130538622321678</v>
      </c>
      <c r="P48" s="34"/>
      <c r="Q48" s="39">
        <v>0.9</v>
      </c>
      <c r="R48" s="34">
        <v>13.29222904935558</v>
      </c>
    </row>
    <row r="49" spans="11:18" x14ac:dyDescent="0.25">
      <c r="K49" s="39">
        <v>0.95</v>
      </c>
      <c r="L49" s="34">
        <v>13.513062372586713</v>
      </c>
      <c r="M49" s="34"/>
      <c r="N49" s="39">
        <v>0.95</v>
      </c>
      <c r="O49" s="34">
        <v>13.093836463028174</v>
      </c>
      <c r="P49" s="34"/>
      <c r="Q49" s="39">
        <v>0.95</v>
      </c>
      <c r="R49" s="34">
        <v>13.362404479150458</v>
      </c>
    </row>
    <row r="50" spans="11:18" x14ac:dyDescent="0.25">
      <c r="K50" s="39">
        <v>1</v>
      </c>
      <c r="L50" s="34">
        <v>13.662600204077213</v>
      </c>
      <c r="M50" s="34"/>
      <c r="N50" s="39">
        <v>1</v>
      </c>
      <c r="O50" s="34">
        <v>13.061805082224128</v>
      </c>
      <c r="P50" s="34"/>
      <c r="Q50" s="39">
        <v>1</v>
      </c>
      <c r="R50" s="34">
        <v>13.431185780724107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59999389629810485"/>
  </sheetPr>
  <dimension ref="A1:AA50"/>
  <sheetViews>
    <sheetView zoomScale="70" zoomScaleNormal="70" workbookViewId="0">
      <selection activeCell="T29" sqref="T29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8" width="15.85546875" bestFit="1" customWidth="1"/>
    <col min="9" max="9" width="15.7109375" bestFit="1" customWidth="1"/>
    <col min="11" max="11" width="12.140625" bestFit="1" customWidth="1"/>
    <col min="12" max="12" width="7.42578125" bestFit="1" customWidth="1"/>
    <col min="13" max="13" width="10.57031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5703125" bestFit="1" customWidth="1"/>
    <col min="19" max="19" width="10.7109375" bestFit="1" customWidth="1"/>
    <col min="20" max="20" width="6.42578125" bestFit="1" customWidth="1"/>
    <col min="22" max="22" width="8.28515625" bestFit="1" customWidth="1"/>
    <col min="23" max="23" width="9.7109375" bestFit="1" customWidth="1"/>
    <col min="26" max="26" width="3.42578125" bestFit="1" customWidth="1"/>
    <col min="27" max="27" width="12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0.16735639802422286</v>
      </c>
      <c r="G4" s="46">
        <v>0.72244659621316121</v>
      </c>
      <c r="H4" s="46">
        <v>0</v>
      </c>
      <c r="I4" s="46">
        <v>0</v>
      </c>
      <c r="K4">
        <v>-3</v>
      </c>
      <c r="Q4" s="31">
        <f>AA6</f>
        <v>0.42623728684393825</v>
      </c>
      <c r="V4" s="40">
        <f>AVERAGE(N8,N12,N16,N20,N24)</f>
        <v>0.44070767113772724</v>
      </c>
      <c r="W4" s="40">
        <f>AVERAGE(V4:V7)</f>
        <v>1.0339491281978979</v>
      </c>
      <c r="X4" s="40">
        <f>V4/$W$4</f>
        <v>0.42623728684393825</v>
      </c>
      <c r="Z4" s="24" t="s">
        <v>40</v>
      </c>
      <c r="AA4" s="28">
        <f>B17</f>
        <v>21654.397058823532</v>
      </c>
    </row>
    <row r="5" spans="1:27" ht="18.75" x14ac:dyDescent="0.35">
      <c r="A5" s="17" t="s">
        <v>12</v>
      </c>
      <c r="B5" s="17">
        <v>2.8008163959642108E-2</v>
      </c>
      <c r="K5">
        <v>-2</v>
      </c>
      <c r="Q5" s="31">
        <f t="shared" ref="Q5:Q7" si="0">AA7</f>
        <v>0.91772904402713784</v>
      </c>
      <c r="V5" s="40">
        <f>AVERAGE(N9,N13,N17,N21)</f>
        <v>0.94888514499374943</v>
      </c>
      <c r="W5" s="40"/>
      <c r="X5" s="40">
        <f t="shared" ref="X5:X7" si="1">V5/$W$4</f>
        <v>0.91772904402713784</v>
      </c>
      <c r="Z5" s="25" t="s">
        <v>41</v>
      </c>
      <c r="AA5" s="29">
        <f>B18</f>
        <v>531.44607843137214</v>
      </c>
    </row>
    <row r="6" spans="1:27" ht="18.75" x14ac:dyDescent="0.35">
      <c r="A6" s="17" t="s">
        <v>13</v>
      </c>
      <c r="B6" s="17">
        <v>-3.6791291776381754E-2</v>
      </c>
      <c r="K6">
        <v>-1</v>
      </c>
      <c r="Q6" s="31">
        <f t="shared" si="0"/>
        <v>1.8558779202041151</v>
      </c>
      <c r="V6" s="40">
        <f>AVERAGE(N10,N14,N18,N22)</f>
        <v>1.9188833576367728</v>
      </c>
      <c r="W6" s="40"/>
      <c r="X6" s="40">
        <f t="shared" si="1"/>
        <v>1.8558779202041151</v>
      </c>
      <c r="Z6" s="26" t="s">
        <v>42</v>
      </c>
      <c r="AA6" s="30">
        <f>X4</f>
        <v>0.42623728684393825</v>
      </c>
    </row>
    <row r="7" spans="1:27" ht="18.75" x14ac:dyDescent="0.35">
      <c r="A7" s="17" t="s">
        <v>14</v>
      </c>
      <c r="B7" s="17">
        <v>16327.987050728518</v>
      </c>
      <c r="K7">
        <v>0</v>
      </c>
      <c r="O7" s="31">
        <f>AA4</f>
        <v>21654.397058823532</v>
      </c>
      <c r="P7" s="31">
        <f>AA5</f>
        <v>531.44607843137214</v>
      </c>
      <c r="Q7" s="31">
        <f t="shared" si="0"/>
        <v>0.80015574892480856</v>
      </c>
      <c r="V7" s="40">
        <f>AVERAGE(N11,N15,N19,N23)</f>
        <v>0.8273203390233419</v>
      </c>
      <c r="W7" s="40"/>
      <c r="X7" s="40">
        <f t="shared" si="1"/>
        <v>0.80015574892480856</v>
      </c>
      <c r="Z7" s="26" t="s">
        <v>43</v>
      </c>
      <c r="AA7" s="30">
        <f t="shared" ref="AA7:AA9" si="2">X5</f>
        <v>0.91772904402713784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Data!G2</f>
        <v>10688</v>
      </c>
      <c r="M8" s="34">
        <f>$B$17+$B$18*K8</f>
        <v>22185.843137254902</v>
      </c>
      <c r="N8" s="34">
        <f>L8/M8</f>
        <v>0.48174865087964591</v>
      </c>
      <c r="O8" s="34">
        <f>$G$4*(L8/Q4)+((1-$G$4)*(O7+P7))</f>
        <v>24273.274227559916</v>
      </c>
      <c r="P8" s="34">
        <f>$H$4*(O8-O7)+((1-$H$4)*P7)</f>
        <v>531.44607843137214</v>
      </c>
      <c r="Q8" s="33">
        <f>$I$4*(L8/O8)+((1-$I$4)*Q4)</f>
        <v>0.42623728684393825</v>
      </c>
      <c r="R8" s="34">
        <f>SUM(O7:P7)*Q4</f>
        <v>9456.4335851687356</v>
      </c>
      <c r="S8" s="34">
        <f>L8-R8</f>
        <v>1231.5664148312644</v>
      </c>
      <c r="T8" s="34">
        <f>ABS(S8/L8)*100</f>
        <v>11.522889360322459</v>
      </c>
      <c r="Z8" s="26" t="s">
        <v>44</v>
      </c>
      <c r="AA8" s="30">
        <f t="shared" si="2"/>
        <v>1.8558779202041151</v>
      </c>
    </row>
    <row r="9" spans="1:27" ht="18.75" x14ac:dyDescent="0.35">
      <c r="K9">
        <v>2</v>
      </c>
      <c r="L9">
        <f>Data!G3</f>
        <v>21688</v>
      </c>
      <c r="M9" s="34">
        <f t="shared" ref="M9:M24" si="3">$B$17+$B$18*K9</f>
        <v>22717.289215686276</v>
      </c>
      <c r="N9" s="34">
        <f t="shared" ref="N9:N24" si="4">L9/M9</f>
        <v>0.95469137158426665</v>
      </c>
      <c r="O9" s="34">
        <f t="shared" ref="O9:O24" si="5">$G$4*(L9/Q5)+((1-$G$4)*(O8+P8))</f>
        <v>23957.671391843025</v>
      </c>
      <c r="P9" s="34">
        <f t="shared" ref="P9:P24" si="6">$H$4*(O9-O8)+((1-$H$4)*P8)</f>
        <v>531.44607843137214</v>
      </c>
      <c r="Q9" s="33">
        <f t="shared" ref="Q9:Q24" si="7">$I$4*(L9/O9)+((1-$I$4)*Q5)</f>
        <v>0.91772904402713784</v>
      </c>
      <c r="R9" s="34">
        <f t="shared" ref="R9:R25" si="8">SUM(O8:P8)*Q5</f>
        <v>22764.012253777917</v>
      </c>
      <c r="S9" s="34">
        <f t="shared" ref="S9:S24" si="9">L9-R9</f>
        <v>-1076.0122537779171</v>
      </c>
      <c r="T9" s="34">
        <f t="shared" ref="T9:T24" si="10">ABS(S9/L9)*100</f>
        <v>4.9613254047303439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0.80015574892480856</v>
      </c>
    </row>
    <row r="10" spans="1:27" ht="16.5" thickBot="1" x14ac:dyDescent="0.3">
      <c r="A10" t="s">
        <v>16</v>
      </c>
      <c r="K10">
        <v>3</v>
      </c>
      <c r="L10">
        <f>Data!G4</f>
        <v>40814</v>
      </c>
      <c r="M10" s="34">
        <f t="shared" si="3"/>
        <v>23248.735294117647</v>
      </c>
      <c r="N10" s="34">
        <f t="shared" si="4"/>
        <v>1.7555363542861915</v>
      </c>
      <c r="O10" s="34">
        <f t="shared" si="5"/>
        <v>22684.901576096072</v>
      </c>
      <c r="P10" s="34">
        <f t="shared" si="6"/>
        <v>531.44607843137214</v>
      </c>
      <c r="Q10" s="33">
        <f t="shared" si="7"/>
        <v>1.8558779202041151</v>
      </c>
      <c r="R10" s="34">
        <f t="shared" si="8"/>
        <v>45448.812398367103</v>
      </c>
      <c r="S10" s="34">
        <f t="shared" si="9"/>
        <v>-4634.812398367103</v>
      </c>
      <c r="T10" s="34">
        <f t="shared" si="10"/>
        <v>11.355937664446277</v>
      </c>
      <c r="V10" s="34">
        <f>AVERAGE(T8:T24)</f>
        <v>10.768062688580486</v>
      </c>
      <c r="W10" s="34">
        <f>SUMPRODUCT(ABS(S8:S24))/17</f>
        <v>2599.7136593441855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Data!G5</f>
        <v>19510</v>
      </c>
      <c r="M11" s="35">
        <f t="shared" si="3"/>
        <v>23780.181372549021</v>
      </c>
      <c r="N11" s="35">
        <f t="shared" si="4"/>
        <v>0.82043108479070037</v>
      </c>
      <c r="O11" s="35">
        <f t="shared" si="5"/>
        <v>24059.013237397514</v>
      </c>
      <c r="P11" s="35">
        <f t="shared" si="6"/>
        <v>531.44607843137214</v>
      </c>
      <c r="Q11" s="41">
        <f t="shared" si="7"/>
        <v>0.80015574892480856</v>
      </c>
      <c r="R11" s="35">
        <f t="shared" si="8"/>
        <v>18576.694044807129</v>
      </c>
      <c r="S11" s="35">
        <f t="shared" si="9"/>
        <v>933.3059551928709</v>
      </c>
      <c r="T11" s="35">
        <f t="shared" si="10"/>
        <v>4.783731190122352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115233453.18627405</v>
      </c>
      <c r="D12" s="17">
        <v>115233453.18627405</v>
      </c>
      <c r="E12" s="17">
        <v>0.43222838280833858</v>
      </c>
      <c r="F12" s="17">
        <v>0.52085904081351675</v>
      </c>
      <c r="K12">
        <v>5</v>
      </c>
      <c r="L12">
        <f>Data!G6</f>
        <v>9824</v>
      </c>
      <c r="M12" s="34">
        <f t="shared" si="3"/>
        <v>24311.627450980392</v>
      </c>
      <c r="N12" s="34">
        <f t="shared" si="4"/>
        <v>0.40408648165607841</v>
      </c>
      <c r="O12" s="34">
        <f t="shared" si="5"/>
        <v>23476.255535055716</v>
      </c>
      <c r="P12" s="34">
        <f t="shared" si="6"/>
        <v>531.44607843137214</v>
      </c>
      <c r="Q12" s="33">
        <f t="shared" si="7"/>
        <v>0.42623728684393825</v>
      </c>
      <c r="R12" s="34">
        <f t="shared" si="8"/>
        <v>10481.37066102515</v>
      </c>
      <c r="S12" s="34">
        <f t="shared" si="9"/>
        <v>-657.37066102515018</v>
      </c>
      <c r="T12" s="34">
        <f t="shared" si="10"/>
        <v>6.6914765983830433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3999047416.9313726</v>
      </c>
      <c r="D13" s="17">
        <v>266603161.12875816</v>
      </c>
      <c r="E13" s="17"/>
      <c r="F13" s="17"/>
      <c r="K13">
        <v>6</v>
      </c>
      <c r="L13">
        <f>Data!G7</f>
        <v>21848</v>
      </c>
      <c r="M13" s="34">
        <f t="shared" si="3"/>
        <v>24843.073529411766</v>
      </c>
      <c r="N13" s="34">
        <f t="shared" si="4"/>
        <v>0.87944029848537497</v>
      </c>
      <c r="O13" s="34">
        <f t="shared" si="5"/>
        <v>23862.40993533063</v>
      </c>
      <c r="P13" s="34">
        <f t="shared" si="6"/>
        <v>531.44607843137214</v>
      </c>
      <c r="Q13" s="33">
        <f t="shared" si="7"/>
        <v>0.91772904402713784</v>
      </c>
      <c r="R13" s="34">
        <f t="shared" si="8"/>
        <v>22032.565051034278</v>
      </c>
      <c r="S13" s="34">
        <f t="shared" si="9"/>
        <v>-184.56505103427844</v>
      </c>
      <c r="T13" s="34">
        <f t="shared" si="10"/>
        <v>0.84476863344140618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4114280870.1176467</v>
      </c>
      <c r="D14" s="18"/>
      <c r="E14" s="18"/>
      <c r="F14" s="18"/>
      <c r="K14">
        <v>7</v>
      </c>
      <c r="L14">
        <f>Data!G8</f>
        <v>48936</v>
      </c>
      <c r="M14" s="34">
        <f t="shared" si="3"/>
        <v>25374.519607843136</v>
      </c>
      <c r="N14" s="34">
        <f t="shared" si="4"/>
        <v>1.9285488259992174</v>
      </c>
      <c r="O14" s="34">
        <f t="shared" si="5"/>
        <v>25820.151754069891</v>
      </c>
      <c r="P14" s="34">
        <f t="shared" si="6"/>
        <v>531.44607843137214</v>
      </c>
      <c r="Q14" s="33">
        <f t="shared" si="7"/>
        <v>1.8558779202041151</v>
      </c>
      <c r="R14" s="34">
        <f t="shared" si="8"/>
        <v>45272.018764579268</v>
      </c>
      <c r="S14" s="34">
        <f t="shared" si="9"/>
        <v>3663.9812354207315</v>
      </c>
      <c r="T14" s="34">
        <f t="shared" si="10"/>
        <v>7.4872920455712189</v>
      </c>
      <c r="AA14" s="27"/>
    </row>
    <row r="15" spans="1:27" ht="16.5" thickBot="1" x14ac:dyDescent="0.3">
      <c r="K15" s="23">
        <v>8</v>
      </c>
      <c r="L15" s="23">
        <f>Data!G9</f>
        <v>24640</v>
      </c>
      <c r="M15" s="35">
        <f t="shared" si="3"/>
        <v>25905.965686274511</v>
      </c>
      <c r="N15" s="35">
        <f t="shared" si="4"/>
        <v>0.95113227194054206</v>
      </c>
      <c r="O15" s="35">
        <f t="shared" si="5"/>
        <v>29560.999649417448</v>
      </c>
      <c r="P15" s="35">
        <f t="shared" si="6"/>
        <v>531.44607843137214</v>
      </c>
      <c r="Q15" s="41">
        <f t="shared" si="7"/>
        <v>0.80015574892480856</v>
      </c>
      <c r="R15" s="35">
        <f t="shared" si="8"/>
        <v>21085.382499030409</v>
      </c>
      <c r="S15" s="35">
        <f t="shared" si="9"/>
        <v>3554.6175009695908</v>
      </c>
      <c r="T15" s="35">
        <f t="shared" si="10"/>
        <v>14.426207390298664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Data!G10</f>
        <v>12400</v>
      </c>
      <c r="M16" s="34">
        <f t="shared" si="3"/>
        <v>26437.411764705881</v>
      </c>
      <c r="N16" s="34">
        <f t="shared" si="4"/>
        <v>0.46903229825826148</v>
      </c>
      <c r="O16" s="34">
        <f t="shared" si="5"/>
        <v>29369.51584546001</v>
      </c>
      <c r="P16" s="34">
        <f t="shared" si="6"/>
        <v>531.44607843137214</v>
      </c>
      <c r="Q16" s="33">
        <f t="shared" si="7"/>
        <v>0.42623728684393825</v>
      </c>
      <c r="R16" s="34">
        <f t="shared" si="8"/>
        <v>12826.522421536742</v>
      </c>
      <c r="S16" s="34">
        <f t="shared" si="9"/>
        <v>-426.5224215367416</v>
      </c>
      <c r="T16" s="34">
        <f t="shared" si="10"/>
        <v>3.4396969478769481</v>
      </c>
      <c r="AA16" s="27"/>
    </row>
    <row r="17" spans="1:27" ht="15.75" x14ac:dyDescent="0.25">
      <c r="A17" s="17" t="s">
        <v>19</v>
      </c>
      <c r="B17" s="21">
        <v>21654.397058823532</v>
      </c>
      <c r="C17" s="17">
        <v>8283.1822172055581</v>
      </c>
      <c r="D17" s="17">
        <v>2.6142606175973913</v>
      </c>
      <c r="E17" s="17">
        <v>1.9536149706033092E-2</v>
      </c>
      <c r="F17" s="17">
        <v>3999.2120861719413</v>
      </c>
      <c r="G17" s="17">
        <v>39309.582031475118</v>
      </c>
      <c r="H17" s="17">
        <v>3999.2120861719413</v>
      </c>
      <c r="I17" s="17">
        <v>39309.582031475118</v>
      </c>
      <c r="K17">
        <v>10</v>
      </c>
      <c r="L17">
        <f>Data!G11</f>
        <v>23692</v>
      </c>
      <c r="M17" s="34">
        <f t="shared" si="3"/>
        <v>26968.857843137252</v>
      </c>
      <c r="N17" s="34">
        <f t="shared" si="4"/>
        <v>0.87849474893609147</v>
      </c>
      <c r="O17" s="34">
        <f t="shared" si="5"/>
        <v>26949.721875196708</v>
      </c>
      <c r="P17" s="34">
        <f t="shared" si="6"/>
        <v>531.44607843137214</v>
      </c>
      <c r="Q17" s="33">
        <f t="shared" si="7"/>
        <v>0.91772904402713784</v>
      </c>
      <c r="R17" s="34">
        <f t="shared" si="8"/>
        <v>27440.981201904684</v>
      </c>
      <c r="S17" s="34">
        <f t="shared" si="9"/>
        <v>-3748.981201904684</v>
      </c>
      <c r="T17" s="34">
        <f t="shared" si="10"/>
        <v>15.823827460343932</v>
      </c>
      <c r="AA17" s="27"/>
    </row>
    <row r="18" spans="1:27" ht="15.75" thickBot="1" x14ac:dyDescent="0.3">
      <c r="A18" s="18" t="s">
        <v>32</v>
      </c>
      <c r="B18" s="22">
        <v>531.44607843137214</v>
      </c>
      <c r="C18" s="18">
        <v>808.35581300168974</v>
      </c>
      <c r="D18" s="18">
        <v>0.65744078273890172</v>
      </c>
      <c r="E18" s="18">
        <v>0.52085904081351631</v>
      </c>
      <c r="F18" s="18">
        <v>-1191.5235518416812</v>
      </c>
      <c r="G18" s="18">
        <v>2254.4157087044255</v>
      </c>
      <c r="H18" s="18">
        <v>-1191.5235518416812</v>
      </c>
      <c r="I18" s="18">
        <v>2254.4157087044255</v>
      </c>
      <c r="K18">
        <v>11</v>
      </c>
      <c r="L18">
        <f>Data!G12</f>
        <v>47904</v>
      </c>
      <c r="M18" s="34">
        <f t="shared" si="3"/>
        <v>27500.303921568626</v>
      </c>
      <c r="N18" s="34">
        <f t="shared" si="4"/>
        <v>1.7419443849283662</v>
      </c>
      <c r="O18" s="34">
        <f t="shared" si="5"/>
        <v>26275.314047884356</v>
      </c>
      <c r="P18" s="34">
        <f t="shared" si="6"/>
        <v>531.44607843137214</v>
      </c>
      <c r="Q18" s="33">
        <f t="shared" si="7"/>
        <v>1.8558779202041151</v>
      </c>
      <c r="R18" s="34">
        <f t="shared" si="8"/>
        <v>51001.692826559258</v>
      </c>
      <c r="S18" s="34">
        <f t="shared" si="9"/>
        <v>-3097.6928265592578</v>
      </c>
      <c r="T18" s="34">
        <f t="shared" si="10"/>
        <v>6.4664596412810154</v>
      </c>
    </row>
    <row r="19" spans="1:27" x14ac:dyDescent="0.25">
      <c r="K19" s="23">
        <v>12</v>
      </c>
      <c r="L19" s="23">
        <f>Data!G13</f>
        <v>26990</v>
      </c>
      <c r="M19" s="35">
        <f t="shared" si="3"/>
        <v>28031.749999999996</v>
      </c>
      <c r="N19" s="35">
        <f t="shared" si="4"/>
        <v>0.96283678329037625</v>
      </c>
      <c r="O19" s="35">
        <f t="shared" si="5"/>
        <v>31809.105289732899</v>
      </c>
      <c r="P19" s="35">
        <f t="shared" si="6"/>
        <v>531.44607843137214</v>
      </c>
      <c r="Q19" s="41">
        <f t="shared" si="7"/>
        <v>0.80015574892480856</v>
      </c>
      <c r="R19" s="35">
        <f t="shared" si="8"/>
        <v>21449.583225119855</v>
      </c>
      <c r="S19" s="35">
        <f t="shared" si="9"/>
        <v>5540.4167748801447</v>
      </c>
      <c r="T19" s="35">
        <f t="shared" si="10"/>
        <v>20.52766496806278</v>
      </c>
    </row>
    <row r="20" spans="1:27" x14ac:dyDescent="0.25">
      <c r="K20">
        <v>13</v>
      </c>
      <c r="L20">
        <f>Data!G14</f>
        <v>13851</v>
      </c>
      <c r="M20" s="34">
        <f t="shared" si="3"/>
        <v>28563.196078431371</v>
      </c>
      <c r="N20" s="34">
        <f t="shared" si="4"/>
        <v>0.4849247248790608</v>
      </c>
      <c r="O20" s="34">
        <f t="shared" si="5"/>
        <v>32452.843053322234</v>
      </c>
      <c r="P20" s="34">
        <f t="shared" si="6"/>
        <v>531.44607843137214</v>
      </c>
      <c r="Q20" s="33">
        <f t="shared" si="7"/>
        <v>0.42623728684393825</v>
      </c>
      <c r="R20" s="34">
        <f t="shared" si="8"/>
        <v>13784.748870203353</v>
      </c>
      <c r="S20" s="34">
        <f t="shared" si="9"/>
        <v>66.251129796646637</v>
      </c>
      <c r="T20" s="34">
        <f t="shared" si="10"/>
        <v>0.47831297232435666</v>
      </c>
    </row>
    <row r="21" spans="1:27" x14ac:dyDescent="0.25">
      <c r="K21">
        <v>14</v>
      </c>
      <c r="L21">
        <f>Data!G15</f>
        <v>31507</v>
      </c>
      <c r="M21" s="34">
        <f t="shared" si="3"/>
        <v>29094.642156862741</v>
      </c>
      <c r="N21" s="34">
        <f t="shared" si="4"/>
        <v>1.0829141609692643</v>
      </c>
      <c r="O21" s="34">
        <f t="shared" si="5"/>
        <v>33957.565485561085</v>
      </c>
      <c r="P21" s="34">
        <f t="shared" si="6"/>
        <v>531.44607843137214</v>
      </c>
      <c r="Q21" s="33">
        <f t="shared" si="7"/>
        <v>0.91772904402713784</v>
      </c>
      <c r="R21" s="34">
        <f t="shared" si="8"/>
        <v>30270.640132798948</v>
      </c>
      <c r="S21" s="34">
        <f t="shared" si="9"/>
        <v>1236.3598672010521</v>
      </c>
      <c r="T21" s="34">
        <f t="shared" si="10"/>
        <v>3.9240799416036185</v>
      </c>
    </row>
    <row r="22" spans="1:27" x14ac:dyDescent="0.25">
      <c r="K22">
        <v>15</v>
      </c>
      <c r="L22">
        <f>Data!G16</f>
        <v>66644</v>
      </c>
      <c r="M22" s="34">
        <f t="shared" si="3"/>
        <v>29626.088235294112</v>
      </c>
      <c r="N22" s="34">
        <f t="shared" si="4"/>
        <v>2.2495038653333164</v>
      </c>
      <c r="O22" s="34">
        <f t="shared" si="5"/>
        <v>35515.375555948078</v>
      </c>
      <c r="P22" s="34">
        <f t="shared" si="6"/>
        <v>531.44607843137214</v>
      </c>
      <c r="Q22" s="33">
        <f t="shared" si="7"/>
        <v>1.8558779202041151</v>
      </c>
      <c r="R22" s="34">
        <f t="shared" si="8"/>
        <v>64007.395051277992</v>
      </c>
      <c r="S22" s="34">
        <f t="shared" si="9"/>
        <v>2636.604948722008</v>
      </c>
      <c r="T22" s="34">
        <f t="shared" si="10"/>
        <v>3.9562525489496547</v>
      </c>
    </row>
    <row r="23" spans="1:27" x14ac:dyDescent="0.25">
      <c r="K23" s="23">
        <v>16</v>
      </c>
      <c r="L23" s="23">
        <f>Data!G17</f>
        <v>17337</v>
      </c>
      <c r="M23" s="35">
        <f t="shared" si="3"/>
        <v>30157.534313725486</v>
      </c>
      <c r="N23" s="35">
        <f t="shared" si="4"/>
        <v>0.5748812160717488</v>
      </c>
      <c r="O23" s="35">
        <f t="shared" si="5"/>
        <v>25658.19136289139</v>
      </c>
      <c r="P23" s="35">
        <f t="shared" si="6"/>
        <v>531.44607843137214</v>
      </c>
      <c r="Q23" s="41">
        <f t="shared" si="7"/>
        <v>0.80015574892480856</v>
      </c>
      <c r="R23" s="35">
        <f t="shared" si="8"/>
        <v>28843.071561215878</v>
      </c>
      <c r="S23" s="35">
        <f t="shared" si="9"/>
        <v>-11506.071561215878</v>
      </c>
      <c r="T23" s="35">
        <f t="shared" si="10"/>
        <v>66.367142880636081</v>
      </c>
    </row>
    <row r="24" spans="1:27" x14ac:dyDescent="0.25">
      <c r="K24">
        <v>17</v>
      </c>
      <c r="L24">
        <f>Data!G18</f>
        <v>11163</v>
      </c>
      <c r="M24" s="34">
        <f t="shared" si="3"/>
        <v>30688.98039215686</v>
      </c>
      <c r="N24" s="34">
        <f t="shared" si="4"/>
        <v>0.36374620001558972</v>
      </c>
      <c r="O24" s="34">
        <f t="shared" si="5"/>
        <v>26189.637430448307</v>
      </c>
      <c r="P24" s="34">
        <f t="shared" si="6"/>
        <v>531.44607843137214</v>
      </c>
      <c r="Q24" s="33">
        <f t="shared" si="7"/>
        <v>0.42623728684393825</v>
      </c>
      <c r="R24" s="34">
        <f t="shared" si="8"/>
        <v>11163.000006415834</v>
      </c>
      <c r="S24" s="34">
        <f t="shared" si="9"/>
        <v>-6.4158339228015393E-6</v>
      </c>
      <c r="T24" s="34">
        <f t="shared" si="10"/>
        <v>5.7474101252365305E-8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 t="shared" si="8"/>
        <v>24522.714423973466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($O$24+($P$24*2))*Q22</f>
        <v>50577.367930799948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($O$24+($P$24*3))*Q23</f>
        <v>22231.507856930784</v>
      </c>
      <c r="S27" s="34"/>
      <c r="T27" s="34"/>
    </row>
    <row r="29" spans="1:27" ht="15.75" x14ac:dyDescent="0.25">
      <c r="K29" s="37" t="s">
        <v>53</v>
      </c>
      <c r="L29" s="36">
        <f>V10</f>
        <v>10.768062688580486</v>
      </c>
      <c r="M29" s="34"/>
      <c r="N29" s="37" t="s">
        <v>54</v>
      </c>
      <c r="O29" s="36">
        <f>V10</f>
        <v>10.768062688580486</v>
      </c>
      <c r="P29" s="34"/>
      <c r="Q29" s="37" t="s">
        <v>55</v>
      </c>
      <c r="R29" s="36">
        <f>V10</f>
        <v>10.768062688580486</v>
      </c>
    </row>
    <row r="30" spans="1:27" x14ac:dyDescent="0.25">
      <c r="K30" s="39">
        <v>0</v>
      </c>
      <c r="L30" s="34">
        <f t="dataTable" ref="L30:L50" dt2D="0" dtr="0" r1="G4"/>
        <v>11.253291614473033</v>
      </c>
      <c r="M30" s="34"/>
      <c r="N30" s="39">
        <v>0</v>
      </c>
      <c r="O30" s="34">
        <f t="dataTable" ref="O30:O50" dt2D="0" dtr="0" r1="H4" ca="1"/>
        <v>10.768062688580486</v>
      </c>
      <c r="P30" s="34"/>
      <c r="Q30" s="39">
        <v>0</v>
      </c>
      <c r="R30" s="34">
        <f t="dataTable" ref="R30:R50" dt2D="0" dtr="0" r1="I4" ca="1"/>
        <v>10.768062688580486</v>
      </c>
    </row>
    <row r="31" spans="1:27" x14ac:dyDescent="0.25">
      <c r="K31" s="39">
        <v>0.05</v>
      </c>
      <c r="L31" s="34">
        <v>11.464597594994942</v>
      </c>
      <c r="M31" s="34"/>
      <c r="N31" s="39">
        <v>0.05</v>
      </c>
      <c r="O31" s="34">
        <v>10.944421572359708</v>
      </c>
      <c r="P31" s="34"/>
      <c r="Q31" s="39">
        <v>0.05</v>
      </c>
      <c r="R31" s="34">
        <v>10.856793184813572</v>
      </c>
    </row>
    <row r="32" spans="1:27" x14ac:dyDescent="0.25">
      <c r="K32" s="39">
        <v>0.1</v>
      </c>
      <c r="L32" s="34">
        <v>11.595486480506777</v>
      </c>
      <c r="M32" s="34"/>
      <c r="N32" s="39">
        <v>0.1</v>
      </c>
      <c r="O32" s="34">
        <v>11.181189140444667</v>
      </c>
      <c r="P32" s="34"/>
      <c r="Q32" s="39">
        <v>0.1</v>
      </c>
      <c r="R32" s="34">
        <v>10.943957995926299</v>
      </c>
    </row>
    <row r="33" spans="11:18" x14ac:dyDescent="0.25">
      <c r="K33" s="39">
        <v>0.15</v>
      </c>
      <c r="L33" s="34">
        <v>11.666376574789343</v>
      </c>
      <c r="M33" s="34"/>
      <c r="N33" s="39">
        <v>0.15</v>
      </c>
      <c r="O33" s="34">
        <v>11.420275492892792</v>
      </c>
      <c r="P33" s="34"/>
      <c r="Q33" s="39">
        <v>0.15</v>
      </c>
      <c r="R33" s="34">
        <v>11.029586595450187</v>
      </c>
    </row>
    <row r="34" spans="11:18" x14ac:dyDescent="0.25">
      <c r="K34" s="39">
        <v>0.2</v>
      </c>
      <c r="L34" s="34">
        <v>11.68740854261849</v>
      </c>
      <c r="M34" s="34"/>
      <c r="N34" s="39">
        <v>0.2</v>
      </c>
      <c r="O34" s="34">
        <v>11.689420992725957</v>
      </c>
      <c r="P34" s="34"/>
      <c r="Q34" s="39">
        <v>0.2</v>
      </c>
      <c r="R34" s="34">
        <v>11.113708982791243</v>
      </c>
    </row>
    <row r="35" spans="11:18" x14ac:dyDescent="0.25">
      <c r="K35" s="39">
        <v>0.25</v>
      </c>
      <c r="L35" s="34">
        <v>11.664207505784432</v>
      </c>
      <c r="M35" s="34"/>
      <c r="N35" s="39">
        <v>0.25</v>
      </c>
      <c r="O35" s="34">
        <v>11.968203139718664</v>
      </c>
      <c r="P35" s="34"/>
      <c r="Q35" s="39">
        <v>0.25</v>
      </c>
      <c r="R35" s="34">
        <v>11.204439725243143</v>
      </c>
    </row>
    <row r="36" spans="11:18" x14ac:dyDescent="0.25">
      <c r="K36" s="39">
        <v>0.3</v>
      </c>
      <c r="L36" s="34">
        <v>11.600345185841638</v>
      </c>
      <c r="M36" s="34"/>
      <c r="N36" s="39">
        <v>0.3</v>
      </c>
      <c r="O36" s="34">
        <v>12.24380648681665</v>
      </c>
      <c r="P36" s="34"/>
      <c r="Q36" s="39">
        <v>0.3</v>
      </c>
      <c r="R36" s="34">
        <v>11.306949023613825</v>
      </c>
    </row>
    <row r="37" spans="11:18" x14ac:dyDescent="0.25">
      <c r="K37" s="39">
        <v>0.35</v>
      </c>
      <c r="L37" s="34">
        <v>11.546388951364408</v>
      </c>
      <c r="M37" s="34"/>
      <c r="N37" s="39">
        <v>0.35</v>
      </c>
      <c r="O37" s="34">
        <v>12.513143010053216</v>
      </c>
      <c r="P37" s="34"/>
      <c r="Q37" s="39">
        <v>0.35</v>
      </c>
      <c r="R37" s="34">
        <v>11.407984219134557</v>
      </c>
    </row>
    <row r="38" spans="11:18" x14ac:dyDescent="0.25">
      <c r="K38" s="39">
        <v>0.4</v>
      </c>
      <c r="L38" s="34">
        <v>11.480571512943184</v>
      </c>
      <c r="M38" s="34"/>
      <c r="N38" s="39">
        <v>0.4</v>
      </c>
      <c r="O38" s="34">
        <v>12.7735527210203</v>
      </c>
      <c r="P38" s="34"/>
      <c r="Q38" s="39">
        <v>0.4</v>
      </c>
      <c r="R38" s="34">
        <v>11.507578192527971</v>
      </c>
    </row>
    <row r="39" spans="11:18" x14ac:dyDescent="0.25">
      <c r="K39" s="39">
        <v>0.45</v>
      </c>
      <c r="L39" s="34">
        <v>11.381109805572494</v>
      </c>
      <c r="M39" s="34"/>
      <c r="N39" s="39">
        <v>0.45</v>
      </c>
      <c r="O39" s="34">
        <v>13.083601662695141</v>
      </c>
      <c r="P39" s="34"/>
      <c r="Q39" s="39">
        <v>0.45</v>
      </c>
      <c r="R39" s="34">
        <v>11.605764574923521</v>
      </c>
    </row>
    <row r="40" spans="11:18" x14ac:dyDescent="0.25">
      <c r="K40" s="39">
        <v>0.5</v>
      </c>
      <c r="L40" s="34">
        <v>11.250367564681781</v>
      </c>
      <c r="M40" s="34"/>
      <c r="N40" s="39">
        <v>0.5</v>
      </c>
      <c r="O40" s="34">
        <v>13.410223504251078</v>
      </c>
      <c r="P40" s="34"/>
      <c r="Q40" s="39">
        <v>0.5</v>
      </c>
      <c r="R40" s="34">
        <v>11.702577783839265</v>
      </c>
    </row>
    <row r="41" spans="11:18" x14ac:dyDescent="0.25">
      <c r="K41" s="39">
        <v>0.55000000000000004</v>
      </c>
      <c r="L41" s="34">
        <v>11.136349169969652</v>
      </c>
      <c r="M41" s="34"/>
      <c r="N41" s="39">
        <v>0.55000000000000004</v>
      </c>
      <c r="O41" s="34">
        <v>13.72363642033201</v>
      </c>
      <c r="P41" s="34"/>
      <c r="Q41" s="39">
        <v>0.55000000000000004</v>
      </c>
      <c r="R41" s="34">
        <v>11.798053055944322</v>
      </c>
    </row>
    <row r="42" spans="11:18" x14ac:dyDescent="0.25">
      <c r="K42" s="39">
        <v>0.6</v>
      </c>
      <c r="L42" s="34">
        <v>11.057762863681846</v>
      </c>
      <c r="M42" s="34"/>
      <c r="N42" s="39">
        <v>0.6</v>
      </c>
      <c r="O42" s="34">
        <v>14.022769085333538</v>
      </c>
      <c r="P42" s="34"/>
      <c r="Q42" s="39">
        <v>0.6</v>
      </c>
      <c r="R42" s="34">
        <v>11.892226476736434</v>
      </c>
    </row>
    <row r="43" spans="11:18" x14ac:dyDescent="0.25">
      <c r="K43" s="39">
        <v>0.65</v>
      </c>
      <c r="L43" s="34">
        <v>10.955002876725427</v>
      </c>
      <c r="M43" s="34"/>
      <c r="N43" s="39">
        <v>0.65</v>
      </c>
      <c r="O43" s="34">
        <v>14.306530029818573</v>
      </c>
      <c r="P43" s="34"/>
      <c r="Q43" s="39">
        <v>0.65</v>
      </c>
      <c r="R43" s="34">
        <v>11.985135007263045</v>
      </c>
    </row>
    <row r="44" spans="11:18" x14ac:dyDescent="0.25">
      <c r="K44" s="39">
        <v>0.7</v>
      </c>
      <c r="L44" s="34">
        <v>10.830441860165203</v>
      </c>
      <c r="M44" s="34"/>
      <c r="N44" s="39">
        <v>0.7</v>
      </c>
      <c r="O44" s="34">
        <v>14.573874570689567</v>
      </c>
      <c r="P44" s="34"/>
      <c r="Q44" s="39">
        <v>0.7</v>
      </c>
      <c r="R44" s="34">
        <v>12.076816508009028</v>
      </c>
    </row>
    <row r="45" spans="11:18" x14ac:dyDescent="0.25">
      <c r="K45" s="39">
        <v>0.75</v>
      </c>
      <c r="L45" s="34">
        <v>10.864771533943118</v>
      </c>
      <c r="M45" s="34"/>
      <c r="N45" s="39">
        <v>0.75</v>
      </c>
      <c r="O45" s="34">
        <v>14.949157018720012</v>
      </c>
      <c r="P45" s="34"/>
      <c r="Q45" s="39">
        <v>0.75</v>
      </c>
      <c r="R45" s="34">
        <v>12.16730976006823</v>
      </c>
    </row>
    <row r="46" spans="11:18" x14ac:dyDescent="0.25">
      <c r="K46" s="39">
        <v>0.8</v>
      </c>
      <c r="L46" s="34">
        <v>11.138082622765674</v>
      </c>
      <c r="M46" s="34"/>
      <c r="N46" s="39">
        <v>0.8</v>
      </c>
      <c r="O46" s="34">
        <v>15.313555923916226</v>
      </c>
      <c r="P46" s="34"/>
      <c r="Q46" s="39">
        <v>0.8</v>
      </c>
      <c r="R46" s="34">
        <v>12.256654483711131</v>
      </c>
    </row>
    <row r="47" spans="11:18" x14ac:dyDescent="0.25">
      <c r="K47" s="39">
        <v>0.85</v>
      </c>
      <c r="L47" s="34">
        <v>11.405702264618853</v>
      </c>
      <c r="M47" s="34"/>
      <c r="N47" s="39">
        <v>0.85</v>
      </c>
      <c r="O47" s="34">
        <v>15.663033332711965</v>
      </c>
      <c r="P47" s="34"/>
      <c r="Q47" s="39">
        <v>0.85</v>
      </c>
      <c r="R47" s="34">
        <v>12.344891354455349</v>
      </c>
    </row>
    <row r="48" spans="11:18" x14ac:dyDescent="0.25">
      <c r="K48" s="39">
        <v>0.9</v>
      </c>
      <c r="L48" s="34">
        <v>11.695104613256197</v>
      </c>
      <c r="M48" s="34"/>
      <c r="N48" s="39">
        <v>0.9</v>
      </c>
      <c r="O48" s="34">
        <v>15.996153753849466</v>
      </c>
      <c r="P48" s="34"/>
      <c r="Q48" s="39">
        <v>0.9</v>
      </c>
      <c r="R48" s="34">
        <v>12.432062016741085</v>
      </c>
    </row>
    <row r="49" spans="11:18" x14ac:dyDescent="0.25">
      <c r="K49" s="39">
        <v>0.95</v>
      </c>
      <c r="L49" s="34">
        <v>11.989672382062571</v>
      </c>
      <c r="M49" s="34"/>
      <c r="N49" s="39">
        <v>0.95</v>
      </c>
      <c r="O49" s="34">
        <v>16.311997866829053</v>
      </c>
      <c r="P49" s="34"/>
      <c r="Q49" s="39">
        <v>0.95</v>
      </c>
      <c r="R49" s="34">
        <v>12.51820909530816</v>
      </c>
    </row>
    <row r="50" spans="11:18" x14ac:dyDescent="0.25">
      <c r="K50" s="39">
        <v>1</v>
      </c>
      <c r="L50" s="34">
        <v>12.279538374174647</v>
      </c>
      <c r="M50" s="34"/>
      <c r="N50" s="39">
        <v>1</v>
      </c>
      <c r="O50" s="34">
        <v>16.610190486040597</v>
      </c>
      <c r="P50" s="34"/>
      <c r="Q50" s="39">
        <v>1</v>
      </c>
      <c r="R50" s="34">
        <v>12.603376204366903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59999389629810485"/>
  </sheetPr>
  <dimension ref="A1:AA50"/>
  <sheetViews>
    <sheetView zoomScale="70" zoomScaleNormal="70" workbookViewId="0">
      <selection activeCell="T31" sqref="T31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6.85546875" bestFit="1" customWidth="1"/>
    <col min="4" max="4" width="15.85546875" bestFit="1" customWidth="1"/>
    <col min="5" max="5" width="14.85546875" bestFit="1" customWidth="1"/>
    <col min="6" max="6" width="16.85546875" bestFit="1" customWidth="1"/>
    <col min="7" max="7" width="14.85546875" bestFit="1" customWidth="1"/>
    <col min="8" max="8" width="15.85546875" bestFit="1" customWidth="1"/>
    <col min="9" max="9" width="15.7109375" bestFit="1" customWidth="1"/>
    <col min="11" max="11" width="12.140625" bestFit="1" customWidth="1"/>
    <col min="12" max="12" width="7.4257812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140625" bestFit="1" customWidth="1"/>
    <col min="19" max="19" width="10.7109375" bestFit="1" customWidth="1"/>
    <col min="20" max="20" width="8.5703125" bestFit="1" customWidth="1"/>
    <col min="22" max="22" width="8.28515625" bestFit="1" customWidth="1"/>
    <col min="23" max="23" width="9.7109375" bestFit="1" customWidth="1"/>
    <col min="24" max="24" width="9.140625" bestFit="1" customWidth="1"/>
    <col min="26" max="26" width="3.42578125" bestFit="1" customWidth="1"/>
    <col min="27" max="27" width="12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0.13809206140251173</v>
      </c>
      <c r="G4" s="46">
        <v>0</v>
      </c>
      <c r="H4" s="46">
        <v>0</v>
      </c>
      <c r="I4" s="46">
        <v>0</v>
      </c>
      <c r="K4">
        <v>-3</v>
      </c>
      <c r="Q4" s="31">
        <f>AA6</f>
        <v>0.69906275225800585</v>
      </c>
      <c r="V4" s="40">
        <f>AVERAGE(N8,N12,N16,N20,N24)</f>
        <v>0.7115488907856975</v>
      </c>
      <c r="W4" s="40">
        <f>AVERAGE(V4:V7)</f>
        <v>1.0178612556417301</v>
      </c>
      <c r="X4" s="40">
        <f>V4/$W$4</f>
        <v>0.69906275225800585</v>
      </c>
      <c r="Z4" s="24" t="s">
        <v>40</v>
      </c>
      <c r="AA4" s="28">
        <f>B17</f>
        <v>8086.7720588235288</v>
      </c>
    </row>
    <row r="5" spans="1:27" ht="18.75" x14ac:dyDescent="0.35">
      <c r="A5" s="17" t="s">
        <v>12</v>
      </c>
      <c r="B5" s="17">
        <v>1.9069417422395072E-2</v>
      </c>
      <c r="K5">
        <v>-2</v>
      </c>
      <c r="Q5" s="31">
        <f t="shared" ref="Q5:Q7" si="0">AA7</f>
        <v>1.0425542778089678</v>
      </c>
      <c r="V5" s="40">
        <f>AVERAGE(N9,N13,N17,N21)</f>
        <v>1.0611756062852931</v>
      </c>
      <c r="W5" s="40"/>
      <c r="X5" s="40">
        <f t="shared" ref="X5:X7" si="1">V5/$W$4</f>
        <v>1.0425542778089678</v>
      </c>
      <c r="Z5" s="25" t="s">
        <v>41</v>
      </c>
      <c r="AA5" s="29">
        <f>B18</f>
        <v>-64.144607843137251</v>
      </c>
    </row>
    <row r="6" spans="1:27" ht="18.75" x14ac:dyDescent="0.35">
      <c r="A6" s="17" t="s">
        <v>13</v>
      </c>
      <c r="B6" s="17">
        <v>-4.6325954749445258E-2</v>
      </c>
      <c r="K6">
        <v>-1</v>
      </c>
      <c r="Q6" s="31">
        <f t="shared" si="0"/>
        <v>1.2772351989300696</v>
      </c>
      <c r="V6" s="40">
        <f>AVERAGE(N10,N14,N18,N22)</f>
        <v>1.3000482233327757</v>
      </c>
      <c r="W6" s="40"/>
      <c r="X6" s="40">
        <f t="shared" si="1"/>
        <v>1.2772351989300696</v>
      </c>
      <c r="Z6" s="26" t="s">
        <v>42</v>
      </c>
      <c r="AA6" s="30">
        <f>X4</f>
        <v>0.69906275225800585</v>
      </c>
    </row>
    <row r="7" spans="1:27" ht="18.75" x14ac:dyDescent="0.35">
      <c r="A7" s="17" t="s">
        <v>14</v>
      </c>
      <c r="B7" s="17">
        <v>2399.3578822042</v>
      </c>
      <c r="K7">
        <v>0</v>
      </c>
      <c r="O7" s="31">
        <f>AA4</f>
        <v>8086.7720588235288</v>
      </c>
      <c r="P7" s="31">
        <f>AA5</f>
        <v>-64.144607843137251</v>
      </c>
      <c r="Q7" s="31">
        <f t="shared" si="0"/>
        <v>0.98114777100295625</v>
      </c>
      <c r="V7" s="40">
        <f>AVERAGE(N11,N15,N19,N23)</f>
        <v>0.99867230216315372</v>
      </c>
      <c r="W7" s="40"/>
      <c r="X7" s="40">
        <f t="shared" si="1"/>
        <v>0.98114777100295625</v>
      </c>
      <c r="Z7" s="26" t="s">
        <v>43</v>
      </c>
      <c r="AA7" s="30">
        <f t="shared" ref="AA7:AA9" si="2">X5</f>
        <v>1.0425542778089678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Data!H2</f>
        <v>7158</v>
      </c>
      <c r="M8" s="34">
        <f>$B$17+$B$18*K8</f>
        <v>8022.6274509803916</v>
      </c>
      <c r="N8" s="34">
        <f>L8/M8</f>
        <v>0.89222639886204225</v>
      </c>
      <c r="O8" s="34">
        <f>$G$4*(L8/Q4)+((1-$G$4)*(O7+P7))</f>
        <v>8022.6274509803916</v>
      </c>
      <c r="P8" s="34">
        <f>$H$4*(O8-O7)+((1-$H$4)*P7)</f>
        <v>-64.144607843137251</v>
      </c>
      <c r="Q8" s="33">
        <f>$I$4*(L8/O8)+((1-$I$4)*Q4)</f>
        <v>0.69906275225800585</v>
      </c>
      <c r="R8" s="34">
        <f>SUM(O7:P7)*Q4</f>
        <v>5608.3200262229821</v>
      </c>
      <c r="S8" s="34">
        <f>L8-R8</f>
        <v>1549.6799737770179</v>
      </c>
      <c r="T8" s="34">
        <f>ABS(S8/L8)*100</f>
        <v>21.649622433319614</v>
      </c>
      <c r="Z8" s="26" t="s">
        <v>44</v>
      </c>
      <c r="AA8" s="30">
        <f t="shared" si="2"/>
        <v>1.2772351989300696</v>
      </c>
    </row>
    <row r="9" spans="1:27" ht="18.75" x14ac:dyDescent="0.35">
      <c r="K9">
        <v>2</v>
      </c>
      <c r="L9">
        <f>Data!H3</f>
        <v>7034</v>
      </c>
      <c r="M9" s="34">
        <f t="shared" ref="M9:M24" si="3">$B$17+$B$18*K9</f>
        <v>7958.4828431372543</v>
      </c>
      <c r="N9" s="34">
        <f t="shared" ref="N9:N24" si="4">L9/M9</f>
        <v>0.8838367988775081</v>
      </c>
      <c r="O9" s="34">
        <f t="shared" ref="O9:O24" si="5">$G$4*(L9/Q5)+((1-$G$4)*(O8+P8))</f>
        <v>7958.4828431372543</v>
      </c>
      <c r="P9" s="34">
        <f t="shared" ref="P9:P24" si="6">$H$4*(O9-O8)+((1-$H$4)*P8)</f>
        <v>-64.144607843137251</v>
      </c>
      <c r="Q9" s="33">
        <f t="shared" ref="Q9:Q24" si="7">$I$4*(L9/O9)+((1-$I$4)*Q5)</f>
        <v>1.0425542778089678</v>
      </c>
      <c r="R9" s="34">
        <f t="shared" ref="R9:R25" si="8">SUM(O8:P8)*Q5</f>
        <v>8297.1503329820207</v>
      </c>
      <c r="S9" s="34">
        <f t="shared" ref="S9:S24" si="9">L9-R9</f>
        <v>-1263.1503329820207</v>
      </c>
      <c r="T9" s="34">
        <f t="shared" ref="T9:T24" si="10">ABS(S9/L9)*100</f>
        <v>17.957781247967311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0.98114777100295625</v>
      </c>
    </row>
    <row r="10" spans="1:27" ht="16.5" thickBot="1" x14ac:dyDescent="0.3">
      <c r="A10" t="s">
        <v>16</v>
      </c>
      <c r="K10">
        <v>3</v>
      </c>
      <c r="L10">
        <f>Data!H4</f>
        <v>9026</v>
      </c>
      <c r="M10" s="34">
        <f t="shared" si="3"/>
        <v>7894.3382352941171</v>
      </c>
      <c r="N10" s="34">
        <f t="shared" si="4"/>
        <v>1.1433510613526077</v>
      </c>
      <c r="O10" s="34">
        <f t="shared" si="5"/>
        <v>7894.3382352941171</v>
      </c>
      <c r="P10" s="34">
        <f t="shared" si="6"/>
        <v>-64.144607843137251</v>
      </c>
      <c r="Q10" s="33">
        <f t="shared" si="7"/>
        <v>1.2772351989300696</v>
      </c>
      <c r="R10" s="34">
        <f t="shared" si="8"/>
        <v>10082.926666377136</v>
      </c>
      <c r="S10" s="34">
        <f t="shared" si="9"/>
        <v>-1056.9266663771359</v>
      </c>
      <c r="T10" s="34">
        <f t="shared" si="10"/>
        <v>11.709801311512695</v>
      </c>
      <c r="V10" s="34">
        <f>AVERAGE(T8:T24)</f>
        <v>82.445019695005271</v>
      </c>
      <c r="W10" s="34">
        <f>SUMPRODUCT(ABS(S8:S24))/17</f>
        <v>1349.3384968743442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Data!H5</f>
        <v>7254</v>
      </c>
      <c r="M11" s="35">
        <f t="shared" si="3"/>
        <v>7830.1936274509799</v>
      </c>
      <c r="N11" s="35">
        <f t="shared" si="4"/>
        <v>0.92641387239378492</v>
      </c>
      <c r="O11" s="35">
        <f t="shared" si="5"/>
        <v>7830.1936274509799</v>
      </c>
      <c r="P11" s="35">
        <f t="shared" si="6"/>
        <v>-64.144607843137251</v>
      </c>
      <c r="Q11" s="41">
        <f t="shared" si="7"/>
        <v>0.98114777100295625</v>
      </c>
      <c r="R11" s="35">
        <f t="shared" si="8"/>
        <v>7682.5770240950815</v>
      </c>
      <c r="S11" s="35">
        <f t="shared" si="9"/>
        <v>-428.57702409508147</v>
      </c>
      <c r="T11" s="35">
        <f t="shared" si="10"/>
        <v>5.9081475612776604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1678728.5318627506</v>
      </c>
      <c r="D12" s="17">
        <v>1678728.5318627506</v>
      </c>
      <c r="E12" s="17">
        <v>0.29160194045973314</v>
      </c>
      <c r="F12" s="17">
        <v>0.59712236926289752</v>
      </c>
      <c r="K12">
        <v>5</v>
      </c>
      <c r="L12">
        <f>Data!H6</f>
        <v>6968</v>
      </c>
      <c r="M12" s="34">
        <f t="shared" si="3"/>
        <v>7766.0490196078426</v>
      </c>
      <c r="N12" s="34">
        <f t="shared" si="4"/>
        <v>0.89723873521878161</v>
      </c>
      <c r="O12" s="34">
        <f t="shared" si="5"/>
        <v>7766.0490196078426</v>
      </c>
      <c r="P12" s="34">
        <f t="shared" si="6"/>
        <v>-64.144607843137251</v>
      </c>
      <c r="Q12" s="33">
        <f t="shared" si="7"/>
        <v>0.69906275225800585</v>
      </c>
      <c r="R12" s="34">
        <f t="shared" si="8"/>
        <v>5428.9556018176463</v>
      </c>
      <c r="S12" s="34">
        <f t="shared" si="9"/>
        <v>1539.0443981823537</v>
      </c>
      <c r="T12" s="34">
        <f t="shared" si="10"/>
        <v>22.087319147278325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86353773.703431368</v>
      </c>
      <c r="D13" s="17">
        <v>5756918.2468954241</v>
      </c>
      <c r="E13" s="17"/>
      <c r="F13" s="17"/>
      <c r="K13">
        <v>6</v>
      </c>
      <c r="L13">
        <f>Data!H7</f>
        <v>9156</v>
      </c>
      <c r="M13" s="34">
        <f t="shared" si="3"/>
        <v>7701.9044117647054</v>
      </c>
      <c r="N13" s="34">
        <f t="shared" si="4"/>
        <v>1.1887968884700977</v>
      </c>
      <c r="O13" s="34">
        <f t="shared" si="5"/>
        <v>7701.9044117647054</v>
      </c>
      <c r="P13" s="34">
        <f t="shared" si="6"/>
        <v>-64.144607843137251</v>
      </c>
      <c r="Q13" s="33">
        <f t="shared" si="7"/>
        <v>1.0425542778089678</v>
      </c>
      <c r="R13" s="34">
        <f t="shared" si="8"/>
        <v>8029.6533917610559</v>
      </c>
      <c r="S13" s="34">
        <f t="shared" si="9"/>
        <v>1126.3466082389441</v>
      </c>
      <c r="T13" s="34">
        <f t="shared" si="10"/>
        <v>12.301732287450241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88032502.235294119</v>
      </c>
      <c r="D14" s="18"/>
      <c r="E14" s="18"/>
      <c r="F14" s="18"/>
      <c r="K14">
        <v>7</v>
      </c>
      <c r="L14">
        <f>Data!H8</f>
        <v>8134</v>
      </c>
      <c r="M14" s="34">
        <f t="shared" si="3"/>
        <v>7637.7598039215682</v>
      </c>
      <c r="N14" s="34">
        <f t="shared" si="4"/>
        <v>1.0649719562827362</v>
      </c>
      <c r="O14" s="34">
        <f t="shared" si="5"/>
        <v>7637.7598039215682</v>
      </c>
      <c r="P14" s="34">
        <f t="shared" si="6"/>
        <v>-64.144607843137251</v>
      </c>
      <c r="Q14" s="33">
        <f t="shared" si="7"/>
        <v>1.2772351989300696</v>
      </c>
      <c r="R14" s="34">
        <f t="shared" si="8"/>
        <v>9755.2156625418538</v>
      </c>
      <c r="S14" s="34">
        <f t="shared" si="9"/>
        <v>-1621.2156625418538</v>
      </c>
      <c r="T14" s="34">
        <f t="shared" si="10"/>
        <v>19.931345740617822</v>
      </c>
      <c r="AA14" s="27"/>
    </row>
    <row r="15" spans="1:27" ht="16.5" thickBot="1" x14ac:dyDescent="0.3">
      <c r="K15" s="23">
        <v>8</v>
      </c>
      <c r="L15" s="23">
        <f>Data!H9</f>
        <v>6958</v>
      </c>
      <c r="M15" s="35">
        <f t="shared" si="3"/>
        <v>7573.6151960784309</v>
      </c>
      <c r="N15" s="35">
        <f t="shared" si="4"/>
        <v>0.91871580742612957</v>
      </c>
      <c r="O15" s="35">
        <f t="shared" si="5"/>
        <v>7573.6151960784309</v>
      </c>
      <c r="P15" s="35">
        <f t="shared" si="6"/>
        <v>-64.144607843137251</v>
      </c>
      <c r="Q15" s="41">
        <f t="shared" si="7"/>
        <v>0.98114777100295625</v>
      </c>
      <c r="R15" s="35">
        <f t="shared" si="8"/>
        <v>7430.8356680664701</v>
      </c>
      <c r="S15" s="35">
        <f t="shared" si="9"/>
        <v>-472.83566806647013</v>
      </c>
      <c r="T15" s="35">
        <f t="shared" si="10"/>
        <v>6.7955686701131084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Data!H10</f>
        <v>5208</v>
      </c>
      <c r="M16" s="34">
        <f t="shared" si="3"/>
        <v>7509.4705882352937</v>
      </c>
      <c r="N16" s="34">
        <f t="shared" si="4"/>
        <v>0.69352425564581199</v>
      </c>
      <c r="O16" s="34">
        <f t="shared" si="5"/>
        <v>7509.4705882352937</v>
      </c>
      <c r="P16" s="34">
        <f t="shared" si="6"/>
        <v>-64.144607843137251</v>
      </c>
      <c r="Q16" s="33">
        <f t="shared" si="7"/>
        <v>0.69906275225800585</v>
      </c>
      <c r="R16" s="34">
        <f t="shared" si="8"/>
        <v>5249.5911774123106</v>
      </c>
      <c r="S16" s="34">
        <f t="shared" si="9"/>
        <v>-41.591177412310572</v>
      </c>
      <c r="T16" s="34">
        <f t="shared" si="10"/>
        <v>0.79860171682623982</v>
      </c>
      <c r="AA16" s="27"/>
    </row>
    <row r="17" spans="1:27" ht="15.75" x14ac:dyDescent="0.25">
      <c r="A17" s="17" t="s">
        <v>19</v>
      </c>
      <c r="B17" s="21">
        <v>8086.7720588235288</v>
      </c>
      <c r="C17" s="17">
        <v>1217.1934287330951</v>
      </c>
      <c r="D17" s="17">
        <v>6.6437855051851322</v>
      </c>
      <c r="E17" s="17">
        <v>7.8241600637276886E-6</v>
      </c>
      <c r="F17" s="17">
        <v>5492.3856782920302</v>
      </c>
      <c r="G17" s="17">
        <v>10681.158439355027</v>
      </c>
      <c r="H17" s="17">
        <v>5492.3856782920302</v>
      </c>
      <c r="I17" s="17">
        <v>10681.158439355027</v>
      </c>
      <c r="K17">
        <v>10</v>
      </c>
      <c r="L17">
        <f>Data!H11</f>
        <v>6806</v>
      </c>
      <c r="M17" s="34">
        <f t="shared" si="3"/>
        <v>7445.3259803921565</v>
      </c>
      <c r="N17" s="34">
        <f t="shared" si="4"/>
        <v>0.91413055894720108</v>
      </c>
      <c r="O17" s="34">
        <f t="shared" si="5"/>
        <v>7445.3259803921565</v>
      </c>
      <c r="P17" s="34">
        <f t="shared" si="6"/>
        <v>-64.144607843137251</v>
      </c>
      <c r="Q17" s="33">
        <f t="shared" si="7"/>
        <v>1.0425542778089678</v>
      </c>
      <c r="R17" s="34">
        <f t="shared" si="8"/>
        <v>7762.1564505400902</v>
      </c>
      <c r="S17" s="34">
        <f t="shared" si="9"/>
        <v>-956.15645054009019</v>
      </c>
      <c r="T17" s="34">
        <f t="shared" si="10"/>
        <v>14.04872833588143</v>
      </c>
      <c r="AA17" s="27"/>
    </row>
    <row r="18" spans="1:27" ht="15.75" thickBot="1" x14ac:dyDescent="0.3">
      <c r="A18" s="18" t="s">
        <v>32</v>
      </c>
      <c r="B18" s="22">
        <v>-64.144607843137251</v>
      </c>
      <c r="C18" s="18">
        <v>118.78591558931026</v>
      </c>
      <c r="D18" s="18">
        <v>-0.54000179671898518</v>
      </c>
      <c r="E18" s="18">
        <v>0.59712236926289819</v>
      </c>
      <c r="F18" s="18">
        <v>-317.33079364487429</v>
      </c>
      <c r="G18" s="18">
        <v>189.04157795859982</v>
      </c>
      <c r="H18" s="18">
        <v>-317.33079364487429</v>
      </c>
      <c r="I18" s="18">
        <v>189.04157795859982</v>
      </c>
      <c r="K18">
        <v>11</v>
      </c>
      <c r="L18">
        <f>Data!H12</f>
        <v>10446</v>
      </c>
      <c r="M18" s="34">
        <f t="shared" si="3"/>
        <v>7381.1813725490192</v>
      </c>
      <c r="N18" s="34">
        <f t="shared" si="4"/>
        <v>1.4152206093795763</v>
      </c>
      <c r="O18" s="34">
        <f t="shared" si="5"/>
        <v>7381.1813725490192</v>
      </c>
      <c r="P18" s="34">
        <f t="shared" si="6"/>
        <v>-64.144607843137251</v>
      </c>
      <c r="Q18" s="33">
        <f t="shared" si="7"/>
        <v>1.2772351989300696</v>
      </c>
      <c r="R18" s="34">
        <f t="shared" si="8"/>
        <v>9427.5046587065717</v>
      </c>
      <c r="S18" s="34">
        <f t="shared" si="9"/>
        <v>1018.4953412934283</v>
      </c>
      <c r="T18" s="34">
        <f t="shared" si="10"/>
        <v>9.750098997639558</v>
      </c>
    </row>
    <row r="19" spans="1:27" x14ac:dyDescent="0.25">
      <c r="K19" s="23">
        <v>12</v>
      </c>
      <c r="L19" s="23">
        <f>Data!H13</f>
        <v>7960</v>
      </c>
      <c r="M19" s="35">
        <f t="shared" si="3"/>
        <v>7317.036764705882</v>
      </c>
      <c r="N19" s="35">
        <f t="shared" si="4"/>
        <v>1.0878720793635321</v>
      </c>
      <c r="O19" s="35">
        <f t="shared" si="5"/>
        <v>7317.036764705882</v>
      </c>
      <c r="P19" s="35">
        <f t="shared" si="6"/>
        <v>-64.144607843137251</v>
      </c>
      <c r="Q19" s="41">
        <f t="shared" si="7"/>
        <v>0.98114777100295625</v>
      </c>
      <c r="R19" s="35">
        <f t="shared" si="8"/>
        <v>7179.0943120378588</v>
      </c>
      <c r="S19" s="35">
        <f t="shared" si="9"/>
        <v>780.9056879621412</v>
      </c>
      <c r="T19" s="35">
        <f t="shared" si="10"/>
        <v>9.8103729643485078</v>
      </c>
    </row>
    <row r="20" spans="1:27" x14ac:dyDescent="0.25">
      <c r="K20">
        <v>13</v>
      </c>
      <c r="L20">
        <f>Data!H14</f>
        <v>7397</v>
      </c>
      <c r="M20" s="34">
        <f t="shared" si="3"/>
        <v>7252.8921568627447</v>
      </c>
      <c r="N20" s="34">
        <f t="shared" si="4"/>
        <v>1.019869017768436</v>
      </c>
      <c r="O20" s="34">
        <f t="shared" si="5"/>
        <v>7252.8921568627447</v>
      </c>
      <c r="P20" s="34">
        <f t="shared" si="6"/>
        <v>-64.144607843137251</v>
      </c>
      <c r="Q20" s="33">
        <f t="shared" si="7"/>
        <v>0.69906275225800585</v>
      </c>
      <c r="R20" s="34">
        <f t="shared" si="8"/>
        <v>5070.2267530069748</v>
      </c>
      <c r="S20" s="34">
        <f t="shared" si="9"/>
        <v>2326.7732469930252</v>
      </c>
      <c r="T20" s="34">
        <f t="shared" si="10"/>
        <v>31.455634000176087</v>
      </c>
    </row>
    <row r="21" spans="1:27" x14ac:dyDescent="0.25">
      <c r="K21">
        <v>14</v>
      </c>
      <c r="L21">
        <f>Data!H15</f>
        <v>9043</v>
      </c>
      <c r="M21" s="34">
        <f t="shared" si="3"/>
        <v>7188.7475490196075</v>
      </c>
      <c r="N21" s="34">
        <f t="shared" si="4"/>
        <v>1.2579381788463657</v>
      </c>
      <c r="O21" s="34">
        <f t="shared" si="5"/>
        <v>7188.7475490196075</v>
      </c>
      <c r="P21" s="34">
        <f t="shared" si="6"/>
        <v>-64.144607843137251</v>
      </c>
      <c r="Q21" s="33">
        <f t="shared" si="7"/>
        <v>1.0425542778089678</v>
      </c>
      <c r="R21" s="34">
        <f t="shared" si="8"/>
        <v>7494.6595093191245</v>
      </c>
      <c r="S21" s="34">
        <f t="shared" si="9"/>
        <v>1548.3404906808755</v>
      </c>
      <c r="T21" s="34">
        <f t="shared" si="10"/>
        <v>17.121978222723381</v>
      </c>
    </row>
    <row r="22" spans="1:27" x14ac:dyDescent="0.25">
      <c r="K22">
        <v>15</v>
      </c>
      <c r="L22">
        <f>Data!H16</f>
        <v>11233</v>
      </c>
      <c r="M22" s="34">
        <f t="shared" si="3"/>
        <v>7124.6029411764703</v>
      </c>
      <c r="N22" s="34">
        <f t="shared" si="4"/>
        <v>1.5766492663161829</v>
      </c>
      <c r="O22" s="34">
        <f t="shared" si="5"/>
        <v>7124.6029411764703</v>
      </c>
      <c r="P22" s="34">
        <f t="shared" si="6"/>
        <v>-64.144607843137251</v>
      </c>
      <c r="Q22" s="33">
        <f t="shared" si="7"/>
        <v>1.2772351989300696</v>
      </c>
      <c r="R22" s="34">
        <f t="shared" si="8"/>
        <v>9099.7936548712878</v>
      </c>
      <c r="S22" s="34">
        <f t="shared" si="9"/>
        <v>2133.2063451287122</v>
      </c>
      <c r="T22" s="34">
        <f t="shared" si="10"/>
        <v>18.990530981293617</v>
      </c>
    </row>
    <row r="23" spans="1:27" x14ac:dyDescent="0.25">
      <c r="K23" s="23">
        <v>16</v>
      </c>
      <c r="L23" s="23">
        <f>Data!H17</f>
        <v>7496</v>
      </c>
      <c r="M23" s="35">
        <f t="shared" si="3"/>
        <v>7060.458333333333</v>
      </c>
      <c r="N23" s="35">
        <f t="shared" si="4"/>
        <v>1.0616874494691682</v>
      </c>
      <c r="O23" s="35">
        <f t="shared" si="5"/>
        <v>7060.458333333333</v>
      </c>
      <c r="P23" s="35">
        <f t="shared" si="6"/>
        <v>-64.144607843137251</v>
      </c>
      <c r="Q23" s="41">
        <f t="shared" si="7"/>
        <v>0.98114777100295625</v>
      </c>
      <c r="R23" s="35">
        <f t="shared" si="8"/>
        <v>6927.3529560092475</v>
      </c>
      <c r="S23" s="35">
        <f t="shared" si="9"/>
        <v>568.64704399075254</v>
      </c>
      <c r="T23" s="35">
        <f t="shared" si="10"/>
        <v>7.5860064566535819</v>
      </c>
    </row>
    <row r="24" spans="1:27" x14ac:dyDescent="0.25">
      <c r="K24">
        <v>17</v>
      </c>
      <c r="L24">
        <f>Data!H18</f>
        <v>384</v>
      </c>
      <c r="M24" s="34">
        <f t="shared" si="3"/>
        <v>6996.3137254901958</v>
      </c>
      <c r="N24" s="34">
        <f t="shared" si="4"/>
        <v>5.4886046433415922E-2</v>
      </c>
      <c r="O24" s="34">
        <f t="shared" si="5"/>
        <v>6996.3137254901958</v>
      </c>
      <c r="P24" s="34">
        <f t="shared" si="6"/>
        <v>-64.144607843137251</v>
      </c>
      <c r="Q24" s="33">
        <f t="shared" si="7"/>
        <v>0.69906275225800585</v>
      </c>
      <c r="R24" s="34">
        <f t="shared" si="8"/>
        <v>4890.8623286016391</v>
      </c>
      <c r="S24" s="34">
        <f t="shared" si="9"/>
        <v>-4506.8623286016391</v>
      </c>
      <c r="T24" s="34">
        <f t="shared" si="10"/>
        <v>1173.6620647400102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 t="shared" si="8"/>
        <v>7227.1625680981588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($O$24+($P$24*2))*Q22</f>
        <v>8772.0826510360057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($O$24+($P$24*3))*Q23</f>
        <v>6675.6115999806361</v>
      </c>
      <c r="S27" s="34"/>
      <c r="T27" s="34"/>
    </row>
    <row r="29" spans="1:27" ht="15.75" x14ac:dyDescent="0.25">
      <c r="K29" s="37" t="s">
        <v>53</v>
      </c>
      <c r="L29" s="36">
        <f>V10</f>
        <v>82.445019695005271</v>
      </c>
      <c r="M29" s="34"/>
      <c r="N29" s="37" t="s">
        <v>54</v>
      </c>
      <c r="O29" s="36">
        <f>V10</f>
        <v>82.445019695005271</v>
      </c>
      <c r="P29" s="34"/>
      <c r="Q29" s="37" t="s">
        <v>55</v>
      </c>
      <c r="R29" s="36">
        <f>V10</f>
        <v>82.445019695005271</v>
      </c>
    </row>
    <row r="30" spans="1:27" x14ac:dyDescent="0.25">
      <c r="K30" s="39">
        <v>0</v>
      </c>
      <c r="L30" s="34">
        <f t="dataTable" ref="L30:L50" dt2D="0" dtr="0" r1="G4"/>
        <v>82.445019695005271</v>
      </c>
      <c r="M30" s="34"/>
      <c r="N30" s="39">
        <v>0</v>
      </c>
      <c r="O30" s="34">
        <f t="dataTable" ref="O30:O50" dt2D="0" dtr="0" r1="H4" ca="1"/>
        <v>82.445019695005271</v>
      </c>
      <c r="P30" s="34"/>
      <c r="Q30" s="39">
        <v>0</v>
      </c>
      <c r="R30" s="34">
        <f t="dataTable" ref="R30:R50" dt2D="0" dtr="0" r1="I4" ca="1"/>
        <v>82.445019695005271</v>
      </c>
    </row>
    <row r="31" spans="1:27" x14ac:dyDescent="0.25">
      <c r="K31" s="39">
        <v>0.05</v>
      </c>
      <c r="L31" s="34">
        <v>86.09810635306907</v>
      </c>
      <c r="M31" s="34"/>
      <c r="N31" s="39">
        <v>0.05</v>
      </c>
      <c r="O31" s="34">
        <v>82.445019695005271</v>
      </c>
      <c r="P31" s="34"/>
      <c r="Q31" s="39">
        <v>0.05</v>
      </c>
      <c r="R31" s="34">
        <v>86.12819602401926</v>
      </c>
    </row>
    <row r="32" spans="1:27" x14ac:dyDescent="0.25">
      <c r="K32" s="39">
        <v>0.1</v>
      </c>
      <c r="L32" s="34">
        <v>88.79537917986795</v>
      </c>
      <c r="M32" s="34"/>
      <c r="N32" s="39">
        <v>0.1</v>
      </c>
      <c r="O32" s="34">
        <v>82.445019695005271</v>
      </c>
      <c r="P32" s="34"/>
      <c r="Q32" s="39">
        <v>0.1</v>
      </c>
      <c r="R32" s="34">
        <v>89.344225949836456</v>
      </c>
    </row>
    <row r="33" spans="11:18" x14ac:dyDescent="0.25">
      <c r="K33" s="39">
        <v>0.15</v>
      </c>
      <c r="L33" s="34">
        <v>91.015935219138285</v>
      </c>
      <c r="M33" s="34"/>
      <c r="N33" s="39">
        <v>0.15</v>
      </c>
      <c r="O33" s="34">
        <v>82.445019695005271</v>
      </c>
      <c r="P33" s="34"/>
      <c r="Q33" s="39">
        <v>0.15</v>
      </c>
      <c r="R33" s="34">
        <v>92.151283840254621</v>
      </c>
    </row>
    <row r="34" spans="11:18" x14ac:dyDescent="0.25">
      <c r="K34" s="39">
        <v>0.2</v>
      </c>
      <c r="L34" s="34">
        <v>92.598789008346216</v>
      </c>
      <c r="M34" s="34"/>
      <c r="N34" s="39">
        <v>0.2</v>
      </c>
      <c r="O34" s="34">
        <v>82.445019695005271</v>
      </c>
      <c r="P34" s="34"/>
      <c r="Q34" s="39">
        <v>0.2</v>
      </c>
      <c r="R34" s="34">
        <v>94.604438747189235</v>
      </c>
    </row>
    <row r="35" spans="11:18" x14ac:dyDescent="0.25">
      <c r="K35" s="39">
        <v>0.25</v>
      </c>
      <c r="L35" s="34">
        <v>93.642241835704326</v>
      </c>
      <c r="M35" s="34"/>
      <c r="N35" s="39">
        <v>0.25</v>
      </c>
      <c r="O35" s="34">
        <v>82.445019695005271</v>
      </c>
      <c r="P35" s="34"/>
      <c r="Q35" s="39">
        <v>0.25</v>
      </c>
      <c r="R35" s="34">
        <v>96.75565440667333</v>
      </c>
    </row>
    <row r="36" spans="11:18" x14ac:dyDescent="0.25">
      <c r="K36" s="39">
        <v>0.3</v>
      </c>
      <c r="L36" s="34">
        <v>94.263243187776709</v>
      </c>
      <c r="M36" s="34"/>
      <c r="N36" s="39">
        <v>0.3</v>
      </c>
      <c r="O36" s="34">
        <v>82.445019695005271</v>
      </c>
      <c r="P36" s="34"/>
      <c r="Q36" s="39">
        <v>0.3</v>
      </c>
      <c r="R36" s="34">
        <v>98.653789238857613</v>
      </c>
    </row>
    <row r="37" spans="11:18" x14ac:dyDescent="0.25">
      <c r="K37" s="39">
        <v>0.35</v>
      </c>
      <c r="L37" s="34">
        <v>94.527633582773291</v>
      </c>
      <c r="M37" s="34"/>
      <c r="N37" s="39">
        <v>0.35</v>
      </c>
      <c r="O37" s="34">
        <v>82.445019695005271</v>
      </c>
      <c r="P37" s="34"/>
      <c r="Q37" s="39">
        <v>0.35</v>
      </c>
      <c r="R37" s="34">
        <v>100.34459634801054</v>
      </c>
    </row>
    <row r="38" spans="11:18" x14ac:dyDescent="0.25">
      <c r="K38" s="39">
        <v>0.4</v>
      </c>
      <c r="L38" s="34">
        <v>94.537897544279389</v>
      </c>
      <c r="M38" s="34"/>
      <c r="N38" s="39">
        <v>0.4</v>
      </c>
      <c r="O38" s="34">
        <v>82.445019695005271</v>
      </c>
      <c r="P38" s="34"/>
      <c r="Q38" s="39">
        <v>0.4</v>
      </c>
      <c r="R38" s="34">
        <v>101.87072352251805</v>
      </c>
    </row>
    <row r="39" spans="11:18" x14ac:dyDescent="0.25">
      <c r="K39" s="39">
        <v>0.45</v>
      </c>
      <c r="L39" s="34">
        <v>94.451772858781851</v>
      </c>
      <c r="M39" s="34"/>
      <c r="N39" s="39">
        <v>0.45</v>
      </c>
      <c r="O39" s="34">
        <v>82.445019695005271</v>
      </c>
      <c r="P39" s="34"/>
      <c r="Q39" s="39">
        <v>0.45</v>
      </c>
      <c r="R39" s="34">
        <v>103.27171323488383</v>
      </c>
    </row>
    <row r="40" spans="11:18" x14ac:dyDescent="0.25">
      <c r="K40" s="39">
        <v>0.5</v>
      </c>
      <c r="L40" s="34">
        <v>94.179926049396755</v>
      </c>
      <c r="M40" s="34"/>
      <c r="N40" s="39">
        <v>0.5</v>
      </c>
      <c r="O40" s="34">
        <v>82.445019695005271</v>
      </c>
      <c r="P40" s="34"/>
      <c r="Q40" s="39">
        <v>0.5</v>
      </c>
      <c r="R40" s="34">
        <v>104.58400264172919</v>
      </c>
    </row>
    <row r="41" spans="11:18" x14ac:dyDescent="0.25">
      <c r="K41" s="39">
        <v>0.55000000000000004</v>
      </c>
      <c r="L41" s="34">
        <v>93.896010757483921</v>
      </c>
      <c r="M41" s="34"/>
      <c r="N41" s="39">
        <v>0.55000000000000004</v>
      </c>
      <c r="O41" s="34">
        <v>82.445019695005271</v>
      </c>
      <c r="P41" s="34"/>
      <c r="Q41" s="39">
        <v>0.55000000000000004</v>
      </c>
      <c r="R41" s="34">
        <v>105.84092358379306</v>
      </c>
    </row>
    <row r="42" spans="11:18" x14ac:dyDescent="0.25">
      <c r="K42" s="39">
        <v>0.6</v>
      </c>
      <c r="L42" s="34">
        <v>93.521030263029715</v>
      </c>
      <c r="M42" s="34"/>
      <c r="N42" s="39">
        <v>0.6</v>
      </c>
      <c r="O42" s="34">
        <v>82.445019695005271</v>
      </c>
      <c r="P42" s="34"/>
      <c r="Q42" s="39">
        <v>0.6</v>
      </c>
      <c r="R42" s="34">
        <v>107.07270258593201</v>
      </c>
    </row>
    <row r="43" spans="11:18" x14ac:dyDescent="0.25">
      <c r="K43" s="39">
        <v>0.65</v>
      </c>
      <c r="L43" s="34">
        <v>93.147226388628397</v>
      </c>
      <c r="M43" s="34"/>
      <c r="N43" s="39">
        <v>0.65</v>
      </c>
      <c r="O43" s="34">
        <v>82.445019695005271</v>
      </c>
      <c r="P43" s="34"/>
      <c r="Q43" s="39">
        <v>0.65</v>
      </c>
      <c r="R43" s="34">
        <v>108.3064608571203</v>
      </c>
    </row>
    <row r="44" spans="11:18" x14ac:dyDescent="0.25">
      <c r="K44" s="39">
        <v>0.7</v>
      </c>
      <c r="L44" s="34">
        <v>92.78538847689309</v>
      </c>
      <c r="M44" s="34"/>
      <c r="N44" s="39">
        <v>0.7</v>
      </c>
      <c r="O44" s="34">
        <v>82.445019695005271</v>
      </c>
      <c r="P44" s="34"/>
      <c r="Q44" s="39">
        <v>0.7</v>
      </c>
      <c r="R44" s="34">
        <v>109.56621429044979</v>
      </c>
    </row>
    <row r="45" spans="11:18" x14ac:dyDescent="0.25">
      <c r="K45" s="39">
        <v>0.75</v>
      </c>
      <c r="L45" s="34">
        <v>92.468623880387057</v>
      </c>
      <c r="M45" s="34"/>
      <c r="N45" s="39">
        <v>0.75</v>
      </c>
      <c r="O45" s="34">
        <v>82.445019695005271</v>
      </c>
      <c r="P45" s="34"/>
      <c r="Q45" s="39">
        <v>0.75</v>
      </c>
      <c r="R45" s="34">
        <v>110.87287346313002</v>
      </c>
    </row>
    <row r="46" spans="11:18" x14ac:dyDescent="0.25">
      <c r="K46" s="39">
        <v>0.8</v>
      </c>
      <c r="L46" s="34">
        <v>92.114593580057772</v>
      </c>
      <c r="M46" s="34"/>
      <c r="N46" s="39">
        <v>0.8</v>
      </c>
      <c r="O46" s="34">
        <v>82.445019695005271</v>
      </c>
      <c r="P46" s="34"/>
      <c r="Q46" s="39">
        <v>0.8</v>
      </c>
      <c r="R46" s="34">
        <v>112.24424363648812</v>
      </c>
    </row>
    <row r="47" spans="11:18" x14ac:dyDescent="0.25">
      <c r="K47" s="39">
        <v>0.85</v>
      </c>
      <c r="L47" s="34">
        <v>91.727995487760779</v>
      </c>
      <c r="M47" s="34"/>
      <c r="N47" s="39">
        <v>0.85</v>
      </c>
      <c r="O47" s="34">
        <v>82.445019695005271</v>
      </c>
      <c r="P47" s="34"/>
      <c r="Q47" s="39">
        <v>0.85</v>
      </c>
      <c r="R47" s="34">
        <v>113.70797996425181</v>
      </c>
    </row>
    <row r="48" spans="11:18" x14ac:dyDescent="0.25">
      <c r="K48" s="39">
        <v>0.9</v>
      </c>
      <c r="L48" s="34">
        <v>91.44870772230712</v>
      </c>
      <c r="M48" s="34"/>
      <c r="N48" s="39">
        <v>0.9</v>
      </c>
      <c r="O48" s="34">
        <v>82.445019695005271</v>
      </c>
      <c r="P48" s="34"/>
      <c r="Q48" s="39">
        <v>0.9</v>
      </c>
      <c r="R48" s="34">
        <v>115.3409821028383</v>
      </c>
    </row>
    <row r="49" spans="11:18" x14ac:dyDescent="0.25">
      <c r="K49" s="39">
        <v>0.95</v>
      </c>
      <c r="L49" s="34">
        <v>91.345514440822996</v>
      </c>
      <c r="M49" s="34"/>
      <c r="N49" s="39">
        <v>0.95</v>
      </c>
      <c r="O49" s="34">
        <v>82.445019695005271</v>
      </c>
      <c r="P49" s="34"/>
      <c r="Q49" s="39">
        <v>0.95</v>
      </c>
      <c r="R49" s="34">
        <v>117.07481541830116</v>
      </c>
    </row>
    <row r="50" spans="11:18" x14ac:dyDescent="0.25">
      <c r="K50" s="39">
        <v>1</v>
      </c>
      <c r="L50" s="34">
        <v>91.232001257250829</v>
      </c>
      <c r="M50" s="34"/>
      <c r="N50" s="39">
        <v>1</v>
      </c>
      <c r="O50" s="34">
        <v>82.445019695005271</v>
      </c>
      <c r="P50" s="34"/>
      <c r="Q50" s="39">
        <v>1</v>
      </c>
      <c r="R50" s="34">
        <v>118.91440902299659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 tint="0.59999389629810485"/>
  </sheetPr>
  <dimension ref="A1:AA50"/>
  <sheetViews>
    <sheetView zoomScale="70" zoomScaleNormal="70" workbookViewId="0">
      <selection activeCell="I3" sqref="I3"/>
    </sheetView>
  </sheetViews>
  <sheetFormatPr defaultRowHeight="15" x14ac:dyDescent="0.25"/>
  <cols>
    <col min="1" max="1" width="19.28515625" bestFit="1" customWidth="1"/>
    <col min="2" max="2" width="13" bestFit="1" customWidth="1"/>
    <col min="3" max="3" width="14.5703125" bestFit="1" customWidth="1"/>
    <col min="4" max="5" width="13" bestFit="1" customWidth="1"/>
    <col min="6" max="6" width="13.85546875" bestFit="1" customWidth="1"/>
    <col min="7" max="7" width="13" bestFit="1" customWidth="1"/>
    <col min="8" max="9" width="13.140625" bestFit="1" customWidth="1"/>
    <col min="11" max="11" width="12.140625" bestFit="1" customWidth="1"/>
    <col min="12" max="12" width="6.8554687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140625" bestFit="1" customWidth="1"/>
    <col min="19" max="19" width="10.7109375" bestFit="1" customWidth="1"/>
    <col min="20" max="20" width="7.7109375" bestFit="1" customWidth="1"/>
    <col min="22" max="22" width="6.42578125" bestFit="1" customWidth="1"/>
    <col min="23" max="23" width="7.85546875" bestFit="1" customWidth="1"/>
    <col min="24" max="24" width="7.28515625" bestFit="1" customWidth="1"/>
    <col min="26" max="26" width="3.42578125" bestFit="1" customWidth="1"/>
    <col min="27" max="27" width="13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0.3249171059946579</v>
      </c>
      <c r="G4" s="46">
        <v>0.64183479683401212</v>
      </c>
      <c r="H4" s="46">
        <v>0</v>
      </c>
      <c r="I4" s="46">
        <v>0</v>
      </c>
      <c r="K4">
        <v>-3</v>
      </c>
      <c r="Q4" s="31">
        <f>AA6</f>
        <v>0.46453236768771811</v>
      </c>
      <c r="V4" s="40">
        <f>AVERAGE(N8,N12,N16,N20,N24)</f>
        <v>0.47742512120975811</v>
      </c>
      <c r="W4" s="40">
        <f>AVERAGE(V4:V7)</f>
        <v>1.0277542630370746</v>
      </c>
      <c r="X4" s="40">
        <f>V4/$W$4</f>
        <v>0.46453236768771811</v>
      </c>
      <c r="Z4" s="24" t="s">
        <v>40</v>
      </c>
      <c r="AA4" s="28">
        <f>B17</f>
        <v>3621.2279411764716</v>
      </c>
    </row>
    <row r="5" spans="1:27" ht="18.75" x14ac:dyDescent="0.35">
      <c r="A5" s="17" t="s">
        <v>12</v>
      </c>
      <c r="B5" s="17">
        <v>0.10557112576794374</v>
      </c>
      <c r="K5">
        <v>-2</v>
      </c>
      <c r="Q5" s="31">
        <f t="shared" ref="Q5:Q7" si="0">AA7</f>
        <v>1.139552207579887</v>
      </c>
      <c r="V5" s="40">
        <f>AVERAGE(N9,N13,N17,N21)</f>
        <v>1.1711796392935383</v>
      </c>
      <c r="W5" s="40"/>
      <c r="X5" s="40">
        <f t="shared" ref="X5:X7" si="1">V5/$W$4</f>
        <v>1.139552207579887</v>
      </c>
      <c r="Z5" s="25" t="s">
        <v>41</v>
      </c>
      <c r="AA5" s="29">
        <f>B18</f>
        <v>159.12499999999986</v>
      </c>
    </row>
    <row r="6" spans="1:27" ht="18.75" x14ac:dyDescent="0.35">
      <c r="A6" s="17" t="s">
        <v>13</v>
      </c>
      <c r="B6" s="17">
        <v>4.5942534152473319E-2</v>
      </c>
      <c r="K6">
        <v>-1</v>
      </c>
      <c r="Q6" s="31">
        <f t="shared" si="0"/>
        <v>1.5014453386230262</v>
      </c>
      <c r="V6" s="40">
        <f>AVERAGE(N10,N14,N18,N22)</f>
        <v>1.5431168474869592</v>
      </c>
      <c r="W6" s="40"/>
      <c r="X6" s="40">
        <f t="shared" si="1"/>
        <v>1.5014453386230262</v>
      </c>
      <c r="Z6" s="26" t="s">
        <v>42</v>
      </c>
      <c r="AA6" s="30">
        <f>X4</f>
        <v>0.46453236768771811</v>
      </c>
    </row>
    <row r="7" spans="1:27" ht="18.75" x14ac:dyDescent="0.35">
      <c r="A7" s="17" t="s">
        <v>14</v>
      </c>
      <c r="B7" s="17">
        <v>2415.5898590524139</v>
      </c>
      <c r="K7">
        <v>0</v>
      </c>
      <c r="O7" s="31">
        <f>AA4</f>
        <v>3621.2279411764716</v>
      </c>
      <c r="P7" s="31">
        <f>AA5</f>
        <v>159.12499999999986</v>
      </c>
      <c r="Q7" s="31">
        <f t="shared" si="0"/>
        <v>0.89447008610936829</v>
      </c>
      <c r="V7" s="40">
        <f>AVERAGE(N11,N15,N19,N23)</f>
        <v>0.91929544415804243</v>
      </c>
      <c r="W7" s="40"/>
      <c r="X7" s="40">
        <f t="shared" si="1"/>
        <v>0.89447008610936829</v>
      </c>
      <c r="Z7" s="26" t="s">
        <v>43</v>
      </c>
      <c r="AA7" s="30">
        <f t="shared" ref="AA7:AA9" si="2">X5</f>
        <v>1.139552207579887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Data!I2</f>
        <v>842</v>
      </c>
      <c r="M8" s="34">
        <f>$B$17+$B$18*K8</f>
        <v>3780.3529411764716</v>
      </c>
      <c r="N8" s="34">
        <f>L8/M8</f>
        <v>0.22273052625027223</v>
      </c>
      <c r="O8" s="34">
        <f>$G$4*(L8/Q4)+((1-$G$4)*(O7+P7))</f>
        <v>2517.3649227172227</v>
      </c>
      <c r="P8" s="34">
        <f>$H$4*(O8-O7)+((1-$H$4)*P7)</f>
        <v>159.12499999999986</v>
      </c>
      <c r="Q8" s="33">
        <f>$I$4*(L8/O8)+((1-$I$4)*Q4)</f>
        <v>0.46453236768771811</v>
      </c>
      <c r="R8" s="34">
        <f>SUM(O7:P7)*Q4</f>
        <v>1756.0963024599353</v>
      </c>
      <c r="S8" s="34">
        <f>L8-R8</f>
        <v>-914.09630245993526</v>
      </c>
      <c r="T8" s="34">
        <f>ABS(S8/L8)*100</f>
        <v>108.56250623039611</v>
      </c>
      <c r="Z8" s="26" t="s">
        <v>44</v>
      </c>
      <c r="AA8" s="30">
        <f t="shared" si="2"/>
        <v>1.5014453386230262</v>
      </c>
    </row>
    <row r="9" spans="1:27" ht="18.75" x14ac:dyDescent="0.35">
      <c r="K9">
        <v>2</v>
      </c>
      <c r="L9">
        <f>Data!I3</f>
        <v>3050</v>
      </c>
      <c r="M9" s="34">
        <f t="shared" ref="M9:M24" si="3">$B$17+$B$18*K9</f>
        <v>3939.4779411764712</v>
      </c>
      <c r="N9" s="34">
        <f t="shared" ref="N9:N24" si="4">L9/M9</f>
        <v>0.77421426025021967</v>
      </c>
      <c r="O9" s="34">
        <f t="shared" ref="O9:O24" si="5">$G$4*(L9/Q5)+((1-$G$4)*(O8+P8))</f>
        <v>2676.4899227184997</v>
      </c>
      <c r="P9" s="34">
        <f t="shared" ref="P9:P24" si="6">$H$4*(O9-O8)+((1-$H$4)*P8)</f>
        <v>159.12499999999986</v>
      </c>
      <c r="Q9" s="33">
        <f t="shared" ref="Q9:Q24" si="7">$I$4*(L9/O9)+((1-$I$4)*Q5)</f>
        <v>1.139552207579887</v>
      </c>
      <c r="R9" s="34">
        <f t="shared" ref="R9:R24" si="8">SUM(O8:P8)*Q5</f>
        <v>3049.9999999977322</v>
      </c>
      <c r="S9" s="34">
        <f t="shared" ref="S9:S24" si="9">L9-R9</f>
        <v>2.2678250388707966E-9</v>
      </c>
      <c r="T9" s="34">
        <f t="shared" ref="T9:T24" si="10">ABS(S9/L9)*100</f>
        <v>7.4354919307239226E-11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0.89447008610936829</v>
      </c>
    </row>
    <row r="10" spans="1:27" ht="16.5" thickBot="1" x14ac:dyDescent="0.3">
      <c r="A10" t="s">
        <v>16</v>
      </c>
      <c r="K10">
        <v>3</v>
      </c>
      <c r="L10">
        <f>Data!I4</f>
        <v>5736</v>
      </c>
      <c r="M10" s="34">
        <f t="shared" si="3"/>
        <v>4098.6029411764712</v>
      </c>
      <c r="N10" s="34">
        <f t="shared" si="4"/>
        <v>1.3995012647781702</v>
      </c>
      <c r="O10" s="34">
        <f t="shared" si="5"/>
        <v>3467.6321980127273</v>
      </c>
      <c r="P10" s="34">
        <f t="shared" si="6"/>
        <v>159.12499999999986</v>
      </c>
      <c r="Q10" s="33">
        <f t="shared" si="7"/>
        <v>1.5014453386230262</v>
      </c>
      <c r="R10" s="34">
        <f t="shared" si="8"/>
        <v>4257.5208078455844</v>
      </c>
      <c r="S10" s="34">
        <f t="shared" si="9"/>
        <v>1478.4791921544156</v>
      </c>
      <c r="T10" s="34">
        <f t="shared" si="10"/>
        <v>25.775439193765965</v>
      </c>
      <c r="V10" s="34">
        <f>AVERAGE(T8:T24)</f>
        <v>21.158353063043315</v>
      </c>
      <c r="W10" s="34">
        <f>SUMPRODUCT(ABS(S8:S24))/17</f>
        <v>807.79162429388725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Data!I5</f>
        <v>4414</v>
      </c>
      <c r="M11" s="35">
        <f t="shared" si="3"/>
        <v>4257.7279411764712</v>
      </c>
      <c r="N11" s="35">
        <f t="shared" si="4"/>
        <v>1.0367031574075511</v>
      </c>
      <c r="O11" s="35">
        <f t="shared" si="5"/>
        <v>4466.2823534386025</v>
      </c>
      <c r="P11" s="35">
        <f t="shared" si="6"/>
        <v>159.12499999999986</v>
      </c>
      <c r="Q11" s="41">
        <f t="shared" si="7"/>
        <v>0.89447008610936829</v>
      </c>
      <c r="R11" s="35">
        <f t="shared" si="8"/>
        <v>3244.0258232042156</v>
      </c>
      <c r="S11" s="35">
        <f t="shared" si="9"/>
        <v>1169.9741767957844</v>
      </c>
      <c r="T11" s="35">
        <f t="shared" si="10"/>
        <v>26.505984974983786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10330872.37500003</v>
      </c>
      <c r="D12" s="17">
        <v>10330872.37500003</v>
      </c>
      <c r="E12" s="17">
        <v>1.7704782707051847</v>
      </c>
      <c r="F12" s="17">
        <v>0.20319778694668575</v>
      </c>
      <c r="K12">
        <v>5</v>
      </c>
      <c r="L12">
        <f>Data!I6</f>
        <v>2536</v>
      </c>
      <c r="M12" s="34">
        <f t="shared" si="3"/>
        <v>4416.8529411764712</v>
      </c>
      <c r="N12" s="34">
        <f t="shared" si="4"/>
        <v>0.57416446365192142</v>
      </c>
      <c r="O12" s="34">
        <f t="shared" si="5"/>
        <v>5160.5988888404427</v>
      </c>
      <c r="P12" s="34">
        <f t="shared" si="6"/>
        <v>159.12499999999986</v>
      </c>
      <c r="Q12" s="33">
        <f t="shared" si="7"/>
        <v>0.46453236768771811</v>
      </c>
      <c r="R12" s="34">
        <f t="shared" si="8"/>
        <v>2148.6514294130161</v>
      </c>
      <c r="S12" s="34">
        <f t="shared" si="9"/>
        <v>387.3485705869839</v>
      </c>
      <c r="T12" s="34">
        <f t="shared" si="10"/>
        <v>15.273997262893687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87526115.507352918</v>
      </c>
      <c r="D13" s="17">
        <v>5835074.3671568613</v>
      </c>
      <c r="E13" s="17"/>
      <c r="F13" s="17"/>
      <c r="K13">
        <v>6</v>
      </c>
      <c r="L13">
        <f>Data!I7</f>
        <v>6740</v>
      </c>
      <c r="M13" s="34">
        <f t="shared" si="3"/>
        <v>4575.9779411764703</v>
      </c>
      <c r="N13" s="34">
        <f t="shared" si="4"/>
        <v>1.4729091981302616</v>
      </c>
      <c r="O13" s="34">
        <f t="shared" si="5"/>
        <v>5701.5386186910064</v>
      </c>
      <c r="P13" s="34">
        <f t="shared" si="6"/>
        <v>159.12499999999986</v>
      </c>
      <c r="Q13" s="33">
        <f t="shared" si="7"/>
        <v>1.139552207579887</v>
      </c>
      <c r="R13" s="34">
        <f t="shared" si="8"/>
        <v>6062.1031012435878</v>
      </c>
      <c r="S13" s="34">
        <f t="shared" si="9"/>
        <v>677.89689875641216</v>
      </c>
      <c r="T13" s="34">
        <f t="shared" si="10"/>
        <v>10.05781748896754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97856987.882352948</v>
      </c>
      <c r="D14" s="18"/>
      <c r="E14" s="18"/>
      <c r="F14" s="18"/>
      <c r="K14">
        <v>7</v>
      </c>
      <c r="L14">
        <f>Data!I8</f>
        <v>6454</v>
      </c>
      <c r="M14" s="34">
        <f t="shared" si="3"/>
        <v>4735.1029411764703</v>
      </c>
      <c r="N14" s="34">
        <f t="shared" si="4"/>
        <v>1.3630115501557518</v>
      </c>
      <c r="O14" s="34">
        <f t="shared" si="5"/>
        <v>4858.0285571466011</v>
      </c>
      <c r="P14" s="34">
        <f t="shared" si="6"/>
        <v>159.12499999999986</v>
      </c>
      <c r="Q14" s="33">
        <f t="shared" si="7"/>
        <v>1.5014453386230262</v>
      </c>
      <c r="R14" s="34">
        <f t="shared" si="8"/>
        <v>8799.4660715211685</v>
      </c>
      <c r="S14" s="34">
        <f t="shared" si="9"/>
        <v>-2345.4660715211685</v>
      </c>
      <c r="T14" s="34">
        <f t="shared" si="10"/>
        <v>36.341277835778875</v>
      </c>
      <c r="AA14" s="27"/>
    </row>
    <row r="15" spans="1:27" ht="16.5" thickBot="1" x14ac:dyDescent="0.3">
      <c r="K15" s="23">
        <v>8</v>
      </c>
      <c r="L15" s="23">
        <f>Data!I9</f>
        <v>4676</v>
      </c>
      <c r="M15" s="35">
        <f t="shared" si="3"/>
        <v>4894.2279411764703</v>
      </c>
      <c r="N15" s="35">
        <f t="shared" si="4"/>
        <v>0.95541116110664581</v>
      </c>
      <c r="O15" s="35">
        <f t="shared" si="5"/>
        <v>5152.2743286529712</v>
      </c>
      <c r="P15" s="35">
        <f t="shared" si="6"/>
        <v>159.12499999999986</v>
      </c>
      <c r="Q15" s="41">
        <f t="shared" si="7"/>
        <v>0.89447008610936829</v>
      </c>
      <c r="R15" s="35">
        <f t="shared" si="8"/>
        <v>4487.693774284844</v>
      </c>
      <c r="S15" s="35">
        <f t="shared" si="9"/>
        <v>188.30622571515596</v>
      </c>
      <c r="T15" s="35">
        <f t="shared" si="10"/>
        <v>4.027079249682548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Data!I10</f>
        <v>2948</v>
      </c>
      <c r="M16" s="34">
        <f t="shared" si="3"/>
        <v>5053.3529411764703</v>
      </c>
      <c r="N16" s="34">
        <f t="shared" si="4"/>
        <v>0.58337504510691796</v>
      </c>
      <c r="O16" s="34">
        <f t="shared" si="5"/>
        <v>5975.5492512849069</v>
      </c>
      <c r="P16" s="34">
        <f t="shared" si="6"/>
        <v>159.12499999999986</v>
      </c>
      <c r="Q16" s="33">
        <f t="shared" si="7"/>
        <v>0.46453236768771811</v>
      </c>
      <c r="R16" s="34">
        <f t="shared" si="8"/>
        <v>2467.3169058741209</v>
      </c>
      <c r="S16" s="34">
        <f t="shared" si="9"/>
        <v>480.68309412587905</v>
      </c>
      <c r="T16" s="34">
        <f t="shared" si="10"/>
        <v>16.30539667998233</v>
      </c>
      <c r="AA16" s="27"/>
    </row>
    <row r="17" spans="1:27" ht="15.75" x14ac:dyDescent="0.25">
      <c r="A17" s="17" t="s">
        <v>19</v>
      </c>
      <c r="B17" s="21">
        <v>3621.2279411764716</v>
      </c>
      <c r="C17" s="17">
        <v>1225.4279050075736</v>
      </c>
      <c r="D17" s="17">
        <v>2.9550722048834781</v>
      </c>
      <c r="E17" s="17">
        <v>9.8315434648057667E-3</v>
      </c>
      <c r="F17" s="17">
        <v>1009.2901899318126</v>
      </c>
      <c r="G17" s="17">
        <v>6233.1656924211311</v>
      </c>
      <c r="H17" s="17">
        <v>1009.2901899318126</v>
      </c>
      <c r="I17" s="17">
        <v>6233.1656924211311</v>
      </c>
      <c r="K17">
        <v>10</v>
      </c>
      <c r="L17">
        <f>Data!I11</f>
        <v>6424</v>
      </c>
      <c r="M17" s="34">
        <f t="shared" si="3"/>
        <v>5212.4779411764703</v>
      </c>
      <c r="N17" s="34">
        <f t="shared" si="4"/>
        <v>1.2324272778697047</v>
      </c>
      <c r="O17" s="34">
        <f t="shared" si="5"/>
        <v>5815.4434678472853</v>
      </c>
      <c r="P17" s="34">
        <f t="shared" si="6"/>
        <v>159.12499999999986</v>
      </c>
      <c r="Q17" s="33">
        <f t="shared" si="7"/>
        <v>1.139552207579887</v>
      </c>
      <c r="R17" s="34">
        <f t="shared" si="8"/>
        <v>6990.781585835206</v>
      </c>
      <c r="S17" s="34">
        <f t="shared" si="9"/>
        <v>-566.78158583520599</v>
      </c>
      <c r="T17" s="34">
        <f t="shared" si="10"/>
        <v>8.8228764918307281</v>
      </c>
      <c r="AA17" s="27"/>
    </row>
    <row r="18" spans="1:27" ht="15.75" thickBot="1" x14ac:dyDescent="0.3">
      <c r="A18" s="18" t="s">
        <v>32</v>
      </c>
      <c r="B18" s="22">
        <v>159.12499999999986</v>
      </c>
      <c r="C18" s="18">
        <v>119.58951818900591</v>
      </c>
      <c r="D18" s="18">
        <v>1.3305932025623672</v>
      </c>
      <c r="E18" s="18">
        <v>0.20319778694668683</v>
      </c>
      <c r="F18" s="18">
        <v>-95.774024197669149</v>
      </c>
      <c r="G18" s="18">
        <v>414.02402419766884</v>
      </c>
      <c r="H18" s="18">
        <v>-95.774024197669149</v>
      </c>
      <c r="I18" s="18">
        <v>414.02402419766884</v>
      </c>
      <c r="K18">
        <v>11</v>
      </c>
      <c r="L18">
        <f>Data!I12</f>
        <v>9666</v>
      </c>
      <c r="M18" s="34">
        <f t="shared" si="3"/>
        <v>5371.6029411764703</v>
      </c>
      <c r="N18" s="34">
        <f t="shared" si="4"/>
        <v>1.7994628616170549</v>
      </c>
      <c r="O18" s="34">
        <f t="shared" si="5"/>
        <v>6271.8845318573458</v>
      </c>
      <c r="P18" s="34">
        <f t="shared" si="6"/>
        <v>159.12499999999986</v>
      </c>
      <c r="Q18" s="33">
        <f t="shared" si="7"/>
        <v>1.5014453386230262</v>
      </c>
      <c r="R18" s="34">
        <f t="shared" si="8"/>
        <v>8970.4879763334229</v>
      </c>
      <c r="S18" s="34">
        <f t="shared" si="9"/>
        <v>695.51202366657708</v>
      </c>
      <c r="T18" s="34">
        <f t="shared" si="10"/>
        <v>7.1954482067719541</v>
      </c>
    </row>
    <row r="19" spans="1:27" x14ac:dyDescent="0.25">
      <c r="K19" s="23">
        <v>12</v>
      </c>
      <c r="L19" s="23">
        <f>Data!I13</f>
        <v>5754</v>
      </c>
      <c r="M19" s="35">
        <f t="shared" si="3"/>
        <v>5530.7279411764703</v>
      </c>
      <c r="N19" s="35">
        <f t="shared" si="4"/>
        <v>1.0403693801608394</v>
      </c>
      <c r="O19" s="35">
        <f t="shared" si="5"/>
        <v>6432.1966252946077</v>
      </c>
      <c r="P19" s="35">
        <f t="shared" si="6"/>
        <v>159.12499999999986</v>
      </c>
      <c r="Q19" s="41">
        <f t="shared" si="7"/>
        <v>0.89447008610936829</v>
      </c>
      <c r="R19" s="35">
        <f t="shared" si="8"/>
        <v>5752.3456497306088</v>
      </c>
      <c r="S19" s="35">
        <f t="shared" si="9"/>
        <v>1.654350269391216</v>
      </c>
      <c r="T19" s="35">
        <f t="shared" si="10"/>
        <v>2.8751308122892179E-2</v>
      </c>
    </row>
    <row r="20" spans="1:27" x14ac:dyDescent="0.25">
      <c r="K20">
        <v>13</v>
      </c>
      <c r="L20">
        <f>Data!I14</f>
        <v>3609</v>
      </c>
      <c r="M20" s="34">
        <f t="shared" si="3"/>
        <v>5689.8529411764703</v>
      </c>
      <c r="N20" s="34">
        <f t="shared" si="4"/>
        <v>0.63428704349848808</v>
      </c>
      <c r="O20" s="34">
        <f t="shared" si="5"/>
        <v>7347.2629552285989</v>
      </c>
      <c r="P20" s="34">
        <f t="shared" si="6"/>
        <v>159.12499999999986</v>
      </c>
      <c r="Q20" s="33">
        <f t="shared" si="7"/>
        <v>0.46453236768771811</v>
      </c>
      <c r="R20" s="34">
        <f t="shared" si="8"/>
        <v>3061.8822407893622</v>
      </c>
      <c r="S20" s="34">
        <f t="shared" si="9"/>
        <v>547.11775921063781</v>
      </c>
      <c r="T20" s="34">
        <f t="shared" si="10"/>
        <v>15.159815993644715</v>
      </c>
    </row>
    <row r="21" spans="1:27" x14ac:dyDescent="0.25">
      <c r="K21">
        <v>14</v>
      </c>
      <c r="L21">
        <f>Data!I15</f>
        <v>7049</v>
      </c>
      <c r="M21" s="34">
        <f t="shared" si="3"/>
        <v>5848.9779411764703</v>
      </c>
      <c r="N21" s="34">
        <f t="shared" si="4"/>
        <v>1.2051678209239673</v>
      </c>
      <c r="O21" s="34">
        <f t="shared" si="5"/>
        <v>6658.7649717355125</v>
      </c>
      <c r="P21" s="34">
        <f t="shared" si="6"/>
        <v>159.12499999999986</v>
      </c>
      <c r="Q21" s="33">
        <f t="shared" si="7"/>
        <v>1.139552207579887</v>
      </c>
      <c r="R21" s="34">
        <f t="shared" si="8"/>
        <v>8553.920965331823</v>
      </c>
      <c r="S21" s="34">
        <f t="shared" si="9"/>
        <v>-1504.920965331823</v>
      </c>
      <c r="T21" s="34">
        <f t="shared" si="10"/>
        <v>21.349424958601546</v>
      </c>
    </row>
    <row r="22" spans="1:27" x14ac:dyDescent="0.25">
      <c r="K22">
        <v>15</v>
      </c>
      <c r="L22">
        <f>Data!I16</f>
        <v>9676</v>
      </c>
      <c r="M22" s="34">
        <f t="shared" si="3"/>
        <v>6008.1029411764694</v>
      </c>
      <c r="N22" s="34">
        <f t="shared" si="4"/>
        <v>1.610491713396859</v>
      </c>
      <c r="O22" s="34">
        <f t="shared" si="5"/>
        <v>6578.2077292745307</v>
      </c>
      <c r="P22" s="34">
        <f t="shared" si="6"/>
        <v>159.12499999999986</v>
      </c>
      <c r="Q22" s="33">
        <f t="shared" si="7"/>
        <v>1.5014453386230262</v>
      </c>
      <c r="R22" s="34">
        <f t="shared" si="8"/>
        <v>10236.689117306962</v>
      </c>
      <c r="S22" s="34">
        <f t="shared" si="9"/>
        <v>-560.68911730696163</v>
      </c>
      <c r="T22" s="34">
        <f t="shared" si="10"/>
        <v>5.7946374256610342</v>
      </c>
    </row>
    <row r="23" spans="1:27" x14ac:dyDescent="0.25">
      <c r="K23" s="23">
        <v>16</v>
      </c>
      <c r="L23" s="23">
        <f>Data!I17</f>
        <v>3976</v>
      </c>
      <c r="M23" s="35">
        <f t="shared" si="3"/>
        <v>6167.2279411764694</v>
      </c>
      <c r="N23" s="35">
        <f t="shared" si="4"/>
        <v>0.64469807795713363</v>
      </c>
      <c r="O23" s="35">
        <f t="shared" si="5"/>
        <v>5266.0915576759699</v>
      </c>
      <c r="P23" s="35">
        <f t="shared" si="6"/>
        <v>159.12499999999986</v>
      </c>
      <c r="Q23" s="41">
        <f t="shared" si="7"/>
        <v>0.89447008610936829</v>
      </c>
      <c r="R23" s="35">
        <f t="shared" si="8"/>
        <v>6026.3425865016552</v>
      </c>
      <c r="S23" s="35">
        <f t="shared" si="9"/>
        <v>-2050.3425865016552</v>
      </c>
      <c r="T23" s="35">
        <f t="shared" si="10"/>
        <v>51.56797249752654</v>
      </c>
    </row>
    <row r="24" spans="1:27" x14ac:dyDescent="0.25">
      <c r="K24">
        <v>17</v>
      </c>
      <c r="L24">
        <f>Data!I18</f>
        <v>2357</v>
      </c>
      <c r="M24" s="34">
        <f t="shared" si="3"/>
        <v>6326.3529411764694</v>
      </c>
      <c r="N24" s="34">
        <f t="shared" si="4"/>
        <v>0.37256852754119096</v>
      </c>
      <c r="O24" s="34">
        <f t="shared" si="5"/>
        <v>5199.74210477206</v>
      </c>
      <c r="P24" s="34">
        <f t="shared" si="6"/>
        <v>159.12499999999986</v>
      </c>
      <c r="Q24" s="33">
        <f t="shared" si="7"/>
        <v>0.46453236768771811</v>
      </c>
      <c r="R24" s="34">
        <f t="shared" si="8"/>
        <v>2520.1886927558298</v>
      </c>
      <c r="S24" s="34">
        <f t="shared" si="9"/>
        <v>-163.18869275582983</v>
      </c>
      <c r="T24" s="34">
        <f t="shared" si="10"/>
        <v>6.9235762730517543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>SUM(O24:P24)*Q21</f>
        <v>6106.7088393702379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($O$24+($P$24*2))*Q22</f>
        <v>8284.9635242686709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($O$24+($P$24*3))*Q23</f>
        <v>5078.0114255584322</v>
      </c>
      <c r="S27" s="34"/>
      <c r="T27" s="34"/>
    </row>
    <row r="29" spans="1:27" ht="15.75" x14ac:dyDescent="0.25">
      <c r="K29" s="37" t="s">
        <v>53</v>
      </c>
      <c r="L29" s="36">
        <f>V10</f>
        <v>21.158353063043315</v>
      </c>
      <c r="M29" s="34"/>
      <c r="N29" s="37" t="s">
        <v>54</v>
      </c>
      <c r="O29" s="36">
        <f>V10</f>
        <v>21.158353063043315</v>
      </c>
      <c r="P29" s="34"/>
      <c r="Q29" s="37" t="s">
        <v>55</v>
      </c>
      <c r="R29" s="36">
        <f>V10</f>
        <v>21.158353063043315</v>
      </c>
    </row>
    <row r="30" spans="1:27" x14ac:dyDescent="0.25">
      <c r="K30" s="39">
        <v>0</v>
      </c>
      <c r="L30" s="34">
        <f t="dataTable" ref="L30:L50" dt2D="0" dtr="0" r1="G4"/>
        <v>23.289065976607052</v>
      </c>
      <c r="M30" s="34"/>
      <c r="N30" s="39">
        <v>0</v>
      </c>
      <c r="O30" s="34">
        <f t="dataTable" ref="O30:O50" dt2D="0" dtr="0" r1="H4" ca="1"/>
        <v>21.158353063043315</v>
      </c>
      <c r="P30" s="34"/>
      <c r="Q30" s="39">
        <v>0</v>
      </c>
      <c r="R30" s="34">
        <f t="dataTable" ref="R30:R50" dt2D="0" dtr="0" r1="I4" ca="1"/>
        <v>21.158353063043315</v>
      </c>
    </row>
    <row r="31" spans="1:27" x14ac:dyDescent="0.25">
      <c r="K31" s="39">
        <v>0.05</v>
      </c>
      <c r="L31" s="34">
        <v>22.916687444546184</v>
      </c>
      <c r="M31" s="34"/>
      <c r="N31" s="39">
        <v>0.05</v>
      </c>
      <c r="O31" s="34">
        <v>21.668817860204239</v>
      </c>
      <c r="P31" s="34"/>
      <c r="Q31" s="39">
        <v>0.05</v>
      </c>
      <c r="R31" s="34">
        <v>21.484059530402764</v>
      </c>
    </row>
    <row r="32" spans="1:27" x14ac:dyDescent="0.25">
      <c r="K32" s="39">
        <v>0.1</v>
      </c>
      <c r="L32" s="34">
        <v>22.756946665215448</v>
      </c>
      <c r="M32" s="34"/>
      <c r="N32" s="39">
        <v>0.1</v>
      </c>
      <c r="O32" s="34">
        <v>22.017041841002687</v>
      </c>
      <c r="P32" s="34"/>
      <c r="Q32" s="39">
        <v>0.1</v>
      </c>
      <c r="R32" s="34">
        <v>21.804625488865</v>
      </c>
    </row>
    <row r="33" spans="11:18" x14ac:dyDescent="0.25">
      <c r="K33" s="39">
        <v>0.15</v>
      </c>
      <c r="L33" s="34">
        <v>23.035123660287084</v>
      </c>
      <c r="M33" s="34"/>
      <c r="N33" s="39">
        <v>0.15</v>
      </c>
      <c r="O33" s="34">
        <v>22.232484242718442</v>
      </c>
      <c r="P33" s="34"/>
      <c r="Q33" s="39">
        <v>0.15</v>
      </c>
      <c r="R33" s="34">
        <v>22.116302243746151</v>
      </c>
    </row>
    <row r="34" spans="11:18" x14ac:dyDescent="0.25">
      <c r="K34" s="39">
        <v>0.2</v>
      </c>
      <c r="L34" s="34">
        <v>23.059544986335215</v>
      </c>
      <c r="M34" s="34"/>
      <c r="N34" s="39">
        <v>0.2</v>
      </c>
      <c r="O34" s="34">
        <v>22.35736345785115</v>
      </c>
      <c r="P34" s="34"/>
      <c r="Q34" s="39">
        <v>0.2</v>
      </c>
      <c r="R34" s="34">
        <v>22.418804582656115</v>
      </c>
    </row>
    <row r="35" spans="11:18" x14ac:dyDescent="0.25">
      <c r="K35" s="39">
        <v>0.25</v>
      </c>
      <c r="L35" s="34">
        <v>23.047864562022966</v>
      </c>
      <c r="M35" s="34"/>
      <c r="N35" s="39">
        <v>0.25</v>
      </c>
      <c r="O35" s="34">
        <v>22.682467610196781</v>
      </c>
      <c r="P35" s="34"/>
      <c r="Q35" s="39">
        <v>0.25</v>
      </c>
      <c r="R35" s="34">
        <v>22.711918845321691</v>
      </c>
    </row>
    <row r="36" spans="11:18" x14ac:dyDescent="0.25">
      <c r="K36" s="39">
        <v>0.3</v>
      </c>
      <c r="L36" s="34">
        <v>22.984610942745991</v>
      </c>
      <c r="M36" s="34"/>
      <c r="N36" s="39">
        <v>0.3</v>
      </c>
      <c r="O36" s="34">
        <v>23.002627511241204</v>
      </c>
      <c r="P36" s="34"/>
      <c r="Q36" s="39">
        <v>0.3</v>
      </c>
      <c r="R36" s="34">
        <v>22.995493912088019</v>
      </c>
    </row>
    <row r="37" spans="11:18" x14ac:dyDescent="0.25">
      <c r="K37" s="39">
        <v>0.35</v>
      </c>
      <c r="L37" s="34">
        <v>22.835862240774897</v>
      </c>
      <c r="M37" s="34"/>
      <c r="N37" s="39">
        <v>0.35</v>
      </c>
      <c r="O37" s="34">
        <v>23.303616035974233</v>
      </c>
      <c r="P37" s="34"/>
      <c r="Q37" s="39">
        <v>0.35</v>
      </c>
      <c r="R37" s="34">
        <v>23.269432597651537</v>
      </c>
    </row>
    <row r="38" spans="11:18" x14ac:dyDescent="0.25">
      <c r="K38" s="39">
        <v>0.4</v>
      </c>
      <c r="L38" s="34">
        <v>22.627270174437967</v>
      </c>
      <c r="M38" s="34"/>
      <c r="N38" s="39">
        <v>0.4</v>
      </c>
      <c r="O38" s="34">
        <v>23.701580987102357</v>
      </c>
      <c r="P38" s="34"/>
      <c r="Q38" s="39">
        <v>0.4</v>
      </c>
      <c r="R38" s="34">
        <v>23.533683446374116</v>
      </c>
    </row>
    <row r="39" spans="11:18" x14ac:dyDescent="0.25">
      <c r="K39" s="39">
        <v>0.45</v>
      </c>
      <c r="L39" s="34">
        <v>22.374978361198767</v>
      </c>
      <c r="M39" s="34"/>
      <c r="N39" s="39">
        <v>0.45</v>
      </c>
      <c r="O39" s="34">
        <v>24.177357476718246</v>
      </c>
      <c r="P39" s="34"/>
      <c r="Q39" s="39">
        <v>0.45</v>
      </c>
      <c r="R39" s="34">
        <v>23.788232927271274</v>
      </c>
    </row>
    <row r="40" spans="11:18" x14ac:dyDescent="0.25">
      <c r="K40" s="39">
        <v>0.5</v>
      </c>
      <c r="L40" s="34">
        <v>22.089533832522235</v>
      </c>
      <c r="M40" s="34"/>
      <c r="N40" s="39">
        <v>0.5</v>
      </c>
      <c r="O40" s="34">
        <v>24.636228597730554</v>
      </c>
      <c r="P40" s="34"/>
      <c r="Q40" s="39">
        <v>0.5</v>
      </c>
      <c r="R40" s="34">
        <v>24.033098027650535</v>
      </c>
    </row>
    <row r="41" spans="11:18" x14ac:dyDescent="0.25">
      <c r="K41" s="39">
        <v>0.55000000000000004</v>
      </c>
      <c r="L41" s="34">
        <v>21.778391497593923</v>
      </c>
      <c r="M41" s="34"/>
      <c r="N41" s="39">
        <v>0.55000000000000004</v>
      </c>
      <c r="O41" s="34">
        <v>25.073228852244032</v>
      </c>
      <c r="P41" s="34"/>
      <c r="Q41" s="39">
        <v>0.55000000000000004</v>
      </c>
      <c r="R41" s="34">
        <v>24.378055243738128</v>
      </c>
    </row>
    <row r="42" spans="11:18" x14ac:dyDescent="0.25">
      <c r="K42" s="39">
        <v>0.6</v>
      </c>
      <c r="L42" s="34">
        <v>21.447293579213664</v>
      </c>
      <c r="M42" s="34"/>
      <c r="N42" s="39">
        <v>0.6</v>
      </c>
      <c r="O42" s="34">
        <v>25.483253599889895</v>
      </c>
      <c r="P42" s="34"/>
      <c r="Q42" s="39">
        <v>0.6</v>
      </c>
      <c r="R42" s="34">
        <v>24.792181684963197</v>
      </c>
    </row>
    <row r="43" spans="11:18" x14ac:dyDescent="0.25">
      <c r="K43" s="39">
        <v>0.65</v>
      </c>
      <c r="L43" s="34">
        <v>21.17423674057477</v>
      </c>
      <c r="M43" s="34"/>
      <c r="N43" s="39">
        <v>0.65</v>
      </c>
      <c r="O43" s="34">
        <v>25.861843535952307</v>
      </c>
      <c r="P43" s="34"/>
      <c r="Q43" s="39">
        <v>0.65</v>
      </c>
      <c r="R43" s="34">
        <v>25.202471668517685</v>
      </c>
    </row>
    <row r="44" spans="11:18" x14ac:dyDescent="0.25">
      <c r="K44" s="39">
        <v>0.7</v>
      </c>
      <c r="L44" s="34">
        <v>21.285640913003274</v>
      </c>
      <c r="M44" s="34"/>
      <c r="N44" s="39">
        <v>0.7</v>
      </c>
      <c r="O44" s="34">
        <v>26.351689953508838</v>
      </c>
      <c r="P44" s="34"/>
      <c r="Q44" s="39">
        <v>0.7</v>
      </c>
      <c r="R44" s="34">
        <v>25.609295486736308</v>
      </c>
    </row>
    <row r="45" spans="11:18" x14ac:dyDescent="0.25">
      <c r="K45" s="39">
        <v>0.75</v>
      </c>
      <c r="L45" s="34">
        <v>21.388569477104955</v>
      </c>
      <c r="M45" s="34"/>
      <c r="N45" s="39">
        <v>0.75</v>
      </c>
      <c r="O45" s="34">
        <v>26.874655128485717</v>
      </c>
      <c r="P45" s="34"/>
      <c r="Q45" s="39">
        <v>0.75</v>
      </c>
      <c r="R45" s="34">
        <v>26.013043951564299</v>
      </c>
    </row>
    <row r="46" spans="11:18" x14ac:dyDescent="0.25">
      <c r="K46" s="39">
        <v>0.8</v>
      </c>
      <c r="L46" s="34">
        <v>21.555774857290182</v>
      </c>
      <c r="M46" s="34"/>
      <c r="N46" s="39">
        <v>0.8</v>
      </c>
      <c r="O46" s="34">
        <v>27.358947868045529</v>
      </c>
      <c r="P46" s="34"/>
      <c r="Q46" s="39">
        <v>0.8</v>
      </c>
      <c r="R46" s="34">
        <v>26.414125285844431</v>
      </c>
    </row>
    <row r="47" spans="11:18" x14ac:dyDescent="0.25">
      <c r="K47" s="39">
        <v>0.85</v>
      </c>
      <c r="L47" s="34">
        <v>21.913265816520585</v>
      </c>
      <c r="M47" s="34"/>
      <c r="N47" s="39">
        <v>0.85</v>
      </c>
      <c r="O47" s="34">
        <v>27.803552391490339</v>
      </c>
      <c r="P47" s="34"/>
      <c r="Q47" s="39">
        <v>0.85</v>
      </c>
      <c r="R47" s="34">
        <v>26.812962639786626</v>
      </c>
    </row>
    <row r="48" spans="11:18" x14ac:dyDescent="0.25">
      <c r="K48" s="39">
        <v>0.9</v>
      </c>
      <c r="L48" s="34">
        <v>22.264611507006833</v>
      </c>
      <c r="M48" s="34"/>
      <c r="N48" s="39">
        <v>0.9</v>
      </c>
      <c r="O48" s="34">
        <v>28.20851205814861</v>
      </c>
      <c r="P48" s="34"/>
      <c r="Q48" s="39">
        <v>0.9</v>
      </c>
      <c r="R48" s="34">
        <v>27.209992276909571</v>
      </c>
    </row>
    <row r="49" spans="11:18" x14ac:dyDescent="0.25">
      <c r="K49" s="39">
        <v>0.95</v>
      </c>
      <c r="L49" s="34">
        <v>22.641542510533998</v>
      </c>
      <c r="M49" s="34"/>
      <c r="N49" s="39">
        <v>0.95</v>
      </c>
      <c r="O49" s="34">
        <v>28.574594013178768</v>
      </c>
      <c r="P49" s="34"/>
      <c r="Q49" s="39">
        <v>0.95</v>
      </c>
      <c r="R49" s="34">
        <v>27.605662488038892</v>
      </c>
    </row>
    <row r="50" spans="11:18" x14ac:dyDescent="0.25">
      <c r="K50" s="39">
        <v>1</v>
      </c>
      <c r="L50" s="34">
        <v>23.145133136937691</v>
      </c>
      <c r="M50" s="34"/>
      <c r="N50" s="39">
        <v>1</v>
      </c>
      <c r="O50" s="34">
        <v>28.902956667919177</v>
      </c>
      <c r="P50" s="34"/>
      <c r="Q50" s="39">
        <v>1</v>
      </c>
      <c r="R50" s="34">
        <v>28.000433311290536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7" tint="0.59999389629810485"/>
  </sheetPr>
  <dimension ref="A1:AA50"/>
  <sheetViews>
    <sheetView topLeftCell="E1" zoomScale="70" zoomScaleNormal="70" workbookViewId="0">
      <selection activeCell="G4" sqref="G4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  <col min="11" max="11" width="12.140625" bestFit="1" customWidth="1"/>
    <col min="12" max="12" width="6.4257812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2" bestFit="1" customWidth="1"/>
    <col min="19" max="19" width="10.7109375" bestFit="1" customWidth="1"/>
    <col min="20" max="20" width="8.140625" bestFit="1" customWidth="1"/>
    <col min="22" max="22" width="10.28515625" bestFit="1" customWidth="1"/>
    <col min="23" max="23" width="9.7109375" bestFit="1" customWidth="1"/>
    <col min="24" max="24" width="10.28515625" bestFit="1" customWidth="1"/>
    <col min="26" max="26" width="3.42578125" bestFit="1" customWidth="1"/>
    <col min="27" max="27" width="12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0.89938229511283052</v>
      </c>
      <c r="G4" s="46">
        <v>0</v>
      </c>
      <c r="H4" s="46">
        <v>0.05</v>
      </c>
      <c r="I4" s="46">
        <v>0</v>
      </c>
      <c r="K4">
        <v>-3</v>
      </c>
      <c r="Q4" s="31">
        <f>AA6</f>
        <v>-736.80000000000018</v>
      </c>
      <c r="V4" s="40">
        <f>AVERAGE(N8,N12,N16,N20,N24)</f>
        <v>-693.45882352941169</v>
      </c>
      <c r="W4" s="40">
        <f>AVERAGE(V4:V7)</f>
        <v>43.341176470588437</v>
      </c>
      <c r="X4" s="40">
        <f>V4-$W$4</f>
        <v>-736.80000000000018</v>
      </c>
      <c r="Z4" s="24" t="s">
        <v>40</v>
      </c>
      <c r="AA4" s="28">
        <f>B17</f>
        <v>1264.0367647058833</v>
      </c>
    </row>
    <row r="5" spans="1:27" ht="18.75" x14ac:dyDescent="0.35">
      <c r="A5" s="17" t="s">
        <v>12</v>
      </c>
      <c r="B5" s="17">
        <v>0.80888851276242257</v>
      </c>
      <c r="K5">
        <v>-2</v>
      </c>
      <c r="Q5" s="31">
        <f t="shared" ref="Q5:Q7" si="0">AA7</f>
        <v>317.18578431372549</v>
      </c>
      <c r="V5" s="40">
        <f>AVERAGE(N9,N13,N17,N21)</f>
        <v>360.52696078431393</v>
      </c>
      <c r="W5" s="40"/>
      <c r="X5" s="40">
        <f t="shared" ref="X5:X7" si="1">V5-$W$4</f>
        <v>317.18578431372549</v>
      </c>
      <c r="Z5" s="25" t="s">
        <v>41</v>
      </c>
      <c r="AA5" s="29">
        <f>B18</f>
        <v>336.33578431372536</v>
      </c>
    </row>
    <row r="6" spans="1:27" ht="18.75" x14ac:dyDescent="0.35">
      <c r="A6" s="17" t="s">
        <v>13</v>
      </c>
      <c r="B6" s="17">
        <v>0.79614774694658408</v>
      </c>
      <c r="K6">
        <v>-1</v>
      </c>
      <c r="Q6" s="31">
        <f t="shared" si="0"/>
        <v>731.85000000000014</v>
      </c>
      <c r="V6" s="40">
        <f>AVERAGE(N10,N14,N18,N22)</f>
        <v>775.19117647058852</v>
      </c>
      <c r="W6" s="40"/>
      <c r="X6" s="40">
        <f t="shared" si="1"/>
        <v>731.85000000000014</v>
      </c>
      <c r="Z6" s="26" t="s">
        <v>42</v>
      </c>
      <c r="AA6" s="30">
        <f>X4</f>
        <v>-736.80000000000018</v>
      </c>
    </row>
    <row r="7" spans="1:27" ht="18.75" x14ac:dyDescent="0.35">
      <c r="A7" s="17" t="s">
        <v>14</v>
      </c>
      <c r="B7" s="17">
        <v>852.62211007086808</v>
      </c>
      <c r="K7">
        <v>0</v>
      </c>
      <c r="O7" s="31">
        <f>AA4</f>
        <v>1264.0367647058833</v>
      </c>
      <c r="P7" s="31">
        <f>AA5</f>
        <v>336.33578431372536</v>
      </c>
      <c r="Q7" s="31">
        <f t="shared" si="0"/>
        <v>-312.23578431372545</v>
      </c>
      <c r="V7" s="40">
        <f>AVERAGE(N11,N15,N19,N23)</f>
        <v>-268.89460784313701</v>
      </c>
      <c r="W7" s="40"/>
      <c r="X7" s="40">
        <f t="shared" si="1"/>
        <v>-312.23578431372545</v>
      </c>
      <c r="Z7" s="26" t="s">
        <v>43</v>
      </c>
      <c r="AA7" s="30">
        <f t="shared" ref="AA7:AA9" si="2">X5</f>
        <v>317.18578431372549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Data!E2</f>
        <v>2108</v>
      </c>
      <c r="M8" s="34">
        <f>$B$17+$B$18*K8</f>
        <v>1600.3725490196086</v>
      </c>
      <c r="N8" s="34">
        <f>L8-M8</f>
        <v>507.62745098039136</v>
      </c>
      <c r="O8" s="34">
        <f>$G$4*(L8-Q4)+((1-$G$4)*(O7+P7))</f>
        <v>1600.3725490196086</v>
      </c>
      <c r="P8" s="34">
        <f>$H$4*(O8-O7)+((1-$H$4)*P7)</f>
        <v>336.3357843137253</v>
      </c>
      <c r="Q8" s="33">
        <f>$I$4*(L8-O8)+((1-$I$4)*Q4)</f>
        <v>-736.80000000000018</v>
      </c>
      <c r="R8" s="34">
        <f>SUM(O7,P7,Q4)</f>
        <v>863.57254901960846</v>
      </c>
      <c r="S8" s="34">
        <f>L8-R8</f>
        <v>1244.4274509803915</v>
      </c>
      <c r="T8" s="34">
        <f>ABS(S8/L8)*100</f>
        <v>59.033560293187456</v>
      </c>
      <c r="Z8" s="26" t="s">
        <v>44</v>
      </c>
      <c r="AA8" s="30">
        <f t="shared" si="2"/>
        <v>731.85000000000014</v>
      </c>
    </row>
    <row r="9" spans="1:27" ht="18.75" x14ac:dyDescent="0.35">
      <c r="K9">
        <v>2</v>
      </c>
      <c r="L9">
        <f>Data!E3</f>
        <v>2516</v>
      </c>
      <c r="M9" s="34">
        <f t="shared" ref="M9:M24" si="3">$B$17+$B$18*K9</f>
        <v>1936.7083333333339</v>
      </c>
      <c r="N9" s="34">
        <f t="shared" ref="N9:N24" si="4">L9-M9</f>
        <v>579.29166666666606</v>
      </c>
      <c r="O9" s="34">
        <f t="shared" ref="O9:O24" si="5">$G$4*(L9-Q5)+((1-$G$4)*(O8+P8))</f>
        <v>1936.7083333333339</v>
      </c>
      <c r="P9" s="34">
        <f t="shared" ref="P9:P24" si="6">$H$4*(O9-O8)+((1-$H$4)*P8)</f>
        <v>336.33578431372524</v>
      </c>
      <c r="Q9" s="33">
        <f t="shared" ref="Q9:Q24" si="7">$I$4*(L9-O9)+((1-$I$4)*Q5)</f>
        <v>317.18578431372549</v>
      </c>
      <c r="R9" s="34">
        <f t="shared" ref="R9:R25" si="8">SUM(O8,P8,Q5)</f>
        <v>2253.8941176470594</v>
      </c>
      <c r="S9" s="34">
        <f t="shared" ref="S9:S24" si="9">L9-R9</f>
        <v>262.10588235294063</v>
      </c>
      <c r="T9" s="34">
        <f t="shared" ref="T9:T24" si="10">ABS(S9/L9)*100</f>
        <v>10.417562891611313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-312.23578431372545</v>
      </c>
    </row>
    <row r="10" spans="1:27" ht="16.5" thickBot="1" x14ac:dyDescent="0.3">
      <c r="A10" t="s">
        <v>16</v>
      </c>
      <c r="K10">
        <v>3</v>
      </c>
      <c r="L10">
        <f>Data!E4</f>
        <v>2954</v>
      </c>
      <c r="M10" s="34">
        <f t="shared" si="3"/>
        <v>2273.0441176470595</v>
      </c>
      <c r="N10" s="34">
        <f t="shared" si="4"/>
        <v>680.95588235294053</v>
      </c>
      <c r="O10" s="34">
        <f t="shared" si="5"/>
        <v>2273.044117647059</v>
      </c>
      <c r="P10" s="34">
        <f t="shared" si="6"/>
        <v>336.33578431372518</v>
      </c>
      <c r="Q10" s="33">
        <f t="shared" si="7"/>
        <v>731.85000000000014</v>
      </c>
      <c r="R10" s="34">
        <f t="shared" si="8"/>
        <v>3004.8941176470589</v>
      </c>
      <c r="S10" s="34">
        <f t="shared" si="9"/>
        <v>-50.89411764705892</v>
      </c>
      <c r="T10" s="34">
        <f t="shared" si="10"/>
        <v>1.7228882074156711</v>
      </c>
      <c r="V10" s="34">
        <f>AVERAGE(T8:T24)</f>
        <v>12.748475519384451</v>
      </c>
      <c r="W10" s="34">
        <f>SUMPRODUCT(ABS(S8:S24))/17</f>
        <v>413.34878892733548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Data!E5</f>
        <v>2224</v>
      </c>
      <c r="M11" s="35">
        <f t="shared" si="3"/>
        <v>2609.379901960785</v>
      </c>
      <c r="N11" s="35">
        <f t="shared" si="4"/>
        <v>-385.37990196078499</v>
      </c>
      <c r="O11" s="35">
        <f t="shared" si="5"/>
        <v>2609.3799019607841</v>
      </c>
      <c r="P11" s="35">
        <f t="shared" si="6"/>
        <v>336.33578431372513</v>
      </c>
      <c r="Q11" s="41">
        <f t="shared" si="7"/>
        <v>-312.23578431372545</v>
      </c>
      <c r="R11" s="35">
        <f t="shared" si="8"/>
        <v>2297.1441176470585</v>
      </c>
      <c r="S11" s="35">
        <f t="shared" si="9"/>
        <v>-73.144117647058465</v>
      </c>
      <c r="T11" s="35">
        <f t="shared" si="10"/>
        <v>3.2888542107490313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46153678.00245098</v>
      </c>
      <c r="D12" s="17">
        <v>46153678.00245098</v>
      </c>
      <c r="E12" s="17">
        <v>63.488217620079368</v>
      </c>
      <c r="F12" s="17">
        <v>9.0470357370202423E-7</v>
      </c>
      <c r="K12">
        <v>5</v>
      </c>
      <c r="L12">
        <f>Data!E6</f>
        <v>1788</v>
      </c>
      <c r="M12" s="34">
        <f>$B$17+$B$18*K12</f>
        <v>2945.7156862745101</v>
      </c>
      <c r="N12" s="34">
        <f>L12-M12</f>
        <v>-1157.7156862745101</v>
      </c>
      <c r="O12" s="34">
        <f t="shared" si="5"/>
        <v>2945.7156862745092</v>
      </c>
      <c r="P12" s="34">
        <f t="shared" si="6"/>
        <v>336.33578431372507</v>
      </c>
      <c r="Q12" s="33">
        <f t="shared" si="7"/>
        <v>-736.80000000000018</v>
      </c>
      <c r="R12" s="34">
        <f t="shared" si="8"/>
        <v>2208.915686274509</v>
      </c>
      <c r="S12" s="34">
        <f t="shared" si="9"/>
        <v>-420.91568627450897</v>
      </c>
      <c r="T12" s="34">
        <f t="shared" si="10"/>
        <v>23.541145764793566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10904466.938725492</v>
      </c>
      <c r="D13" s="17">
        <v>726964.46258169948</v>
      </c>
      <c r="E13" s="17"/>
      <c r="F13" s="17"/>
      <c r="K13">
        <v>6</v>
      </c>
      <c r="L13">
        <f>Data!E7</f>
        <v>2512</v>
      </c>
      <c r="M13" s="34">
        <f t="shared" si="3"/>
        <v>3282.0514705882356</v>
      </c>
      <c r="N13" s="34">
        <f t="shared" si="4"/>
        <v>-770.05147058823559</v>
      </c>
      <c r="O13" s="34">
        <f t="shared" si="5"/>
        <v>3282.0514705882342</v>
      </c>
      <c r="P13" s="34">
        <f t="shared" si="6"/>
        <v>336.33578431372507</v>
      </c>
      <c r="Q13" s="33">
        <f t="shared" si="7"/>
        <v>317.18578431372549</v>
      </c>
      <c r="R13" s="34">
        <f t="shared" si="8"/>
        <v>3599.2372549019597</v>
      </c>
      <c r="S13" s="34">
        <f t="shared" si="9"/>
        <v>-1087.2372549019597</v>
      </c>
      <c r="T13" s="34">
        <f t="shared" si="10"/>
        <v>43.281737854377376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57058144.941176474</v>
      </c>
      <c r="D14" s="18"/>
      <c r="E14" s="18"/>
      <c r="F14" s="18"/>
      <c r="K14">
        <v>7</v>
      </c>
      <c r="L14">
        <f>Data!E8</f>
        <v>3540</v>
      </c>
      <c r="M14" s="34">
        <f t="shared" si="3"/>
        <v>3618.3872549019607</v>
      </c>
      <c r="N14" s="34">
        <f t="shared" si="4"/>
        <v>-78.387254901960659</v>
      </c>
      <c r="O14" s="34">
        <f t="shared" si="5"/>
        <v>3618.3872549019593</v>
      </c>
      <c r="P14" s="34">
        <f t="shared" si="6"/>
        <v>336.33578431372507</v>
      </c>
      <c r="Q14" s="33">
        <f t="shared" si="7"/>
        <v>731.85000000000014</v>
      </c>
      <c r="R14" s="34">
        <f t="shared" si="8"/>
        <v>4350.2372549019592</v>
      </c>
      <c r="S14" s="34">
        <f t="shared" si="9"/>
        <v>-810.2372549019592</v>
      </c>
      <c r="T14" s="34">
        <f t="shared" si="10"/>
        <v>22.888058048077944</v>
      </c>
      <c r="AA14" s="27"/>
    </row>
    <row r="15" spans="1:27" ht="16.5" thickBot="1" x14ac:dyDescent="0.3">
      <c r="K15" s="23">
        <v>8</v>
      </c>
      <c r="L15" s="23">
        <f>Data!E9</f>
        <v>3666</v>
      </c>
      <c r="M15" s="35">
        <f t="shared" si="3"/>
        <v>3954.7230392156862</v>
      </c>
      <c r="N15" s="35">
        <f t="shared" si="4"/>
        <v>-288.72303921568619</v>
      </c>
      <c r="O15" s="35">
        <f t="shared" si="5"/>
        <v>3954.7230392156844</v>
      </c>
      <c r="P15" s="35">
        <f t="shared" si="6"/>
        <v>336.33578431372507</v>
      </c>
      <c r="Q15" s="41">
        <f t="shared" si="7"/>
        <v>-312.23578431372545</v>
      </c>
      <c r="R15" s="35">
        <f t="shared" si="8"/>
        <v>3642.4872549019587</v>
      </c>
      <c r="S15" s="35">
        <f t="shared" si="9"/>
        <v>23.51274509804125</v>
      </c>
      <c r="T15" s="35">
        <f t="shared" si="10"/>
        <v>0.64137329781891028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Data!E10</f>
        <v>3546</v>
      </c>
      <c r="M16" s="34">
        <f t="shared" si="3"/>
        <v>4291.0588235294117</v>
      </c>
      <c r="N16" s="34">
        <f t="shared" si="4"/>
        <v>-745.05882352941171</v>
      </c>
      <c r="O16" s="34">
        <f t="shared" si="5"/>
        <v>4291.058823529409</v>
      </c>
      <c r="P16" s="34">
        <f t="shared" si="6"/>
        <v>336.33578431372507</v>
      </c>
      <c r="Q16" s="33">
        <f t="shared" si="7"/>
        <v>-736.80000000000018</v>
      </c>
      <c r="R16" s="34">
        <f t="shared" si="8"/>
        <v>3554.2588235294088</v>
      </c>
      <c r="S16" s="34">
        <f t="shared" si="9"/>
        <v>-8.2588235294088008</v>
      </c>
      <c r="T16" s="34">
        <f t="shared" si="10"/>
        <v>0.23290534487898479</v>
      </c>
      <c r="AA16" s="27"/>
    </row>
    <row r="17" spans="1:27" ht="15.75" x14ac:dyDescent="0.25">
      <c r="A17" s="17" t="s">
        <v>19</v>
      </c>
      <c r="B17" s="21">
        <v>1264.0367647058833</v>
      </c>
      <c r="C17" s="17">
        <v>432.53490330396761</v>
      </c>
      <c r="D17" s="17">
        <v>2.9223925168822058</v>
      </c>
      <c r="E17" s="17">
        <v>1.0506342557919103E-2</v>
      </c>
      <c r="F17" s="17">
        <v>342.11044161990071</v>
      </c>
      <c r="G17" s="17">
        <v>2185.9630877918662</v>
      </c>
      <c r="H17" s="17">
        <v>342.11044161990071</v>
      </c>
      <c r="I17" s="17">
        <v>2185.9630877918662</v>
      </c>
      <c r="K17">
        <v>10</v>
      </c>
      <c r="L17">
        <f>Data!E11</f>
        <v>5596</v>
      </c>
      <c r="M17" s="34">
        <f t="shared" si="3"/>
        <v>4627.3946078431363</v>
      </c>
      <c r="N17" s="34">
        <f t="shared" si="4"/>
        <v>968.60539215686367</v>
      </c>
      <c r="O17" s="34">
        <f t="shared" si="5"/>
        <v>4627.3946078431345</v>
      </c>
      <c r="P17" s="34">
        <f t="shared" si="6"/>
        <v>336.33578431372513</v>
      </c>
      <c r="Q17" s="33">
        <f t="shared" si="7"/>
        <v>317.18578431372549</v>
      </c>
      <c r="R17" s="34">
        <f t="shared" si="8"/>
        <v>4944.5803921568604</v>
      </c>
      <c r="S17" s="34">
        <f t="shared" si="9"/>
        <v>651.4196078431396</v>
      </c>
      <c r="T17" s="34">
        <f t="shared" si="10"/>
        <v>11.640807859956032</v>
      </c>
      <c r="AA17" s="27"/>
    </row>
    <row r="18" spans="1:27" ht="15.75" thickBot="1" x14ac:dyDescent="0.3">
      <c r="A18" s="18" t="s">
        <v>32</v>
      </c>
      <c r="B18" s="22">
        <v>336.33578431372536</v>
      </c>
      <c r="C18" s="18">
        <v>42.211084368712868</v>
      </c>
      <c r="D18" s="18">
        <v>7.9679493986896874</v>
      </c>
      <c r="E18" s="18">
        <v>9.0470357370202582E-7</v>
      </c>
      <c r="F18" s="18">
        <v>246.36498771844703</v>
      </c>
      <c r="G18" s="18">
        <v>426.30658090900369</v>
      </c>
      <c r="H18" s="18">
        <v>246.36498771844703</v>
      </c>
      <c r="I18" s="18">
        <v>426.30658090900369</v>
      </c>
      <c r="K18">
        <v>11</v>
      </c>
      <c r="L18">
        <f>Data!E12</f>
        <v>5948</v>
      </c>
      <c r="M18" s="34">
        <f t="shared" si="3"/>
        <v>4963.7303921568619</v>
      </c>
      <c r="N18" s="34">
        <f t="shared" si="4"/>
        <v>984.26960784313815</v>
      </c>
      <c r="O18" s="34">
        <f t="shared" si="5"/>
        <v>4963.73039215686</v>
      </c>
      <c r="P18" s="34">
        <f t="shared" si="6"/>
        <v>336.33578431372513</v>
      </c>
      <c r="Q18" s="33">
        <f t="shared" si="7"/>
        <v>731.85000000000014</v>
      </c>
      <c r="R18" s="34">
        <f t="shared" si="8"/>
        <v>5695.5803921568604</v>
      </c>
      <c r="S18" s="34">
        <f t="shared" si="9"/>
        <v>252.4196078431396</v>
      </c>
      <c r="T18" s="34">
        <f t="shared" si="10"/>
        <v>4.2437728285665699</v>
      </c>
    </row>
    <row r="19" spans="1:27" x14ac:dyDescent="0.25">
      <c r="K19" s="23">
        <v>12</v>
      </c>
      <c r="L19" s="23">
        <f>Data!E13</f>
        <v>4892</v>
      </c>
      <c r="M19" s="35">
        <f t="shared" si="3"/>
        <v>5300.0661764705874</v>
      </c>
      <c r="N19" s="35">
        <f t="shared" si="4"/>
        <v>-408.06617647058738</v>
      </c>
      <c r="O19" s="35">
        <f t="shared" si="5"/>
        <v>5300.0661764705856</v>
      </c>
      <c r="P19" s="35">
        <f t="shared" si="6"/>
        <v>336.33578431372513</v>
      </c>
      <c r="Q19" s="41">
        <f t="shared" si="7"/>
        <v>-312.23578431372545</v>
      </c>
      <c r="R19" s="35">
        <f t="shared" si="8"/>
        <v>4987.8303921568604</v>
      </c>
      <c r="S19" s="35">
        <f t="shared" si="9"/>
        <v>-95.830392156860398</v>
      </c>
      <c r="T19" s="35">
        <f t="shared" si="10"/>
        <v>1.9589205265098202</v>
      </c>
    </row>
    <row r="20" spans="1:27" x14ac:dyDescent="0.25">
      <c r="K20">
        <v>13</v>
      </c>
      <c r="L20">
        <f>Data!E14</f>
        <v>4311</v>
      </c>
      <c r="M20" s="34">
        <f t="shared" si="3"/>
        <v>5636.4019607843129</v>
      </c>
      <c r="N20" s="34">
        <f t="shared" si="4"/>
        <v>-1325.4019607843129</v>
      </c>
      <c r="O20" s="34">
        <f t="shared" si="5"/>
        <v>5636.4019607843111</v>
      </c>
      <c r="P20" s="34">
        <f t="shared" si="6"/>
        <v>336.33578431372513</v>
      </c>
      <c r="Q20" s="33">
        <f t="shared" si="7"/>
        <v>-736.80000000000018</v>
      </c>
      <c r="R20" s="34">
        <f t="shared" si="8"/>
        <v>4899.6019607843109</v>
      </c>
      <c r="S20" s="34">
        <f t="shared" si="9"/>
        <v>-588.6019607843109</v>
      </c>
      <c r="T20" s="34">
        <f t="shared" si="10"/>
        <v>13.653490159691739</v>
      </c>
    </row>
    <row r="21" spans="1:27" x14ac:dyDescent="0.25">
      <c r="K21">
        <v>14</v>
      </c>
      <c r="L21">
        <f>Data!E15</f>
        <v>6637</v>
      </c>
      <c r="M21" s="34">
        <f t="shared" si="3"/>
        <v>5972.7377450980384</v>
      </c>
      <c r="N21" s="34">
        <f t="shared" si="4"/>
        <v>664.26225490196157</v>
      </c>
      <c r="O21" s="34">
        <f t="shared" si="5"/>
        <v>5972.7377450980366</v>
      </c>
      <c r="P21" s="34">
        <f t="shared" si="6"/>
        <v>336.33578431372513</v>
      </c>
      <c r="Q21" s="33">
        <f t="shared" si="7"/>
        <v>317.18578431372549</v>
      </c>
      <c r="R21" s="34">
        <f t="shared" si="8"/>
        <v>6289.9235294117625</v>
      </c>
      <c r="S21" s="34">
        <f t="shared" si="9"/>
        <v>347.0764705882375</v>
      </c>
      <c r="T21" s="34">
        <f t="shared" si="10"/>
        <v>5.229417968784654</v>
      </c>
    </row>
    <row r="22" spans="1:27" x14ac:dyDescent="0.25">
      <c r="K22">
        <v>15</v>
      </c>
      <c r="L22">
        <f>Data!E16</f>
        <v>7823</v>
      </c>
      <c r="M22" s="34">
        <f t="shared" si="3"/>
        <v>6309.073529411764</v>
      </c>
      <c r="N22" s="34">
        <f t="shared" si="4"/>
        <v>1513.926470588236</v>
      </c>
      <c r="O22" s="34">
        <f t="shared" si="5"/>
        <v>6309.0735294117621</v>
      </c>
      <c r="P22" s="34">
        <f t="shared" si="6"/>
        <v>336.33578431372513</v>
      </c>
      <c r="Q22" s="33">
        <f t="shared" si="7"/>
        <v>731.85000000000014</v>
      </c>
      <c r="R22" s="34">
        <f t="shared" si="8"/>
        <v>7040.9235294117625</v>
      </c>
      <c r="S22" s="34">
        <f t="shared" si="9"/>
        <v>782.0764705882375</v>
      </c>
      <c r="T22" s="34">
        <f t="shared" si="10"/>
        <v>9.9971426637893082</v>
      </c>
    </row>
    <row r="23" spans="1:27" x14ac:dyDescent="0.25">
      <c r="K23" s="23">
        <v>16</v>
      </c>
      <c r="L23" s="23">
        <f>Data!E17</f>
        <v>6652</v>
      </c>
      <c r="M23" s="35">
        <f t="shared" si="3"/>
        <v>6645.4093137254895</v>
      </c>
      <c r="N23" s="35">
        <f t="shared" si="4"/>
        <v>6.5906862745105173</v>
      </c>
      <c r="O23" s="35">
        <f t="shared" si="5"/>
        <v>6645.4093137254877</v>
      </c>
      <c r="P23" s="35">
        <f t="shared" si="6"/>
        <v>336.33578431372513</v>
      </c>
      <c r="Q23" s="41">
        <f t="shared" si="7"/>
        <v>-312.23578431372545</v>
      </c>
      <c r="R23" s="35">
        <f t="shared" si="8"/>
        <v>6333.1735294117625</v>
      </c>
      <c r="S23" s="35">
        <f t="shared" si="9"/>
        <v>318.8264705882375</v>
      </c>
      <c r="T23" s="35">
        <f t="shared" si="10"/>
        <v>4.7929415301899807</v>
      </c>
    </row>
    <row r="24" spans="1:27" x14ac:dyDescent="0.25">
      <c r="K24">
        <v>17</v>
      </c>
      <c r="L24">
        <f>Data!E18</f>
        <v>6235</v>
      </c>
      <c r="M24" s="34">
        <f t="shared" si="3"/>
        <v>6981.745098039215</v>
      </c>
      <c r="N24" s="34">
        <f t="shared" si="4"/>
        <v>-746.74509803921501</v>
      </c>
      <c r="O24" s="34">
        <f t="shared" si="5"/>
        <v>6981.7450980392132</v>
      </c>
      <c r="P24" s="34">
        <f t="shared" si="6"/>
        <v>336.33578431372513</v>
      </c>
      <c r="Q24" s="33">
        <f t="shared" si="7"/>
        <v>-736.80000000000018</v>
      </c>
      <c r="R24" s="34">
        <f t="shared" si="8"/>
        <v>6244.945098039213</v>
      </c>
      <c r="S24" s="34">
        <f t="shared" si="9"/>
        <v>-9.9450980392130077</v>
      </c>
      <c r="T24" s="34">
        <f t="shared" si="10"/>
        <v>0.15950437913733773</v>
      </c>
    </row>
    <row r="25" spans="1:27" x14ac:dyDescent="0.25">
      <c r="K25">
        <v>18</v>
      </c>
      <c r="M25" s="34"/>
      <c r="N25" s="34"/>
      <c r="O25" s="34"/>
      <c r="P25" s="34"/>
      <c r="Q25" s="33"/>
      <c r="R25" s="47">
        <f t="shared" si="8"/>
        <v>7635.2666666666646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7">
        <f>$O$24+($P$24*2)+Q22</f>
        <v>8386.2666666666628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7">
        <f>$O$24+($P$24*3)+Q23</f>
        <v>7678.5166666666637</v>
      </c>
      <c r="S27" s="34"/>
      <c r="T27" s="34"/>
    </row>
    <row r="29" spans="1:27" ht="15.75" x14ac:dyDescent="0.25">
      <c r="K29" s="37" t="s">
        <v>53</v>
      </c>
      <c r="L29" s="36">
        <f>V10</f>
        <v>12.748475519384451</v>
      </c>
      <c r="M29" s="34"/>
      <c r="N29" s="37" t="s">
        <v>54</v>
      </c>
      <c r="O29" s="36">
        <f>V10</f>
        <v>12.748475519384451</v>
      </c>
      <c r="P29" s="34"/>
      <c r="Q29" s="37" t="s">
        <v>55</v>
      </c>
      <c r="R29" s="36">
        <f>V10</f>
        <v>12.748475519384451</v>
      </c>
    </row>
    <row r="30" spans="1:27" x14ac:dyDescent="0.25">
      <c r="K30" s="39">
        <v>0</v>
      </c>
      <c r="L30" s="34">
        <f t="dataTable" ref="L30:L50" dt2D="0" dtr="0" r1="G4"/>
        <v>12.748475519384451</v>
      </c>
      <c r="M30" s="34"/>
      <c r="N30" s="39">
        <v>0</v>
      </c>
      <c r="O30" s="34">
        <f t="dataTable" ref="O30:O50" dt2D="0" dtr="0" r1="H4" ca="1"/>
        <v>12.748475519384467</v>
      </c>
      <c r="P30" s="34"/>
      <c r="Q30" s="39">
        <v>0</v>
      </c>
      <c r="R30" s="34">
        <f t="dataTable" ref="R30:R50" dt2D="0" dtr="0" r1="I4" ca="1"/>
        <v>12.748475519384451</v>
      </c>
    </row>
    <row r="31" spans="1:27" x14ac:dyDescent="0.25">
      <c r="K31" s="39">
        <v>0.05</v>
      </c>
      <c r="L31" s="34">
        <v>13.55073188910645</v>
      </c>
      <c r="M31" s="34"/>
      <c r="N31" s="39">
        <v>0.05</v>
      </c>
      <c r="O31" s="34">
        <v>12.748475519384451</v>
      </c>
      <c r="P31" s="34"/>
      <c r="Q31" s="39">
        <v>0.05</v>
      </c>
      <c r="R31" s="34">
        <v>13.219217134046492</v>
      </c>
    </row>
    <row r="32" spans="1:27" x14ac:dyDescent="0.25">
      <c r="K32" s="39">
        <v>0.1</v>
      </c>
      <c r="L32" s="34">
        <v>14.22821358578657</v>
      </c>
      <c r="M32" s="34"/>
      <c r="N32" s="39">
        <v>0.1</v>
      </c>
      <c r="O32" s="34">
        <v>12.748475519384467</v>
      </c>
      <c r="P32" s="34"/>
      <c r="Q32" s="39">
        <v>0.1</v>
      </c>
      <c r="R32" s="34">
        <v>13.650444362383904</v>
      </c>
    </row>
    <row r="33" spans="11:18" x14ac:dyDescent="0.25">
      <c r="K33" s="39">
        <v>0.15</v>
      </c>
      <c r="L33" s="34">
        <v>14.729928172500777</v>
      </c>
      <c r="M33" s="34"/>
      <c r="N33" s="39">
        <v>0.15</v>
      </c>
      <c r="O33" s="34">
        <v>12.748475519384467</v>
      </c>
      <c r="P33" s="34"/>
      <c r="Q33" s="39">
        <v>0.15</v>
      </c>
      <c r="R33" s="34">
        <v>14.064998823298579</v>
      </c>
    </row>
    <row r="34" spans="11:18" x14ac:dyDescent="0.25">
      <c r="K34" s="39">
        <v>0.2</v>
      </c>
      <c r="L34" s="34">
        <v>15.051942555022327</v>
      </c>
      <c r="M34" s="34"/>
      <c r="N34" s="39">
        <v>0.2</v>
      </c>
      <c r="O34" s="34">
        <v>12.748475519384467</v>
      </c>
      <c r="P34" s="34"/>
      <c r="Q34" s="39">
        <v>0.2</v>
      </c>
      <c r="R34" s="34">
        <v>14.47427231517732</v>
      </c>
    </row>
    <row r="35" spans="11:18" x14ac:dyDescent="0.25">
      <c r="K35" s="39">
        <v>0.25</v>
      </c>
      <c r="L35" s="34">
        <v>15.503864505390959</v>
      </c>
      <c r="M35" s="34"/>
      <c r="N35" s="39">
        <v>0.25</v>
      </c>
      <c r="O35" s="34">
        <v>12.748475519384467</v>
      </c>
      <c r="P35" s="34"/>
      <c r="Q35" s="39">
        <v>0.25</v>
      </c>
      <c r="R35" s="34">
        <v>14.864569553359228</v>
      </c>
    </row>
    <row r="36" spans="11:18" x14ac:dyDescent="0.25">
      <c r="K36" s="39">
        <v>0.3</v>
      </c>
      <c r="L36" s="34">
        <v>15.801593464707018</v>
      </c>
      <c r="M36" s="34"/>
      <c r="N36" s="39">
        <v>0.3</v>
      </c>
      <c r="O36" s="34">
        <v>12.748475519384467</v>
      </c>
      <c r="P36" s="34"/>
      <c r="Q36" s="39">
        <v>0.3</v>
      </c>
      <c r="R36" s="34">
        <v>15.235515750358154</v>
      </c>
    </row>
    <row r="37" spans="11:18" x14ac:dyDescent="0.25">
      <c r="K37" s="39">
        <v>0.35</v>
      </c>
      <c r="L37" s="34">
        <v>15.958787919553735</v>
      </c>
      <c r="M37" s="34"/>
      <c r="N37" s="39">
        <v>0.35</v>
      </c>
      <c r="O37" s="34">
        <v>12.748475519384467</v>
      </c>
      <c r="P37" s="34"/>
      <c r="Q37" s="39">
        <v>0.35</v>
      </c>
      <c r="R37" s="34">
        <v>15.586912225219047</v>
      </c>
    </row>
    <row r="38" spans="11:18" x14ac:dyDescent="0.25">
      <c r="K38" s="39">
        <v>0.4</v>
      </c>
      <c r="L38" s="34">
        <v>16.036439464111066</v>
      </c>
      <c r="M38" s="34"/>
      <c r="N38" s="39">
        <v>0.4</v>
      </c>
      <c r="O38" s="34">
        <v>12.748475519384467</v>
      </c>
      <c r="P38" s="34"/>
      <c r="Q38" s="39">
        <v>0.4</v>
      </c>
      <c r="R38" s="34">
        <v>15.918736403517967</v>
      </c>
    </row>
    <row r="39" spans="11:18" x14ac:dyDescent="0.25">
      <c r="K39" s="39">
        <v>0.45</v>
      </c>
      <c r="L39" s="34">
        <v>16.0513751924179</v>
      </c>
      <c r="M39" s="34"/>
      <c r="N39" s="39">
        <v>0.45</v>
      </c>
      <c r="O39" s="34">
        <v>12.748475519384467</v>
      </c>
      <c r="P39" s="34"/>
      <c r="Q39" s="39">
        <v>0.45</v>
      </c>
      <c r="R39" s="34">
        <v>16.23114181736209</v>
      </c>
    </row>
    <row r="40" spans="11:18" x14ac:dyDescent="0.25">
      <c r="K40" s="39">
        <v>0.5</v>
      </c>
      <c r="L40" s="34">
        <v>15.978998382116501</v>
      </c>
      <c r="M40" s="34"/>
      <c r="N40" s="39">
        <v>0.5</v>
      </c>
      <c r="O40" s="34">
        <v>12.748475519384467</v>
      </c>
      <c r="P40" s="34"/>
      <c r="Q40" s="39">
        <v>0.5</v>
      </c>
      <c r="R40" s="34">
        <v>16.524458105389687</v>
      </c>
    </row>
    <row r="41" spans="11:18" x14ac:dyDescent="0.25">
      <c r="K41" s="39">
        <v>0.55000000000000004</v>
      </c>
      <c r="L41" s="34">
        <v>15.921205351801621</v>
      </c>
      <c r="M41" s="34"/>
      <c r="N41" s="39">
        <v>0.55000000000000004</v>
      </c>
      <c r="O41" s="34">
        <v>12.748475519384467</v>
      </c>
      <c r="P41" s="34"/>
      <c r="Q41" s="39">
        <v>0.55000000000000004</v>
      </c>
      <c r="R41" s="34">
        <v>16.799191012770141</v>
      </c>
    </row>
    <row r="42" spans="11:18" x14ac:dyDescent="0.25">
      <c r="K42" s="39">
        <v>0.6</v>
      </c>
      <c r="L42" s="34">
        <v>15.839622932802987</v>
      </c>
      <c r="M42" s="34"/>
      <c r="N42" s="39">
        <v>0.6</v>
      </c>
      <c r="O42" s="34">
        <v>12.748475519384467</v>
      </c>
      <c r="P42" s="34"/>
      <c r="Q42" s="39">
        <v>0.6</v>
      </c>
      <c r="R42" s="34">
        <v>17.056022391203943</v>
      </c>
    </row>
    <row r="43" spans="11:18" x14ac:dyDescent="0.25">
      <c r="K43" s="39">
        <v>0.65</v>
      </c>
      <c r="L43" s="34">
        <v>15.84632016859155</v>
      </c>
      <c r="M43" s="34"/>
      <c r="N43" s="39">
        <v>0.65</v>
      </c>
      <c r="O43" s="34">
        <v>12.748475519384467</v>
      </c>
      <c r="P43" s="34"/>
      <c r="Q43" s="39">
        <v>0.65</v>
      </c>
      <c r="R43" s="34">
        <v>17.295810198922691</v>
      </c>
    </row>
    <row r="44" spans="11:18" x14ac:dyDescent="0.25">
      <c r="K44" s="39">
        <v>0.7</v>
      </c>
      <c r="L44" s="34">
        <v>15.848337589407883</v>
      </c>
      <c r="M44" s="34"/>
      <c r="N44" s="39">
        <v>0.7</v>
      </c>
      <c r="O44" s="34">
        <v>12.748475519384467</v>
      </c>
      <c r="P44" s="34"/>
      <c r="Q44" s="39">
        <v>0.7</v>
      </c>
      <c r="R44" s="34">
        <v>17.602705823129838</v>
      </c>
    </row>
    <row r="45" spans="11:18" x14ac:dyDescent="0.25">
      <c r="K45" s="39">
        <v>0.75</v>
      </c>
      <c r="L45" s="34">
        <v>15.809223502135008</v>
      </c>
      <c r="M45" s="34"/>
      <c r="N45" s="39">
        <v>0.75</v>
      </c>
      <c r="O45" s="34">
        <v>12.748475519384467</v>
      </c>
      <c r="P45" s="34"/>
      <c r="Q45" s="39">
        <v>0.75</v>
      </c>
      <c r="R45" s="34">
        <v>17.974404679958635</v>
      </c>
    </row>
    <row r="46" spans="11:18" x14ac:dyDescent="0.25">
      <c r="K46" s="39">
        <v>0.8</v>
      </c>
      <c r="L46" s="34">
        <v>15.738509761275349</v>
      </c>
      <c r="M46" s="34"/>
      <c r="N46" s="39">
        <v>0.8</v>
      </c>
      <c r="O46" s="34">
        <v>12.748475519384467</v>
      </c>
      <c r="P46" s="34"/>
      <c r="Q46" s="39">
        <v>0.8</v>
      </c>
      <c r="R46" s="34">
        <v>18.368380830592574</v>
      </c>
    </row>
    <row r="47" spans="11:18" x14ac:dyDescent="0.25">
      <c r="K47" s="39">
        <v>0.85</v>
      </c>
      <c r="L47" s="34">
        <v>15.644225268345949</v>
      </c>
      <c r="M47" s="34"/>
      <c r="N47" s="39">
        <v>0.85</v>
      </c>
      <c r="O47" s="34">
        <v>12.748475519384467</v>
      </c>
      <c r="P47" s="34"/>
      <c r="Q47" s="39">
        <v>0.85</v>
      </c>
      <c r="R47" s="34">
        <v>18.870491107918962</v>
      </c>
    </row>
    <row r="48" spans="11:18" x14ac:dyDescent="0.25">
      <c r="K48" s="39">
        <v>0.9</v>
      </c>
      <c r="L48" s="34">
        <v>15.53294639811304</v>
      </c>
      <c r="M48" s="34"/>
      <c r="N48" s="39">
        <v>0.9</v>
      </c>
      <c r="O48" s="34">
        <v>12.748475519384467</v>
      </c>
      <c r="P48" s="34"/>
      <c r="Q48" s="39">
        <v>0.9</v>
      </c>
      <c r="R48" s="34">
        <v>19.394046457862284</v>
      </c>
    </row>
    <row r="49" spans="11:18" x14ac:dyDescent="0.25">
      <c r="K49" s="39">
        <v>0.95</v>
      </c>
      <c r="L49" s="34">
        <v>15.409923843669777</v>
      </c>
      <c r="M49" s="34"/>
      <c r="N49" s="39">
        <v>0.95</v>
      </c>
      <c r="O49" s="34">
        <v>12.748475519384467</v>
      </c>
      <c r="P49" s="34"/>
      <c r="Q49" s="39">
        <v>0.95</v>
      </c>
      <c r="R49" s="34">
        <v>19.941309933311938</v>
      </c>
    </row>
    <row r="50" spans="11:18" x14ac:dyDescent="0.25">
      <c r="K50" s="39">
        <v>1</v>
      </c>
      <c r="L50" s="34">
        <v>15.398607350928611</v>
      </c>
      <c r="M50" s="34"/>
      <c r="N50" s="39">
        <v>1</v>
      </c>
      <c r="O50" s="34">
        <v>12.748475519384467</v>
      </c>
      <c r="P50" s="34"/>
      <c r="Q50" s="39">
        <v>1</v>
      </c>
      <c r="R50" s="34">
        <v>20.514720693688389</v>
      </c>
    </row>
  </sheetData>
  <mergeCells count="1">
    <mergeCell ref="Z3:AA3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0.59999389629810485"/>
  </sheetPr>
  <dimension ref="A1:AA50"/>
  <sheetViews>
    <sheetView zoomScale="70" zoomScaleNormal="70" workbookViewId="0">
      <selection activeCell="AE4" sqref="AE4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9" width="15.7109375" bestFit="1" customWidth="1"/>
    <col min="11" max="11" width="12.140625" bestFit="1" customWidth="1"/>
    <col min="12" max="12" width="7.42578125" bestFit="1" customWidth="1"/>
    <col min="13" max="13" width="10.57031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5703125" bestFit="1" customWidth="1"/>
    <col min="19" max="19" width="10.7109375" bestFit="1" customWidth="1"/>
    <col min="20" max="20" width="6.85546875" customWidth="1"/>
    <col min="22" max="22" width="11.5703125" bestFit="1" customWidth="1"/>
    <col min="23" max="23" width="9.7109375" bestFit="1" customWidth="1"/>
    <col min="24" max="24" width="11.140625" bestFit="1" customWidth="1"/>
    <col min="26" max="26" width="3.42578125" bestFit="1" customWidth="1"/>
    <col min="27" max="27" width="11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0.66231897355754388</v>
      </c>
      <c r="G4" s="46">
        <v>0.28797433333928751</v>
      </c>
      <c r="H4" s="46">
        <v>0.99998576589385824</v>
      </c>
      <c r="I4" s="46">
        <v>0.47495725352273949</v>
      </c>
      <c r="K4">
        <v>-3</v>
      </c>
      <c r="Q4" s="31">
        <f>AA6</f>
        <v>-2816.2749999999996</v>
      </c>
      <c r="V4" s="40">
        <f>AVERAGE(N8,N12,N16,N20,N24)</f>
        <v>-2650.6117647058827</v>
      </c>
      <c r="W4" s="40">
        <f>AVERAGE(V4:V7)</f>
        <v>165.66323529411693</v>
      </c>
      <c r="X4" s="40">
        <f>V4-$W$4</f>
        <v>-2816.2749999999996</v>
      </c>
      <c r="Z4" s="24" t="s">
        <v>40</v>
      </c>
      <c r="AA4" s="28">
        <f>B17</f>
        <v>8355.5735294117694</v>
      </c>
    </row>
    <row r="5" spans="1:27" ht="18.75" x14ac:dyDescent="0.35">
      <c r="A5" s="17" t="s">
        <v>12</v>
      </c>
      <c r="B5" s="17">
        <v>0.43866642273431855</v>
      </c>
      <c r="K5">
        <v>-2</v>
      </c>
      <c r="Q5" s="31">
        <f t="shared" ref="Q5:Q7" si="0">AA7</f>
        <v>61.934803921568346</v>
      </c>
      <c r="V5" s="40">
        <f>AVERAGE(N9,N13,N17,N21)</f>
        <v>227.59803921568528</v>
      </c>
      <c r="W5" s="40"/>
      <c r="X5" s="40">
        <f t="shared" ref="X5:X7" si="1">V5-$W$4</f>
        <v>61.934803921568346</v>
      </c>
      <c r="Z5" s="25" t="s">
        <v>41</v>
      </c>
      <c r="AA5" s="29">
        <f>B18</f>
        <v>825.75980392156816</v>
      </c>
    </row>
    <row r="6" spans="1:27" ht="18.75" x14ac:dyDescent="0.35">
      <c r="A6" s="17" t="s">
        <v>13</v>
      </c>
      <c r="B6" s="17">
        <v>0.40124418424993979</v>
      </c>
      <c r="K6">
        <v>-1</v>
      </c>
      <c r="Q6" s="31">
        <f t="shared" si="0"/>
        <v>5795.4249999999993</v>
      </c>
      <c r="V6" s="40">
        <f>AVERAGE(N10,N14,N18,N22)</f>
        <v>5961.0882352941162</v>
      </c>
      <c r="W6" s="40"/>
      <c r="X6" s="40">
        <f t="shared" si="1"/>
        <v>5795.4249999999993</v>
      </c>
      <c r="Z6" s="26" t="s">
        <v>42</v>
      </c>
      <c r="AA6" s="30">
        <f>X4</f>
        <v>-2816.2749999999996</v>
      </c>
    </row>
    <row r="7" spans="1:27" ht="18.75" x14ac:dyDescent="0.35">
      <c r="A7" s="17" t="s">
        <v>14</v>
      </c>
      <c r="B7" s="17">
        <v>4871.710860183387</v>
      </c>
      <c r="K7">
        <v>0</v>
      </c>
      <c r="O7" s="31">
        <f>AA4</f>
        <v>8355.5735294117694</v>
      </c>
      <c r="P7" s="31">
        <f>AA5</f>
        <v>825.75980392156816</v>
      </c>
      <c r="Q7" s="31">
        <f t="shared" si="0"/>
        <v>-3041.084803921568</v>
      </c>
      <c r="V7" s="40">
        <f>AVERAGE(N11,N15,N19,N23)</f>
        <v>-2875.4215686274511</v>
      </c>
      <c r="W7" s="40"/>
      <c r="X7" s="40">
        <f t="shared" si="1"/>
        <v>-3041.084803921568</v>
      </c>
      <c r="Z7" s="26" t="s">
        <v>43</v>
      </c>
      <c r="AA7" s="30">
        <f t="shared" ref="AA7:AA9" si="2">X5</f>
        <v>61.934803921568346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Data!F2</f>
        <v>6716</v>
      </c>
      <c r="M8" s="34">
        <f>$B$17+$B$18*K8</f>
        <v>9181.3333333333376</v>
      </c>
      <c r="N8" s="34">
        <f>L8-M8</f>
        <v>-2465.3333333333376</v>
      </c>
      <c r="O8" s="34">
        <f>$G$4*(L8-Q4)+((1-$G$4)*(O7+P7))</f>
        <v>9282.3955258326496</v>
      </c>
      <c r="P8" s="34">
        <f>$H$4*(O8-O7)+((1-$H$4)*P7)</f>
        <v>926.82055789090521</v>
      </c>
      <c r="Q8" s="33">
        <f>$I$4*(L8-O8)+((1-$I$4)*Q4)</f>
        <v>-2697.5929312377684</v>
      </c>
      <c r="R8" s="34">
        <f>SUM(O7,P7,Q4)</f>
        <v>6365.0583333333379</v>
      </c>
      <c r="S8" s="34">
        <f>L8-R8</f>
        <v>350.94166666666206</v>
      </c>
      <c r="T8" s="34">
        <f>ABS(S8/L8)*100</f>
        <v>5.2254566210044979</v>
      </c>
      <c r="Z8" s="26" t="s">
        <v>44</v>
      </c>
      <c r="AA8" s="30">
        <f t="shared" si="2"/>
        <v>5795.4249999999993</v>
      </c>
    </row>
    <row r="9" spans="1:27" ht="18.75" x14ac:dyDescent="0.35">
      <c r="K9">
        <v>2</v>
      </c>
      <c r="L9">
        <f>Data!F3</f>
        <v>11510</v>
      </c>
      <c r="M9" s="34">
        <f t="shared" ref="M9:M24" si="3">$B$17+$B$18*K9</f>
        <v>10007.093137254906</v>
      </c>
      <c r="N9" s="34">
        <f t="shared" ref="N9:N24" si="4">L9-M9</f>
        <v>1502.9068627450943</v>
      </c>
      <c r="O9" s="34">
        <f t="shared" ref="O9:O24" si="5">$G$4*(L9-Q5)+((1-$G$4)*(O8+P8))</f>
        <v>10565.972830961919</v>
      </c>
      <c r="P9" s="34">
        <f t="shared" ref="P9:P24" si="6">$H$4*(O9-O8)+((1-$H$4)*P8)</f>
        <v>1283.5722270158619</v>
      </c>
      <c r="Q9" s="33">
        <f t="shared" ref="Q9:Q24" si="7">$I$4*(L9-O9)+((1-$I$4)*Q5)</f>
        <v>480.89097101068495</v>
      </c>
      <c r="R9" s="34">
        <f t="shared" ref="R9:R25" si="8">SUM(O8,P8,Q5)</f>
        <v>10271.150887645123</v>
      </c>
      <c r="S9" s="34">
        <f t="shared" ref="S9:S24" si="9">L9-R9</f>
        <v>1238.8491123548774</v>
      </c>
      <c r="T9" s="34">
        <f t="shared" ref="T9:T24" si="10">ABS(S9/L9)*100</f>
        <v>10.763241636445503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-3041.084803921568</v>
      </c>
    </row>
    <row r="10" spans="1:27" ht="16.5" thickBot="1" x14ac:dyDescent="0.3">
      <c r="A10" t="s">
        <v>16</v>
      </c>
      <c r="K10">
        <v>3</v>
      </c>
      <c r="L10">
        <f>Data!F4</f>
        <v>18438</v>
      </c>
      <c r="M10" s="34">
        <f t="shared" si="3"/>
        <v>10832.852941176474</v>
      </c>
      <c r="N10" s="34">
        <f t="shared" si="4"/>
        <v>7605.1470588235261</v>
      </c>
      <c r="O10" s="34">
        <f t="shared" si="5"/>
        <v>12077.917326849725</v>
      </c>
      <c r="P10" s="34">
        <f t="shared" si="6"/>
        <v>1511.9412452126915</v>
      </c>
      <c r="Q10" s="33">
        <f t="shared" si="7"/>
        <v>6063.6132576199943</v>
      </c>
      <c r="R10" s="34">
        <f t="shared" si="8"/>
        <v>17644.970057977778</v>
      </c>
      <c r="S10" s="34">
        <f t="shared" si="9"/>
        <v>793.0299420222218</v>
      </c>
      <c r="T10" s="34">
        <f t="shared" si="10"/>
        <v>4.3010627075725232</v>
      </c>
      <c r="V10" s="34">
        <f>AVERAGE(T8:T24)</f>
        <v>11.524302464165206</v>
      </c>
      <c r="W10" s="34">
        <f>SUMPRODUCT(ABS(S8:S24))/17</f>
        <v>1992.3164875177386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Data!F5</f>
        <v>10456</v>
      </c>
      <c r="M11" s="35">
        <f t="shared" si="3"/>
        <v>11658.612745098042</v>
      </c>
      <c r="N11" s="35">
        <f t="shared" si="4"/>
        <v>-1202.6127450980421</v>
      </c>
      <c r="O11" s="35">
        <f t="shared" si="5"/>
        <v>13563.142108030681</v>
      </c>
      <c r="P11" s="35">
        <f t="shared" si="6"/>
        <v>1485.2251614659406</v>
      </c>
      <c r="Q11" s="41">
        <f t="shared" si="7"/>
        <v>-3072.4591996563486</v>
      </c>
      <c r="R11" s="35">
        <f t="shared" si="8"/>
        <v>10548.773768140847</v>
      </c>
      <c r="S11" s="35">
        <f t="shared" si="9"/>
        <v>-92.773768140847096</v>
      </c>
      <c r="T11" s="35">
        <f t="shared" si="10"/>
        <v>0.88727781312975418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278206735.5392158</v>
      </c>
      <c r="D12" s="17">
        <v>278206735.5392158</v>
      </c>
      <c r="E12" s="17">
        <v>11.72207864896783</v>
      </c>
      <c r="F12" s="17">
        <v>3.7695088411420111E-3</v>
      </c>
      <c r="K12">
        <v>5</v>
      </c>
      <c r="L12">
        <f>Data!F6</f>
        <v>9464</v>
      </c>
      <c r="M12" s="34">
        <f t="shared" si="3"/>
        <v>12484.37254901961</v>
      </c>
      <c r="N12" s="34">
        <f t="shared" si="4"/>
        <v>-3020.3725490196102</v>
      </c>
      <c r="O12" s="34">
        <f t="shared" si="5"/>
        <v>14217.050353935565</v>
      </c>
      <c r="P12" s="34">
        <f t="shared" si="6"/>
        <v>653.92007895809763</v>
      </c>
      <c r="Q12" s="33">
        <f t="shared" si="7"/>
        <v>-3673.8473434552425</v>
      </c>
      <c r="R12" s="34">
        <f t="shared" si="8"/>
        <v>12350.774338258852</v>
      </c>
      <c r="S12" s="34">
        <f t="shared" si="9"/>
        <v>-2886.7743382588524</v>
      </c>
      <c r="T12" s="34">
        <f t="shared" si="10"/>
        <v>30.502687428770631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356003500.57843137</v>
      </c>
      <c r="D13" s="17">
        <v>23733566.705228757</v>
      </c>
      <c r="E13" s="17"/>
      <c r="F13" s="17"/>
      <c r="K13">
        <v>6</v>
      </c>
      <c r="L13">
        <f>Data!F7</f>
        <v>12942</v>
      </c>
      <c r="M13" s="34">
        <f t="shared" si="3"/>
        <v>13310.132352941178</v>
      </c>
      <c r="N13" s="34">
        <f t="shared" si="4"/>
        <v>-368.1323529411784</v>
      </c>
      <c r="O13" s="34">
        <f t="shared" si="5"/>
        <v>14176.992201664229</v>
      </c>
      <c r="P13" s="34">
        <f t="shared" si="6"/>
        <v>-40.048274111533047</v>
      </c>
      <c r="Q13" s="33">
        <f t="shared" si="7"/>
        <v>-334.08018804887661</v>
      </c>
      <c r="R13" s="34">
        <f t="shared" si="8"/>
        <v>15351.861403904348</v>
      </c>
      <c r="S13" s="34">
        <f t="shared" si="9"/>
        <v>-2409.8614039043478</v>
      </c>
      <c r="T13" s="34">
        <f t="shared" si="10"/>
        <v>18.620471363810445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634210236.11764717</v>
      </c>
      <c r="D14" s="18"/>
      <c r="E14" s="18"/>
      <c r="F14" s="18"/>
      <c r="K14">
        <v>7</v>
      </c>
      <c r="L14">
        <f>Data!F8</f>
        <v>21640</v>
      </c>
      <c r="M14" s="34">
        <f t="shared" si="3"/>
        <v>14135.892156862747</v>
      </c>
      <c r="N14" s="34">
        <f t="shared" si="4"/>
        <v>7504.1078431372534</v>
      </c>
      <c r="O14" s="34">
        <f t="shared" si="5"/>
        <v>14551.466512532617</v>
      </c>
      <c r="P14" s="34">
        <f t="shared" si="6"/>
        <v>374.468410509916</v>
      </c>
      <c r="Q14" s="33">
        <f t="shared" si="7"/>
        <v>6550.4065550682044</v>
      </c>
      <c r="R14" s="34">
        <f t="shared" si="8"/>
        <v>20200.557185172689</v>
      </c>
      <c r="S14" s="34">
        <f t="shared" si="9"/>
        <v>1439.4428148273109</v>
      </c>
      <c r="T14" s="34">
        <f t="shared" si="10"/>
        <v>6.6517690149136364</v>
      </c>
      <c r="AA14" s="27"/>
    </row>
    <row r="15" spans="1:27" ht="16.5" thickBot="1" x14ac:dyDescent="0.3">
      <c r="K15" s="23">
        <v>8</v>
      </c>
      <c r="L15" s="23">
        <f>Data!F9</f>
        <v>11650</v>
      </c>
      <c r="M15" s="35">
        <f t="shared" si="3"/>
        <v>14961.651960784315</v>
      </c>
      <c r="N15" s="35">
        <f t="shared" si="4"/>
        <v>-3311.6519607843147</v>
      </c>
      <c r="O15" s="35">
        <f t="shared" si="5"/>
        <v>14867.33913724967</v>
      </c>
      <c r="P15" s="35">
        <f t="shared" si="6"/>
        <v>315.87345877568691</v>
      </c>
      <c r="Q15" s="41">
        <f t="shared" si="7"/>
        <v>-3141.2709769062185</v>
      </c>
      <c r="R15" s="35">
        <f t="shared" si="8"/>
        <v>11853.475723386186</v>
      </c>
      <c r="S15" s="35">
        <f t="shared" si="9"/>
        <v>-203.47572338618556</v>
      </c>
      <c r="T15" s="35">
        <f t="shared" si="10"/>
        <v>1.7465727329286314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Data!F10</f>
        <v>11270</v>
      </c>
      <c r="M16" s="34">
        <f t="shared" si="3"/>
        <v>15787.411764705883</v>
      </c>
      <c r="N16" s="34">
        <f t="shared" si="4"/>
        <v>-4517.4117647058829</v>
      </c>
      <c r="O16" s="34">
        <f t="shared" si="5"/>
        <v>15114.28154699189</v>
      </c>
      <c r="P16" s="34">
        <f t="shared" si="6"/>
        <v>246.94339091408816</v>
      </c>
      <c r="Q16" s="33">
        <f t="shared" si="7"/>
        <v>-3754.7963046733439</v>
      </c>
      <c r="R16" s="34">
        <f t="shared" si="8"/>
        <v>11509.365252570115</v>
      </c>
      <c r="S16" s="34">
        <f t="shared" si="9"/>
        <v>-239.36525257011454</v>
      </c>
      <c r="T16" s="34">
        <f t="shared" si="10"/>
        <v>2.123915284561797</v>
      </c>
      <c r="AA16" s="27"/>
    </row>
    <row r="17" spans="1:27" ht="15.75" x14ac:dyDescent="0.25">
      <c r="A17" s="17" t="s">
        <v>19</v>
      </c>
      <c r="B17" s="21">
        <v>8355.5735294117694</v>
      </c>
      <c r="C17" s="17">
        <v>2471.4172444568267</v>
      </c>
      <c r="D17" s="17">
        <v>3.3808833972299062</v>
      </c>
      <c r="E17" s="17">
        <v>4.116108765560518E-3</v>
      </c>
      <c r="F17" s="17">
        <v>3087.8723668256771</v>
      </c>
      <c r="G17" s="17">
        <v>13623.274691997862</v>
      </c>
      <c r="H17" s="17">
        <v>3087.8723668256771</v>
      </c>
      <c r="I17" s="17">
        <v>13623.274691997862</v>
      </c>
      <c r="K17">
        <v>10</v>
      </c>
      <c r="L17">
        <f>Data!F11</f>
        <v>15322</v>
      </c>
      <c r="M17" s="34">
        <f t="shared" si="3"/>
        <v>16613.171568627451</v>
      </c>
      <c r="N17" s="34">
        <f t="shared" si="4"/>
        <v>-1291.1715686274511</v>
      </c>
      <c r="O17" s="34">
        <f t="shared" si="5"/>
        <v>15446.135681997468</v>
      </c>
      <c r="P17" s="34">
        <f t="shared" si="6"/>
        <v>331.85292637703446</v>
      </c>
      <c r="Q17" s="33">
        <f t="shared" si="7"/>
        <v>-234.36552206251145</v>
      </c>
      <c r="R17" s="34">
        <f t="shared" si="8"/>
        <v>15027.144749857101</v>
      </c>
      <c r="S17" s="34">
        <f t="shared" si="9"/>
        <v>294.85525014289851</v>
      </c>
      <c r="T17" s="34">
        <f t="shared" si="10"/>
        <v>1.9243913989224548</v>
      </c>
      <c r="AA17" s="27"/>
    </row>
    <row r="18" spans="1:27" ht="15.75" thickBot="1" x14ac:dyDescent="0.3">
      <c r="A18" s="18" t="s">
        <v>32</v>
      </c>
      <c r="B18" s="22">
        <v>825.75980392156816</v>
      </c>
      <c r="C18" s="18">
        <v>241.185626915168</v>
      </c>
      <c r="D18" s="18">
        <v>3.4237521301881388</v>
      </c>
      <c r="E18" s="18">
        <v>3.7695088411420401E-3</v>
      </c>
      <c r="F18" s="18">
        <v>311.68480903768409</v>
      </c>
      <c r="G18" s="18">
        <v>1339.8347988054522</v>
      </c>
      <c r="H18" s="18">
        <v>311.68480903768409</v>
      </c>
      <c r="I18" s="18">
        <v>1339.8347988054522</v>
      </c>
      <c r="K18">
        <v>11</v>
      </c>
      <c r="L18">
        <f>Data!F12</f>
        <v>19424</v>
      </c>
      <c r="M18" s="34">
        <f t="shared" si="3"/>
        <v>17438.931372549021</v>
      </c>
      <c r="N18" s="34">
        <f t="shared" si="4"/>
        <v>1985.068627450979</v>
      </c>
      <c r="O18" s="34">
        <f t="shared" si="5"/>
        <v>14941.59734742824</v>
      </c>
      <c r="P18" s="34">
        <f t="shared" si="6"/>
        <v>-504.52642928724367</v>
      </c>
      <c r="Q18" s="33">
        <f t="shared" si="7"/>
        <v>5568.1931012641853</v>
      </c>
      <c r="R18" s="34">
        <f t="shared" si="8"/>
        <v>22328.395163442707</v>
      </c>
      <c r="S18" s="34">
        <f t="shared" si="9"/>
        <v>-2904.3951634427067</v>
      </c>
      <c r="T18" s="34">
        <f t="shared" si="10"/>
        <v>14.95261101442909</v>
      </c>
    </row>
    <row r="19" spans="1:27" x14ac:dyDescent="0.25">
      <c r="K19" s="23">
        <v>12</v>
      </c>
      <c r="L19" s="23">
        <f>Data!F13</f>
        <v>13310</v>
      </c>
      <c r="M19" s="35">
        <f t="shared" si="3"/>
        <v>18264.691176470587</v>
      </c>
      <c r="N19" s="35">
        <f t="shared" si="4"/>
        <v>-4954.6911764705874</v>
      </c>
      <c r="O19" s="35">
        <f t="shared" si="5"/>
        <v>15017.108837275866</v>
      </c>
      <c r="P19" s="35">
        <f t="shared" si="6"/>
        <v>75.503233526318652</v>
      </c>
      <c r="Q19" s="41">
        <f t="shared" si="7"/>
        <v>-2460.1052659610905</v>
      </c>
      <c r="R19" s="35">
        <f t="shared" si="8"/>
        <v>11295.799941234778</v>
      </c>
      <c r="S19" s="35">
        <f t="shared" si="9"/>
        <v>2014.2000587652219</v>
      </c>
      <c r="T19" s="35">
        <f t="shared" si="10"/>
        <v>15.13298316127139</v>
      </c>
    </row>
    <row r="20" spans="1:27" x14ac:dyDescent="0.25">
      <c r="K20">
        <v>13</v>
      </c>
      <c r="L20">
        <f>Data!F14</f>
        <v>10214</v>
      </c>
      <c r="M20" s="34">
        <f t="shared" si="3"/>
        <v>19090.450980392154</v>
      </c>
      <c r="N20" s="34">
        <f t="shared" si="4"/>
        <v>-8876.4509803921537</v>
      </c>
      <c r="O20" s="34">
        <f t="shared" si="5"/>
        <v>14768.981974755052</v>
      </c>
      <c r="P20" s="34">
        <f t="shared" si="6"/>
        <v>-248.12225593567624</v>
      </c>
      <c r="Q20" s="33">
        <f t="shared" si="7"/>
        <v>-4134.8502928436046</v>
      </c>
      <c r="R20" s="34">
        <f t="shared" si="8"/>
        <v>11337.815766128841</v>
      </c>
      <c r="S20" s="34">
        <f t="shared" si="9"/>
        <v>-1123.8157661288406</v>
      </c>
      <c r="T20" s="34">
        <f t="shared" si="10"/>
        <v>11.002699883775607</v>
      </c>
    </row>
    <row r="21" spans="1:27" x14ac:dyDescent="0.25">
      <c r="K21">
        <v>14</v>
      </c>
      <c r="L21">
        <f>Data!F15</f>
        <v>20983</v>
      </c>
      <c r="M21" s="34">
        <f t="shared" si="3"/>
        <v>19916.210784313724</v>
      </c>
      <c r="N21" s="34">
        <f t="shared" si="4"/>
        <v>1066.7892156862763</v>
      </c>
      <c r="O21" s="34">
        <f t="shared" si="5"/>
        <v>16449.28151321099</v>
      </c>
      <c r="P21" s="34">
        <f t="shared" si="6"/>
        <v>1680.2720890954306</v>
      </c>
      <c r="Q21" s="33">
        <f t="shared" si="7"/>
        <v>2030.2705633473008</v>
      </c>
      <c r="R21" s="34">
        <f t="shared" si="8"/>
        <v>14286.494196756865</v>
      </c>
      <c r="S21" s="34">
        <f t="shared" si="9"/>
        <v>6696.5058032431352</v>
      </c>
      <c r="T21" s="34">
        <f t="shared" si="10"/>
        <v>31.913957981428464</v>
      </c>
    </row>
    <row r="22" spans="1:27" x14ac:dyDescent="0.25">
      <c r="K22">
        <v>15</v>
      </c>
      <c r="L22">
        <f>Data!F16</f>
        <v>27492</v>
      </c>
      <c r="M22" s="34">
        <f t="shared" si="3"/>
        <v>20741.970588235294</v>
      </c>
      <c r="N22" s="34">
        <f t="shared" si="4"/>
        <v>6750.0294117647063</v>
      </c>
      <c r="O22" s="34">
        <f t="shared" si="5"/>
        <v>19222.20116586607</v>
      </c>
      <c r="P22" s="34">
        <f t="shared" si="6"/>
        <v>2772.9040997936854</v>
      </c>
      <c r="Q22" s="33">
        <f t="shared" si="7"/>
        <v>6851.3403402492868</v>
      </c>
      <c r="R22" s="34">
        <f t="shared" si="8"/>
        <v>23697.746703570607</v>
      </c>
      <c r="S22" s="34">
        <f t="shared" si="9"/>
        <v>3794.2532964293932</v>
      </c>
      <c r="T22" s="34">
        <f t="shared" si="10"/>
        <v>13.801299637819705</v>
      </c>
    </row>
    <row r="23" spans="1:27" x14ac:dyDescent="0.25">
      <c r="K23" s="23">
        <v>16</v>
      </c>
      <c r="L23" s="23">
        <f>Data!F17</f>
        <v>19535</v>
      </c>
      <c r="M23" s="35">
        <f t="shared" si="3"/>
        <v>21567.73039215686</v>
      </c>
      <c r="N23" s="35">
        <f t="shared" si="4"/>
        <v>-2032.73039215686</v>
      </c>
      <c r="O23" s="35">
        <f t="shared" si="5"/>
        <v>21995.105265746533</v>
      </c>
      <c r="P23" s="35">
        <f t="shared" si="6"/>
        <v>2772.9040998804617</v>
      </c>
      <c r="Q23" s="41">
        <f t="shared" si="7"/>
        <v>-2460.1052658591852</v>
      </c>
      <c r="R23" s="35">
        <f t="shared" si="8"/>
        <v>19534.999999698666</v>
      </c>
      <c r="S23" s="35">
        <f t="shared" si="9"/>
        <v>3.0133378459140658E-7</v>
      </c>
      <c r="T23" s="35">
        <f t="shared" si="10"/>
        <v>1.5425328108083264E-9</v>
      </c>
    </row>
    <row r="24" spans="1:27" x14ac:dyDescent="0.25">
      <c r="K24">
        <v>17</v>
      </c>
      <c r="L24">
        <f>Data!F18</f>
        <v>28020</v>
      </c>
      <c r="M24" s="34">
        <f t="shared" si="3"/>
        <v>22393.490196078426</v>
      </c>
      <c r="N24" s="34">
        <f t="shared" si="4"/>
        <v>5626.5098039215736</v>
      </c>
      <c r="O24" s="34">
        <f t="shared" si="5"/>
        <v>26895.229957125564</v>
      </c>
      <c r="P24" s="34">
        <f t="shared" si="6"/>
        <v>4900.0944122953442</v>
      </c>
      <c r="Q24" s="33">
        <f t="shared" si="7"/>
        <v>-1636.7554636186151</v>
      </c>
      <c r="R24" s="34">
        <f t="shared" si="8"/>
        <v>20633.15907278339</v>
      </c>
      <c r="S24" s="34">
        <f t="shared" si="9"/>
        <v>7386.84092721661</v>
      </c>
      <c r="T24" s="34">
        <f t="shared" si="10"/>
        <v>26.362744208481836</v>
      </c>
    </row>
    <row r="25" spans="1:27" x14ac:dyDescent="0.25">
      <c r="K25">
        <v>18</v>
      </c>
      <c r="M25" s="34"/>
      <c r="N25" s="34"/>
      <c r="O25" s="34"/>
      <c r="P25" s="34"/>
      <c r="Q25" s="33"/>
      <c r="R25" s="48">
        <f t="shared" si="8"/>
        <v>33825.59493276821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8">
        <f>$O$24+($P$24*2)+Q22</f>
        <v>43546.759121965537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8">
        <f>$O$24+($P$24*3)+Q23</f>
        <v>39135.40792815241</v>
      </c>
      <c r="S27" s="34"/>
      <c r="T27" s="34"/>
    </row>
    <row r="29" spans="1:27" ht="15.75" x14ac:dyDescent="0.25">
      <c r="K29" s="37" t="s">
        <v>53</v>
      </c>
      <c r="L29" s="36">
        <f>V10</f>
        <v>11.524302464165206</v>
      </c>
      <c r="M29" s="34"/>
      <c r="N29" s="37" t="s">
        <v>54</v>
      </c>
      <c r="O29" s="36">
        <f>V10</f>
        <v>11.524302464165206</v>
      </c>
      <c r="P29" s="34"/>
      <c r="Q29" s="37" t="s">
        <v>55</v>
      </c>
      <c r="R29" s="36">
        <f>V10</f>
        <v>11.524302464165206</v>
      </c>
    </row>
    <row r="30" spans="1:27" x14ac:dyDescent="0.25">
      <c r="K30" s="39">
        <v>0</v>
      </c>
      <c r="L30" s="34">
        <f t="dataTable" ref="L30:L50" dt2D="0" dtr="0" r1="G4"/>
        <v>15.092749824060578</v>
      </c>
      <c r="M30" s="34"/>
      <c r="N30" s="39">
        <v>0</v>
      </c>
      <c r="O30" s="34">
        <f t="dataTable" ref="O30:O50" dt2D="0" dtr="0" r1="H4" ca="1"/>
        <v>13.51936051796365</v>
      </c>
      <c r="P30" s="34"/>
      <c r="Q30" s="39">
        <v>0</v>
      </c>
      <c r="R30" s="34">
        <f t="dataTable" ref="R30:R50" dt2D="0" dtr="0" r1="I4" ca="1"/>
        <v>12.303884187698305</v>
      </c>
    </row>
    <row r="31" spans="1:27" x14ac:dyDescent="0.25">
      <c r="K31" s="39">
        <v>0.05</v>
      </c>
      <c r="L31" s="34">
        <v>17.109128253422703</v>
      </c>
      <c r="M31" s="34"/>
      <c r="N31" s="39">
        <v>0.05</v>
      </c>
      <c r="O31" s="34">
        <v>13.65299294334228</v>
      </c>
      <c r="P31" s="34"/>
      <c r="Q31" s="39">
        <v>0.05</v>
      </c>
      <c r="R31" s="34">
        <v>12.210436644822771</v>
      </c>
    </row>
    <row r="32" spans="1:27" x14ac:dyDescent="0.25">
      <c r="K32" s="39">
        <v>0.1</v>
      </c>
      <c r="L32" s="34">
        <v>15.99625221472467</v>
      </c>
      <c r="M32" s="34"/>
      <c r="N32" s="39">
        <v>0.1</v>
      </c>
      <c r="O32" s="34">
        <v>13.804107780403498</v>
      </c>
      <c r="P32" s="34"/>
      <c r="Q32" s="39">
        <v>0.1</v>
      </c>
      <c r="R32" s="34">
        <v>12.118871579475964</v>
      </c>
    </row>
    <row r="33" spans="11:18" x14ac:dyDescent="0.25">
      <c r="K33" s="39">
        <v>0.15</v>
      </c>
      <c r="L33" s="34">
        <v>14.506486277314339</v>
      </c>
      <c r="M33" s="34"/>
      <c r="N33" s="39">
        <v>0.15</v>
      </c>
      <c r="O33" s="34">
        <v>13.93044376726964</v>
      </c>
      <c r="P33" s="34"/>
      <c r="Q33" s="39">
        <v>0.15</v>
      </c>
      <c r="R33" s="34">
        <v>12.029502486945336</v>
      </c>
    </row>
    <row r="34" spans="11:18" x14ac:dyDescent="0.25">
      <c r="K34" s="39">
        <v>0.2</v>
      </c>
      <c r="L34" s="34">
        <v>13.066227780762709</v>
      </c>
      <c r="M34" s="34"/>
      <c r="N34" s="39">
        <v>0.2</v>
      </c>
      <c r="O34" s="34">
        <v>13.997280400417528</v>
      </c>
      <c r="P34" s="34"/>
      <c r="Q34" s="39">
        <v>0.2</v>
      </c>
      <c r="R34" s="34">
        <v>11.94264570299835</v>
      </c>
    </row>
    <row r="35" spans="11:18" x14ac:dyDescent="0.25">
      <c r="K35" s="39">
        <v>0.25</v>
      </c>
      <c r="L35" s="34">
        <v>12.050239452873431</v>
      </c>
      <c r="M35" s="34"/>
      <c r="N35" s="39">
        <v>0.25</v>
      </c>
      <c r="O35" s="34">
        <v>14.006878892987652</v>
      </c>
      <c r="P35" s="34"/>
      <c r="Q35" s="39">
        <v>0.25</v>
      </c>
      <c r="R35" s="34">
        <v>11.858620403882465</v>
      </c>
    </row>
    <row r="36" spans="11:18" x14ac:dyDescent="0.25">
      <c r="K36" s="39">
        <v>0.3</v>
      </c>
      <c r="L36" s="34">
        <v>11.541289852621921</v>
      </c>
      <c r="M36" s="34"/>
      <c r="N36" s="39">
        <v>0.3</v>
      </c>
      <c r="O36" s="34">
        <v>13.963674478473811</v>
      </c>
      <c r="P36" s="34"/>
      <c r="Q36" s="39">
        <v>0.3</v>
      </c>
      <c r="R36" s="34">
        <v>11.77774860632516</v>
      </c>
    </row>
    <row r="37" spans="11:18" x14ac:dyDescent="0.25">
      <c r="K37" s="39">
        <v>0.35</v>
      </c>
      <c r="L37" s="34">
        <v>11.732696563333878</v>
      </c>
      <c r="M37" s="34"/>
      <c r="N37" s="39">
        <v>0.35</v>
      </c>
      <c r="O37" s="34">
        <v>13.873517127668398</v>
      </c>
      <c r="P37" s="34"/>
      <c r="Q37" s="39">
        <v>0.35</v>
      </c>
      <c r="R37" s="34">
        <v>11.700355167533948</v>
      </c>
    </row>
    <row r="38" spans="11:18" x14ac:dyDescent="0.25">
      <c r="K38" s="39">
        <v>0.4</v>
      </c>
      <c r="L38" s="34">
        <v>12.108988600795094</v>
      </c>
      <c r="M38" s="34"/>
      <c r="N38" s="39">
        <v>0.4</v>
      </c>
      <c r="O38" s="34">
        <v>13.743064900388054</v>
      </c>
      <c r="P38" s="34"/>
      <c r="Q38" s="39">
        <v>0.4</v>
      </c>
      <c r="R38" s="34">
        <v>11.626767785196305</v>
      </c>
    </row>
    <row r="39" spans="11:18" x14ac:dyDescent="0.25">
      <c r="K39" s="39">
        <v>0.45</v>
      </c>
      <c r="L39" s="34">
        <v>12.432243013279201</v>
      </c>
      <c r="M39" s="34"/>
      <c r="N39" s="39">
        <v>0.45</v>
      </c>
      <c r="O39" s="34">
        <v>13.579307746542982</v>
      </c>
      <c r="P39" s="34"/>
      <c r="Q39" s="39">
        <v>0.45</v>
      </c>
      <c r="R39" s="34">
        <v>11.557316997479759</v>
      </c>
    </row>
    <row r="40" spans="11:18" x14ac:dyDescent="0.25">
      <c r="K40" s="39">
        <v>0.5</v>
      </c>
      <c r="L40" s="34">
        <v>12.826436917863859</v>
      </c>
      <c r="M40" s="34"/>
      <c r="N40" s="39">
        <v>0.5</v>
      </c>
      <c r="O40" s="34">
        <v>13.389202070143625</v>
      </c>
      <c r="P40" s="34"/>
      <c r="Q40" s="39">
        <v>0.5</v>
      </c>
      <c r="R40" s="34">
        <v>11.531334979265504</v>
      </c>
    </row>
    <row r="41" spans="11:18" x14ac:dyDescent="0.25">
      <c r="K41" s="39">
        <v>0.55000000000000004</v>
      </c>
      <c r="L41" s="34">
        <v>13.164569681840895</v>
      </c>
      <c r="M41" s="34"/>
      <c r="N41" s="39">
        <v>0.55000000000000004</v>
      </c>
      <c r="O41" s="34">
        <v>13.179398644193403</v>
      </c>
      <c r="P41" s="34"/>
      <c r="Q41" s="39">
        <v>0.55000000000000004</v>
      </c>
      <c r="R41" s="34">
        <v>11.550178231615817</v>
      </c>
    </row>
    <row r="42" spans="11:18" x14ac:dyDescent="0.25">
      <c r="K42" s="39">
        <v>0.6</v>
      </c>
      <c r="L42" s="34">
        <v>13.625944501757965</v>
      </c>
      <c r="M42" s="34"/>
      <c r="N42" s="39">
        <v>0.6</v>
      </c>
      <c r="O42" s="34">
        <v>12.95604853039052</v>
      </c>
      <c r="P42" s="34"/>
      <c r="Q42" s="39">
        <v>0.6</v>
      </c>
      <c r="R42" s="34">
        <v>11.65328049294139</v>
      </c>
    </row>
    <row r="43" spans="11:18" x14ac:dyDescent="0.25">
      <c r="K43" s="39">
        <v>0.65</v>
      </c>
      <c r="L43" s="34">
        <v>14.445173951530229</v>
      </c>
      <c r="M43" s="34"/>
      <c r="N43" s="39">
        <v>0.65</v>
      </c>
      <c r="O43" s="34">
        <v>12.724673530495396</v>
      </c>
      <c r="P43" s="34"/>
      <c r="Q43" s="39">
        <v>0.65</v>
      </c>
      <c r="R43" s="34">
        <v>11.817631068513954</v>
      </c>
    </row>
    <row r="44" spans="11:18" x14ac:dyDescent="0.25">
      <c r="K44" s="39">
        <v>0.7</v>
      </c>
      <c r="L44" s="34">
        <v>15.344138478034026</v>
      </c>
      <c r="M44" s="34"/>
      <c r="N44" s="39">
        <v>0.7</v>
      </c>
      <c r="O44" s="34">
        <v>12.493104754027391</v>
      </c>
      <c r="P44" s="34"/>
      <c r="Q44" s="39">
        <v>0.7</v>
      </c>
      <c r="R44" s="34">
        <v>11.999234557265801</v>
      </c>
    </row>
    <row r="45" spans="11:18" x14ac:dyDescent="0.25">
      <c r="K45" s="39">
        <v>0.75</v>
      </c>
      <c r="L45" s="34">
        <v>16.175476261257085</v>
      </c>
      <c r="M45" s="34"/>
      <c r="N45" s="39">
        <v>0.75</v>
      </c>
      <c r="O45" s="34">
        <v>12.315114763203717</v>
      </c>
      <c r="P45" s="34"/>
      <c r="Q45" s="39">
        <v>0.75</v>
      </c>
      <c r="R45" s="34">
        <v>12.226206046539611</v>
      </c>
    </row>
    <row r="46" spans="11:18" x14ac:dyDescent="0.25">
      <c r="K46" s="39">
        <v>0.8</v>
      </c>
      <c r="L46" s="34">
        <v>16.933052915027449</v>
      </c>
      <c r="M46" s="34"/>
      <c r="N46" s="39">
        <v>0.8</v>
      </c>
      <c r="O46" s="34">
        <v>12.134488222739163</v>
      </c>
      <c r="P46" s="34"/>
      <c r="Q46" s="39">
        <v>0.8</v>
      </c>
      <c r="R46" s="34">
        <v>12.460600085555598</v>
      </c>
    </row>
    <row r="47" spans="11:18" x14ac:dyDescent="0.25">
      <c r="K47" s="39">
        <v>0.85</v>
      </c>
      <c r="L47" s="34">
        <v>17.599060405815408</v>
      </c>
      <c r="M47" s="34"/>
      <c r="N47" s="39">
        <v>0.85</v>
      </c>
      <c r="O47" s="34">
        <v>11.953329979964533</v>
      </c>
      <c r="P47" s="34"/>
      <c r="Q47" s="39">
        <v>0.85</v>
      </c>
      <c r="R47" s="34">
        <v>12.70244450432175</v>
      </c>
    </row>
    <row r="48" spans="11:18" x14ac:dyDescent="0.25">
      <c r="K48" s="39">
        <v>0.9</v>
      </c>
      <c r="L48" s="34">
        <v>18.147199107374806</v>
      </c>
      <c r="M48" s="34"/>
      <c r="N48" s="39">
        <v>0.9</v>
      </c>
      <c r="O48" s="34">
        <v>11.777682088445554</v>
      </c>
      <c r="P48" s="34"/>
      <c r="Q48" s="39">
        <v>0.9</v>
      </c>
      <c r="R48" s="34">
        <v>12.951769973326103</v>
      </c>
    </row>
    <row r="49" spans="11:18" x14ac:dyDescent="0.25">
      <c r="K49" s="39">
        <v>0.95</v>
      </c>
      <c r="L49" s="34">
        <v>18.604338534991697</v>
      </c>
      <c r="M49" s="34"/>
      <c r="N49" s="39">
        <v>0.95</v>
      </c>
      <c r="O49" s="34">
        <v>11.650136556590089</v>
      </c>
      <c r="P49" s="34"/>
      <c r="Q49" s="39">
        <v>0.95</v>
      </c>
      <c r="R49" s="34">
        <v>13.208610003536654</v>
      </c>
    </row>
    <row r="50" spans="11:18" x14ac:dyDescent="0.25">
      <c r="K50" s="39">
        <v>1</v>
      </c>
      <c r="L50" s="34">
        <v>19.411150140784084</v>
      </c>
      <c r="M50" s="34"/>
      <c r="N50" s="39">
        <v>1</v>
      </c>
      <c r="O50" s="34">
        <v>11.524299844083805</v>
      </c>
      <c r="P50" s="34"/>
      <c r="Q50" s="39">
        <v>1</v>
      </c>
      <c r="R50" s="34">
        <v>13.473000946401463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 tint="0.59999389629810485"/>
  </sheetPr>
  <dimension ref="A1:AA50"/>
  <sheetViews>
    <sheetView zoomScale="70" zoomScaleNormal="70" workbookViewId="0">
      <selection activeCell="G33" sqref="G33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6.85546875" bestFit="1" customWidth="1"/>
    <col min="4" max="5" width="14.85546875" bestFit="1" customWidth="1"/>
    <col min="6" max="6" width="16.85546875" bestFit="1" customWidth="1"/>
    <col min="7" max="7" width="14.85546875" bestFit="1" customWidth="1"/>
    <col min="8" max="8" width="15.85546875" bestFit="1" customWidth="1"/>
    <col min="9" max="9" width="15.7109375" bestFit="1" customWidth="1"/>
    <col min="11" max="11" width="12.140625" bestFit="1" customWidth="1"/>
    <col min="12" max="12" width="7.42578125" bestFit="1" customWidth="1"/>
    <col min="13" max="13" width="10.57031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10.5703125" bestFit="1" customWidth="1"/>
    <col min="19" max="19" width="10.7109375" bestFit="1" customWidth="1"/>
    <col min="20" max="20" width="7.7109375" bestFit="1" customWidth="1"/>
    <col min="22" max="22" width="12" bestFit="1" customWidth="1"/>
    <col min="23" max="23" width="9.7109375" bestFit="1" customWidth="1"/>
    <col min="24" max="24" width="12.42578125" bestFit="1" customWidth="1"/>
    <col min="26" max="26" width="3.42578125" bestFit="1" customWidth="1"/>
    <col min="27" max="27" width="12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0.16735639802422286</v>
      </c>
      <c r="G4" s="46">
        <v>0</v>
      </c>
      <c r="H4" s="46">
        <v>0</v>
      </c>
      <c r="I4" s="46">
        <v>0.19105724923267989</v>
      </c>
      <c r="K4">
        <v>-3</v>
      </c>
      <c r="Q4" s="31">
        <f>AA6</f>
        <v>-15780.474999999999</v>
      </c>
      <c r="V4" s="40">
        <f>AVERAGE(N8,N12,N16,N20,N24)</f>
        <v>-14852.21176470588</v>
      </c>
      <c r="W4" s="40">
        <f>AVERAGE(V4:V7)</f>
        <v>928.26323529411911</v>
      </c>
      <c r="X4" s="40">
        <f>V4-$W$4</f>
        <v>-15780.474999999999</v>
      </c>
      <c r="Z4" s="24" t="s">
        <v>40</v>
      </c>
      <c r="AA4" s="28">
        <f>B17</f>
        <v>21654.397058823532</v>
      </c>
    </row>
    <row r="5" spans="1:27" ht="18.75" x14ac:dyDescent="0.35">
      <c r="A5" s="17" t="s">
        <v>12</v>
      </c>
      <c r="B5" s="17">
        <v>2.8008163959642108E-2</v>
      </c>
      <c r="K5">
        <v>-2</v>
      </c>
      <c r="Q5" s="31">
        <f t="shared" ref="Q5:Q7" si="0">AA7</f>
        <v>-2150.4789215686278</v>
      </c>
      <c r="V5" s="40">
        <f>AVERAGE(N9,N13,N17,N21)</f>
        <v>-1222.2156862745087</v>
      </c>
      <c r="W5" s="40"/>
      <c r="X5" s="40">
        <f t="shared" ref="X5:X7" si="1">V5-$W$4</f>
        <v>-2150.4789215686278</v>
      </c>
      <c r="Z5" s="25" t="s">
        <v>41</v>
      </c>
      <c r="AA5" s="29">
        <f>B18</f>
        <v>531.44607843137214</v>
      </c>
    </row>
    <row r="6" spans="1:27" ht="18.75" x14ac:dyDescent="0.35">
      <c r="A6" s="17" t="s">
        <v>13</v>
      </c>
      <c r="B6" s="17">
        <v>-3.6791291776381754E-2</v>
      </c>
      <c r="K6">
        <v>-1</v>
      </c>
      <c r="Q6" s="31">
        <f t="shared" si="0"/>
        <v>23708.825000000001</v>
      </c>
      <c r="V6" s="40">
        <f>AVERAGE(N10,N14,N18,N22)</f>
        <v>24637.088235294119</v>
      </c>
      <c r="W6" s="40"/>
      <c r="X6" s="40">
        <f t="shared" si="1"/>
        <v>23708.825000000001</v>
      </c>
      <c r="Z6" s="26" t="s">
        <v>42</v>
      </c>
      <c r="AA6" s="30">
        <f>X4</f>
        <v>-15780.474999999999</v>
      </c>
    </row>
    <row r="7" spans="1:27" ht="18.75" x14ac:dyDescent="0.35">
      <c r="A7" s="17" t="s">
        <v>14</v>
      </c>
      <c r="B7" s="17">
        <v>16327.987050728518</v>
      </c>
      <c r="K7">
        <v>0</v>
      </c>
      <c r="O7" s="31">
        <f>AA4</f>
        <v>21654.397058823532</v>
      </c>
      <c r="P7" s="31">
        <f>AA5</f>
        <v>531.44607843137214</v>
      </c>
      <c r="Q7" s="31">
        <f t="shared" si="0"/>
        <v>-5777.8710784313726</v>
      </c>
      <c r="V7" s="40">
        <f>AVERAGE(N11,N15,N19,N23)</f>
        <v>-4849.6078431372534</v>
      </c>
      <c r="W7" s="40"/>
      <c r="X7" s="40">
        <f t="shared" si="1"/>
        <v>-5777.8710784313726</v>
      </c>
      <c r="Z7" s="26" t="s">
        <v>43</v>
      </c>
      <c r="AA7" s="30">
        <f t="shared" ref="AA7:AA9" si="2">X5</f>
        <v>-2150.4789215686278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Data!G2</f>
        <v>10688</v>
      </c>
      <c r="M8" s="34">
        <f>$B$17+$B$18*K8</f>
        <v>22185.843137254902</v>
      </c>
      <c r="N8" s="34">
        <f>L8-M8</f>
        <v>-11497.843137254902</v>
      </c>
      <c r="O8" s="34">
        <f>$G$4*(L8-Q4)+((1-$G$4)*(O7+P7))</f>
        <v>22185.843137254902</v>
      </c>
      <c r="P8" s="34">
        <f>$H$4*(O8-O7)+((1-$H$4)*P7)</f>
        <v>531.44607843137214</v>
      </c>
      <c r="Q8" s="33">
        <f>$I$4*(L8-O8)+((1-$I$4)*Q4)</f>
        <v>-14962.247136827693</v>
      </c>
      <c r="R8" s="34">
        <f>SUM(O7,P7,Q4)</f>
        <v>6405.3681372549036</v>
      </c>
      <c r="S8" s="34">
        <f>L8-R8</f>
        <v>4282.6318627450964</v>
      </c>
      <c r="T8" s="34">
        <f>ABS(S8/L8)*100</f>
        <v>40.069534643947385</v>
      </c>
      <c r="Z8" s="26" t="s">
        <v>44</v>
      </c>
      <c r="AA8" s="30">
        <f t="shared" si="2"/>
        <v>23708.825000000001</v>
      </c>
    </row>
    <row r="9" spans="1:27" ht="18.75" x14ac:dyDescent="0.35">
      <c r="K9">
        <v>2</v>
      </c>
      <c r="L9">
        <f>Data!G3</f>
        <v>21688</v>
      </c>
      <c r="M9" s="34">
        <f t="shared" ref="M9:M24" si="3">$B$17+$B$18*K9</f>
        <v>22717.289215686276</v>
      </c>
      <c r="N9" s="34">
        <f t="shared" ref="N9:N24" si="4">L9-M9</f>
        <v>-1029.2892156862763</v>
      </c>
      <c r="O9" s="34">
        <f t="shared" ref="O9:O24" si="5">$G$4*(L9-Q5)+((1-$G$4)*(O8+P8))</f>
        <v>22717.289215686273</v>
      </c>
      <c r="P9" s="34">
        <f t="shared" ref="P9:P24" si="6">$H$4*(O9-O8)+((1-$H$4)*P8)</f>
        <v>531.44607843137214</v>
      </c>
      <c r="Q9" s="33">
        <f t="shared" ref="Q9:Q24" si="7">$I$4*(L9-O9)+((1-$I$4)*Q5)</f>
        <v>-1936.2675004947478</v>
      </c>
      <c r="R9" s="34">
        <f t="shared" ref="R9:R25" si="8">SUM(O8,P8,Q5)</f>
        <v>20566.810294117644</v>
      </c>
      <c r="S9" s="34">
        <f t="shared" ref="S9:S24" si="9">L9-R9</f>
        <v>1121.1897058823561</v>
      </c>
      <c r="T9" s="34">
        <f t="shared" ref="T9:T24" si="10">ABS(S9/L9)*100</f>
        <v>5.169631620630561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-5777.8710784313726</v>
      </c>
    </row>
    <row r="10" spans="1:27" ht="16.5" thickBot="1" x14ac:dyDescent="0.3">
      <c r="A10" t="s">
        <v>16</v>
      </c>
      <c r="K10">
        <v>3</v>
      </c>
      <c r="L10">
        <f>Data!G4</f>
        <v>40814</v>
      </c>
      <c r="M10" s="34">
        <f t="shared" si="3"/>
        <v>23248.735294117647</v>
      </c>
      <c r="N10" s="34">
        <f t="shared" si="4"/>
        <v>17565.264705882353</v>
      </c>
      <c r="O10" s="34">
        <f t="shared" si="5"/>
        <v>23248.735294117643</v>
      </c>
      <c r="P10" s="34">
        <f t="shared" si="6"/>
        <v>531.44607843137214</v>
      </c>
      <c r="Q10" s="33">
        <f t="shared" si="7"/>
        <v>22535.05326971077</v>
      </c>
      <c r="R10" s="34">
        <f t="shared" si="8"/>
        <v>46957.560294117648</v>
      </c>
      <c r="S10" s="34">
        <f t="shared" si="9"/>
        <v>-6143.5602941176476</v>
      </c>
      <c r="T10" s="34">
        <f t="shared" si="10"/>
        <v>15.052580717689146</v>
      </c>
      <c r="V10" s="34">
        <f>AVERAGE(T8:T24)</f>
        <v>15.184123593802944</v>
      </c>
      <c r="W10" s="34">
        <f>SUMPRODUCT(ABS(S8:S24))/17</f>
        <v>3583.9260002203682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Data!G5</f>
        <v>19510</v>
      </c>
      <c r="M11" s="35">
        <f t="shared" si="3"/>
        <v>23780.181372549021</v>
      </c>
      <c r="N11" s="35">
        <f t="shared" si="4"/>
        <v>-4270.181372549021</v>
      </c>
      <c r="O11" s="35">
        <f t="shared" si="5"/>
        <v>23780.181372549014</v>
      </c>
      <c r="P11" s="35">
        <f t="shared" si="6"/>
        <v>531.44607843137214</v>
      </c>
      <c r="Q11" s="41">
        <f t="shared" si="7"/>
        <v>-5489.8160305290612</v>
      </c>
      <c r="R11" s="35">
        <f t="shared" si="8"/>
        <v>18002.31029411764</v>
      </c>
      <c r="S11" s="35">
        <f t="shared" si="9"/>
        <v>1507.6897058823597</v>
      </c>
      <c r="T11" s="35">
        <f t="shared" si="10"/>
        <v>7.7277791177978461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115233453.18627405</v>
      </c>
      <c r="D12" s="17">
        <v>115233453.18627405</v>
      </c>
      <c r="E12" s="17">
        <v>0.43222838280833858</v>
      </c>
      <c r="F12" s="17">
        <v>0.52085904081351675</v>
      </c>
      <c r="K12">
        <v>5</v>
      </c>
      <c r="L12">
        <f>Data!G6</f>
        <v>9824</v>
      </c>
      <c r="M12" s="34">
        <f t="shared" si="3"/>
        <v>24311.627450980392</v>
      </c>
      <c r="N12" s="34">
        <f t="shared" si="4"/>
        <v>-14487.627450980392</v>
      </c>
      <c r="O12" s="34">
        <f t="shared" si="5"/>
        <v>24311.627450980384</v>
      </c>
      <c r="P12" s="34">
        <f t="shared" si="6"/>
        <v>531.44607843137214</v>
      </c>
      <c r="Q12" s="33">
        <f t="shared" si="7"/>
        <v>-14871.567605218028</v>
      </c>
      <c r="R12" s="34">
        <f t="shared" si="8"/>
        <v>9349.3803141526914</v>
      </c>
      <c r="S12" s="34">
        <f t="shared" si="9"/>
        <v>474.61968584730857</v>
      </c>
      <c r="T12" s="34">
        <f t="shared" si="10"/>
        <v>4.8312264438854706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3999047416.9313726</v>
      </c>
      <c r="D13" s="17">
        <v>266603161.12875816</v>
      </c>
      <c r="E13" s="17"/>
      <c r="F13" s="17"/>
      <c r="K13">
        <v>6</v>
      </c>
      <c r="L13">
        <f>Data!G7</f>
        <v>21848</v>
      </c>
      <c r="M13" s="34">
        <f t="shared" si="3"/>
        <v>24843.073529411766</v>
      </c>
      <c r="N13" s="34">
        <f t="shared" si="4"/>
        <v>-2995.0735294117658</v>
      </c>
      <c r="O13" s="34">
        <f t="shared" si="5"/>
        <v>24843.073529411755</v>
      </c>
      <c r="P13" s="34">
        <f t="shared" si="6"/>
        <v>531.44607843137214</v>
      </c>
      <c r="Q13" s="33">
        <f t="shared" si="7"/>
        <v>-2138.5600678506084</v>
      </c>
      <c r="R13" s="34">
        <f t="shared" si="8"/>
        <v>22906.806028917006</v>
      </c>
      <c r="S13" s="34">
        <f t="shared" si="9"/>
        <v>-1058.8060289170062</v>
      </c>
      <c r="T13" s="34">
        <f t="shared" si="10"/>
        <v>4.8462377742448108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4114280870.1176467</v>
      </c>
      <c r="D14" s="18"/>
      <c r="E14" s="18"/>
      <c r="F14" s="18"/>
      <c r="K14">
        <v>7</v>
      </c>
      <c r="L14">
        <f>Data!G8</f>
        <v>48936</v>
      </c>
      <c r="M14" s="34">
        <f t="shared" si="3"/>
        <v>25374.519607843136</v>
      </c>
      <c r="N14" s="34">
        <f t="shared" si="4"/>
        <v>23561.480392156864</v>
      </c>
      <c r="O14" s="34">
        <f t="shared" si="5"/>
        <v>25374.519607843125</v>
      </c>
      <c r="P14" s="34">
        <f t="shared" si="6"/>
        <v>531.44607843137214</v>
      </c>
      <c r="Q14" s="33">
        <f t="shared" si="7"/>
        <v>22731.159612263138</v>
      </c>
      <c r="R14" s="34">
        <f t="shared" si="8"/>
        <v>47909.572877553896</v>
      </c>
      <c r="S14" s="34">
        <f t="shared" si="9"/>
        <v>1026.4271224461045</v>
      </c>
      <c r="T14" s="34">
        <f t="shared" si="10"/>
        <v>2.0974888066987587</v>
      </c>
      <c r="AA14" s="27"/>
    </row>
    <row r="15" spans="1:27" ht="16.5" thickBot="1" x14ac:dyDescent="0.3">
      <c r="K15" s="23">
        <v>8</v>
      </c>
      <c r="L15" s="23">
        <f>Data!G9</f>
        <v>24640</v>
      </c>
      <c r="M15" s="35">
        <f t="shared" si="3"/>
        <v>25905.965686274511</v>
      </c>
      <c r="N15" s="35">
        <f t="shared" si="4"/>
        <v>-1265.9656862745105</v>
      </c>
      <c r="O15" s="35">
        <f t="shared" si="5"/>
        <v>25905.965686274496</v>
      </c>
      <c r="P15" s="35">
        <f t="shared" si="6"/>
        <v>531.44607843137214</v>
      </c>
      <c r="Q15" s="41">
        <f t="shared" si="7"/>
        <v>-4682.818802585276</v>
      </c>
      <c r="R15" s="35">
        <f t="shared" si="8"/>
        <v>20416.149655745434</v>
      </c>
      <c r="S15" s="35">
        <f t="shared" si="9"/>
        <v>4223.8503442545662</v>
      </c>
      <c r="T15" s="35">
        <f t="shared" si="10"/>
        <v>17.142249773760415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Data!G10</f>
        <v>12400</v>
      </c>
      <c r="M16" s="34">
        <f t="shared" si="3"/>
        <v>26437.411764705881</v>
      </c>
      <c r="N16" s="34">
        <f t="shared" si="4"/>
        <v>-14037.411764705881</v>
      </c>
      <c r="O16" s="34">
        <f t="shared" si="5"/>
        <v>26437.411764705867</v>
      </c>
      <c r="P16" s="34">
        <f t="shared" si="6"/>
        <v>531.44607843137214</v>
      </c>
      <c r="Q16" s="33">
        <f t="shared" si="7"/>
        <v>-14712.196084898402</v>
      </c>
      <c r="R16" s="34">
        <f t="shared" si="8"/>
        <v>11565.844159487839</v>
      </c>
      <c r="S16" s="34">
        <f t="shared" si="9"/>
        <v>834.15584051216138</v>
      </c>
      <c r="T16" s="34">
        <f t="shared" si="10"/>
        <v>6.7270632299367845</v>
      </c>
      <c r="AA16" s="27"/>
    </row>
    <row r="17" spans="1:27" ht="15.75" x14ac:dyDescent="0.25">
      <c r="A17" s="17" t="s">
        <v>19</v>
      </c>
      <c r="B17" s="21">
        <v>21654.397058823532</v>
      </c>
      <c r="C17" s="17">
        <v>8283.1822172055581</v>
      </c>
      <c r="D17" s="17">
        <v>2.6142606175973913</v>
      </c>
      <c r="E17" s="17">
        <v>1.9536149706033092E-2</v>
      </c>
      <c r="F17" s="17">
        <v>3999.2120861719413</v>
      </c>
      <c r="G17" s="17">
        <v>39309.582031475118</v>
      </c>
      <c r="H17" s="17">
        <v>3999.2120861719413</v>
      </c>
      <c r="I17" s="17">
        <v>39309.582031475118</v>
      </c>
      <c r="K17">
        <v>10</v>
      </c>
      <c r="L17">
        <f>Data!G11</f>
        <v>23692</v>
      </c>
      <c r="M17" s="34">
        <f t="shared" si="3"/>
        <v>26968.857843137252</v>
      </c>
      <c r="N17" s="34">
        <f t="shared" si="4"/>
        <v>-3276.8578431372516</v>
      </c>
      <c r="O17" s="34">
        <f t="shared" si="5"/>
        <v>26968.857843137237</v>
      </c>
      <c r="P17" s="34">
        <f t="shared" si="6"/>
        <v>531.44607843137214</v>
      </c>
      <c r="Q17" s="33">
        <f t="shared" si="7"/>
        <v>-2356.0401096045512</v>
      </c>
      <c r="R17" s="34">
        <f t="shared" si="8"/>
        <v>24830.297775286628</v>
      </c>
      <c r="S17" s="34">
        <f t="shared" si="9"/>
        <v>-1138.2977752866282</v>
      </c>
      <c r="T17" s="34">
        <f t="shared" si="10"/>
        <v>4.804565993949975</v>
      </c>
      <c r="AA17" s="27"/>
    </row>
    <row r="18" spans="1:27" ht="15.75" thickBot="1" x14ac:dyDescent="0.3">
      <c r="A18" s="18" t="s">
        <v>32</v>
      </c>
      <c r="B18" s="22">
        <v>531.44607843137214</v>
      </c>
      <c r="C18" s="18">
        <v>808.35581300168974</v>
      </c>
      <c r="D18" s="18">
        <v>0.65744078273890172</v>
      </c>
      <c r="E18" s="18">
        <v>0.52085904081351631</v>
      </c>
      <c r="F18" s="18">
        <v>-1191.5235518416812</v>
      </c>
      <c r="G18" s="18">
        <v>2254.4157087044255</v>
      </c>
      <c r="H18" s="18">
        <v>-1191.5235518416812</v>
      </c>
      <c r="I18" s="18">
        <v>2254.4157087044255</v>
      </c>
      <c r="K18">
        <v>11</v>
      </c>
      <c r="L18">
        <f>Data!G12</f>
        <v>47904</v>
      </c>
      <c r="M18" s="34">
        <f t="shared" si="3"/>
        <v>27500.303921568626</v>
      </c>
      <c r="N18" s="34">
        <f t="shared" si="4"/>
        <v>20403.696078431374</v>
      </c>
      <c r="O18" s="34">
        <f t="shared" si="5"/>
        <v>27500.303921568608</v>
      </c>
      <c r="P18" s="34">
        <f t="shared" si="6"/>
        <v>531.44607843137214</v>
      </c>
      <c r="Q18" s="33">
        <f t="shared" si="7"/>
        <v>22286.480831799872</v>
      </c>
      <c r="R18" s="34">
        <f t="shared" si="8"/>
        <v>50231.463533831746</v>
      </c>
      <c r="S18" s="34">
        <f t="shared" si="9"/>
        <v>-2327.4635338317457</v>
      </c>
      <c r="T18" s="34">
        <f t="shared" si="10"/>
        <v>4.8585995612720145</v>
      </c>
    </row>
    <row r="19" spans="1:27" x14ac:dyDescent="0.25">
      <c r="K19" s="23">
        <v>12</v>
      </c>
      <c r="L19" s="23">
        <f>Data!G13</f>
        <v>26990</v>
      </c>
      <c r="M19" s="35">
        <f t="shared" si="3"/>
        <v>28031.749999999996</v>
      </c>
      <c r="N19" s="35">
        <f t="shared" si="4"/>
        <v>-1041.7499999999964</v>
      </c>
      <c r="O19" s="35">
        <f t="shared" si="5"/>
        <v>28031.749999999978</v>
      </c>
      <c r="P19" s="35">
        <f t="shared" si="6"/>
        <v>531.44607843137214</v>
      </c>
      <c r="Q19" s="41">
        <f t="shared" si="7"/>
        <v>-3987.1662128964017</v>
      </c>
      <c r="R19" s="35">
        <f t="shared" si="8"/>
        <v>23348.931197414702</v>
      </c>
      <c r="S19" s="35">
        <f t="shared" si="9"/>
        <v>3641.0688025852978</v>
      </c>
      <c r="T19" s="35">
        <f t="shared" si="10"/>
        <v>13.490436467526113</v>
      </c>
    </row>
    <row r="20" spans="1:27" x14ac:dyDescent="0.25">
      <c r="K20">
        <v>13</v>
      </c>
      <c r="L20">
        <f>Data!G14</f>
        <v>13851</v>
      </c>
      <c r="M20" s="34">
        <f t="shared" si="3"/>
        <v>28563.196078431371</v>
      </c>
      <c r="N20" s="34">
        <f t="shared" si="4"/>
        <v>-14712.196078431371</v>
      </c>
      <c r="O20" s="34">
        <f t="shared" si="5"/>
        <v>28563.196078431349</v>
      </c>
      <c r="P20" s="34">
        <f t="shared" si="6"/>
        <v>531.44607843137214</v>
      </c>
      <c r="Q20" s="33">
        <f t="shared" si="7"/>
        <v>-14712.196083662826</v>
      </c>
      <c r="R20" s="34">
        <f t="shared" si="8"/>
        <v>13850.999993532947</v>
      </c>
      <c r="S20" s="34">
        <f t="shared" si="9"/>
        <v>6.4670530264265835E-6</v>
      </c>
      <c r="T20" s="34">
        <f t="shared" si="10"/>
        <v>4.6690152526363319E-8</v>
      </c>
    </row>
    <row r="21" spans="1:27" x14ac:dyDescent="0.25">
      <c r="K21">
        <v>14</v>
      </c>
      <c r="L21">
        <f>Data!G15</f>
        <v>31507</v>
      </c>
      <c r="M21" s="34">
        <f t="shared" si="3"/>
        <v>29094.642156862741</v>
      </c>
      <c r="N21" s="34">
        <f t="shared" si="4"/>
        <v>2412.3578431372589</v>
      </c>
      <c r="O21" s="34">
        <f t="shared" si="5"/>
        <v>29094.642156862719</v>
      </c>
      <c r="P21" s="34">
        <f t="shared" si="6"/>
        <v>531.44607843137214</v>
      </c>
      <c r="Q21" s="33">
        <f t="shared" si="7"/>
        <v>-1445.0031135069546</v>
      </c>
      <c r="R21" s="34">
        <f t="shared" si="8"/>
        <v>26738.602047258169</v>
      </c>
      <c r="S21" s="34">
        <f t="shared" si="9"/>
        <v>4768.3979527418305</v>
      </c>
      <c r="T21" s="34">
        <f t="shared" si="10"/>
        <v>15.13440807675066</v>
      </c>
    </row>
    <row r="22" spans="1:27" x14ac:dyDescent="0.25">
      <c r="K22">
        <v>15</v>
      </c>
      <c r="L22">
        <f>Data!G16</f>
        <v>66644</v>
      </c>
      <c r="M22" s="34">
        <f t="shared" si="3"/>
        <v>29626.088235294112</v>
      </c>
      <c r="N22" s="34">
        <f t="shared" si="4"/>
        <v>37017.911764705888</v>
      </c>
      <c r="O22" s="34">
        <f t="shared" si="5"/>
        <v>29626.08823529409</v>
      </c>
      <c r="P22" s="34">
        <f t="shared" si="6"/>
        <v>531.44607843137214</v>
      </c>
      <c r="Q22" s="33">
        <f t="shared" si="7"/>
        <v>25101.027503102112</v>
      </c>
      <c r="R22" s="34">
        <f t="shared" si="8"/>
        <v>51912.569067093966</v>
      </c>
      <c r="S22" s="34">
        <f t="shared" si="9"/>
        <v>14731.430932906034</v>
      </c>
      <c r="T22" s="34">
        <f t="shared" si="10"/>
        <v>22.104661984433761</v>
      </c>
    </row>
    <row r="23" spans="1:27" x14ac:dyDescent="0.25">
      <c r="K23" s="23">
        <v>16</v>
      </c>
      <c r="L23" s="23">
        <f>Data!G17</f>
        <v>17337</v>
      </c>
      <c r="M23" s="35">
        <f t="shared" si="3"/>
        <v>30157.534313725486</v>
      </c>
      <c r="N23" s="35">
        <f t="shared" si="4"/>
        <v>-12820.534313725486</v>
      </c>
      <c r="O23" s="35">
        <f t="shared" si="5"/>
        <v>30157.53431372546</v>
      </c>
      <c r="P23" s="35">
        <f t="shared" si="6"/>
        <v>531.44607843137214</v>
      </c>
      <c r="Q23" s="41">
        <f t="shared" si="7"/>
        <v>-5674.8452237005031</v>
      </c>
      <c r="R23" s="35">
        <f t="shared" si="8"/>
        <v>26170.368100829059</v>
      </c>
      <c r="S23" s="35">
        <f t="shared" si="9"/>
        <v>-8833.3681008290587</v>
      </c>
      <c r="T23" s="35">
        <f t="shared" si="10"/>
        <v>50.950960955350169</v>
      </c>
    </row>
    <row r="24" spans="1:27" x14ac:dyDescent="0.25">
      <c r="K24">
        <v>17</v>
      </c>
      <c r="L24">
        <f>Data!G18</f>
        <v>11163</v>
      </c>
      <c r="M24" s="34">
        <f t="shared" si="3"/>
        <v>30688.98039215686</v>
      </c>
      <c r="N24" s="34">
        <f t="shared" si="4"/>
        <v>-19525.98039215686</v>
      </c>
      <c r="O24" s="34">
        <f t="shared" si="5"/>
        <v>30688.980392156831</v>
      </c>
      <c r="P24" s="34">
        <f t="shared" si="6"/>
        <v>531.44607843137214</v>
      </c>
      <c r="Q24" s="33">
        <f t="shared" si="7"/>
        <v>-15631.904472043128</v>
      </c>
      <c r="R24" s="34">
        <f t="shared" si="8"/>
        <v>15976.784308494005</v>
      </c>
      <c r="S24" s="34">
        <f t="shared" si="9"/>
        <v>-4813.784308494005</v>
      </c>
      <c r="T24" s="34">
        <f t="shared" si="10"/>
        <v>43.122675880086042</v>
      </c>
    </row>
    <row r="25" spans="1:27" x14ac:dyDescent="0.25">
      <c r="K25">
        <v>18</v>
      </c>
      <c r="M25" s="34"/>
      <c r="N25" s="34"/>
      <c r="O25" s="34"/>
      <c r="P25" s="34"/>
      <c r="Q25" s="33"/>
      <c r="R25" s="48">
        <f t="shared" si="8"/>
        <v>29775.423357081247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8">
        <f>$O$24+($P$24*2)+Q22</f>
        <v>56852.900052121688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8">
        <f>$O$24+($P$24*3)+Q23</f>
        <v>26608.473403750442</v>
      </c>
      <c r="S27" s="34"/>
      <c r="T27" s="34"/>
    </row>
    <row r="29" spans="1:27" ht="15.75" x14ac:dyDescent="0.25">
      <c r="K29" s="37" t="s">
        <v>53</v>
      </c>
      <c r="L29" s="36">
        <f>V10</f>
        <v>15.184123593802944</v>
      </c>
      <c r="M29" s="34"/>
      <c r="N29" s="37" t="s">
        <v>54</v>
      </c>
      <c r="O29" s="36">
        <f>V10</f>
        <v>15.184123593802944</v>
      </c>
      <c r="P29" s="34"/>
      <c r="Q29" s="37" t="s">
        <v>55</v>
      </c>
      <c r="R29" s="36">
        <f>V10</f>
        <v>15.184123593802944</v>
      </c>
    </row>
    <row r="30" spans="1:27" x14ac:dyDescent="0.25">
      <c r="K30" s="39">
        <v>0</v>
      </c>
      <c r="L30" s="34">
        <f t="dataTable" ref="L30:L50" dt2D="0" dtr="0" r1="G4"/>
        <v>15.184123593802944</v>
      </c>
      <c r="M30" s="34"/>
      <c r="N30" s="39">
        <v>0</v>
      </c>
      <c r="O30" s="34">
        <f t="dataTable" ref="O30:O50" dt2D="0" dtr="0" r1="H4" ca="1"/>
        <v>15.184123593802944</v>
      </c>
      <c r="P30" s="34"/>
      <c r="Q30" s="39">
        <v>0</v>
      </c>
      <c r="R30" s="34">
        <f t="dataTable" ref="R30:R50" dt2D="0" dtr="0" r1="I4" ca="1"/>
        <v>15.485661611751334</v>
      </c>
    </row>
    <row r="31" spans="1:27" x14ac:dyDescent="0.25">
      <c r="K31" s="39">
        <v>0.05</v>
      </c>
      <c r="L31" s="34">
        <v>15.846738050425287</v>
      </c>
      <c r="M31" s="34"/>
      <c r="N31" s="39">
        <v>0.05</v>
      </c>
      <c r="O31" s="34">
        <v>15.184123593802944</v>
      </c>
      <c r="P31" s="34"/>
      <c r="Q31" s="39">
        <v>0.05</v>
      </c>
      <c r="R31" s="34">
        <v>15.408575510414073</v>
      </c>
    </row>
    <row r="32" spans="1:27" x14ac:dyDescent="0.25">
      <c r="K32" s="39">
        <v>0.1</v>
      </c>
      <c r="L32" s="34">
        <v>16.390582644497531</v>
      </c>
      <c r="M32" s="34"/>
      <c r="N32" s="39">
        <v>0.1</v>
      </c>
      <c r="O32" s="34">
        <v>15.184123593802944</v>
      </c>
      <c r="P32" s="34"/>
      <c r="Q32" s="39">
        <v>0.1</v>
      </c>
      <c r="R32" s="34">
        <v>15.344478254716201</v>
      </c>
    </row>
    <row r="33" spans="11:18" x14ac:dyDescent="0.25">
      <c r="K33" s="39">
        <v>0.15</v>
      </c>
      <c r="L33" s="34">
        <v>16.844955048729265</v>
      </c>
      <c r="M33" s="34"/>
      <c r="N33" s="39">
        <v>0.15</v>
      </c>
      <c r="O33" s="34">
        <v>15.184123593802944</v>
      </c>
      <c r="P33" s="34"/>
      <c r="Q33" s="39">
        <v>0.15</v>
      </c>
      <c r="R33" s="34">
        <v>15.26229684304562</v>
      </c>
    </row>
    <row r="34" spans="11:18" x14ac:dyDescent="0.25">
      <c r="K34" s="39">
        <v>0.2</v>
      </c>
      <c r="L34" s="34">
        <v>17.223229063498909</v>
      </c>
      <c r="M34" s="34"/>
      <c r="N34" s="39">
        <v>0.2</v>
      </c>
      <c r="O34" s="34">
        <v>15.184123593802944</v>
      </c>
      <c r="P34" s="34"/>
      <c r="Q34" s="39">
        <v>0.2</v>
      </c>
      <c r="R34" s="34">
        <v>15.196082095533814</v>
      </c>
    </row>
    <row r="35" spans="11:18" x14ac:dyDescent="0.25">
      <c r="K35" s="39">
        <v>0.25</v>
      </c>
      <c r="L35" s="34">
        <v>17.632673579007577</v>
      </c>
      <c r="M35" s="34"/>
      <c r="N35" s="39">
        <v>0.25</v>
      </c>
      <c r="O35" s="34">
        <v>15.184123593802944</v>
      </c>
      <c r="P35" s="34"/>
      <c r="Q35" s="39">
        <v>0.25</v>
      </c>
      <c r="R35" s="34">
        <v>15.2395768664953</v>
      </c>
    </row>
    <row r="36" spans="11:18" x14ac:dyDescent="0.25">
      <c r="K36" s="39">
        <v>0.3</v>
      </c>
      <c r="L36" s="34">
        <v>18.135704709921878</v>
      </c>
      <c r="M36" s="34"/>
      <c r="N36" s="39">
        <v>0.3</v>
      </c>
      <c r="O36" s="34">
        <v>15.184123593802944</v>
      </c>
      <c r="P36" s="34"/>
      <c r="Q36" s="39">
        <v>0.3</v>
      </c>
      <c r="R36" s="34">
        <v>15.247781438993423</v>
      </c>
    </row>
    <row r="37" spans="11:18" x14ac:dyDescent="0.25">
      <c r="K37" s="39">
        <v>0.35</v>
      </c>
      <c r="L37" s="34">
        <v>18.60169899984507</v>
      </c>
      <c r="M37" s="34"/>
      <c r="N37" s="39">
        <v>0.35</v>
      </c>
      <c r="O37" s="34">
        <v>15.184123593802944</v>
      </c>
      <c r="P37" s="34"/>
      <c r="Q37" s="39">
        <v>0.35</v>
      </c>
      <c r="R37" s="34">
        <v>15.47320297835164</v>
      </c>
    </row>
    <row r="38" spans="11:18" x14ac:dyDescent="0.25">
      <c r="K38" s="39">
        <v>0.4</v>
      </c>
      <c r="L38" s="34">
        <v>19.004342166379107</v>
      </c>
      <c r="M38" s="34"/>
      <c r="N38" s="39">
        <v>0.4</v>
      </c>
      <c r="O38" s="34">
        <v>15.184123593802944</v>
      </c>
      <c r="P38" s="34"/>
      <c r="Q38" s="39">
        <v>0.4</v>
      </c>
      <c r="R38" s="34">
        <v>15.684094140525835</v>
      </c>
    </row>
    <row r="39" spans="11:18" x14ac:dyDescent="0.25">
      <c r="K39" s="39">
        <v>0.45</v>
      </c>
      <c r="L39" s="34">
        <v>19.345333355350235</v>
      </c>
      <c r="M39" s="34"/>
      <c r="N39" s="39">
        <v>0.45</v>
      </c>
      <c r="O39" s="34">
        <v>15.184123593802944</v>
      </c>
      <c r="P39" s="34"/>
      <c r="Q39" s="39">
        <v>0.45</v>
      </c>
      <c r="R39" s="34">
        <v>15.875852332301744</v>
      </c>
    </row>
    <row r="40" spans="11:18" x14ac:dyDescent="0.25">
      <c r="K40" s="39">
        <v>0.5</v>
      </c>
      <c r="L40" s="34">
        <v>19.627408561580317</v>
      </c>
      <c r="M40" s="34"/>
      <c r="N40" s="39">
        <v>0.5</v>
      </c>
      <c r="O40" s="34">
        <v>15.184123593802944</v>
      </c>
      <c r="P40" s="34"/>
      <c r="Q40" s="39">
        <v>0.5</v>
      </c>
      <c r="R40" s="34">
        <v>16.053186275348267</v>
      </c>
    </row>
    <row r="41" spans="11:18" x14ac:dyDescent="0.25">
      <c r="K41" s="39">
        <v>0.55000000000000004</v>
      </c>
      <c r="L41" s="34">
        <v>19.854472360287225</v>
      </c>
      <c r="M41" s="34"/>
      <c r="N41" s="39">
        <v>0.55000000000000004</v>
      </c>
      <c r="O41" s="34">
        <v>15.184123593802944</v>
      </c>
      <c r="P41" s="34"/>
      <c r="Q41" s="39">
        <v>0.55000000000000004</v>
      </c>
      <c r="R41" s="34">
        <v>16.246988289644378</v>
      </c>
    </row>
    <row r="42" spans="11:18" x14ac:dyDescent="0.25">
      <c r="K42" s="39">
        <v>0.6</v>
      </c>
      <c r="L42" s="34">
        <v>20.031528278141188</v>
      </c>
      <c r="M42" s="34"/>
      <c r="N42" s="39">
        <v>0.6</v>
      </c>
      <c r="O42" s="34">
        <v>15.184123593802944</v>
      </c>
      <c r="P42" s="34"/>
      <c r="Q42" s="39">
        <v>0.6</v>
      </c>
      <c r="R42" s="34">
        <v>16.439102251445092</v>
      </c>
    </row>
    <row r="43" spans="11:18" x14ac:dyDescent="0.25">
      <c r="K43" s="39">
        <v>0.65</v>
      </c>
      <c r="L43" s="34">
        <v>20.16448304024739</v>
      </c>
      <c r="M43" s="34"/>
      <c r="N43" s="39">
        <v>0.65</v>
      </c>
      <c r="O43" s="34">
        <v>15.184123593802944</v>
      </c>
      <c r="P43" s="34"/>
      <c r="Q43" s="39">
        <v>0.65</v>
      </c>
      <c r="R43" s="34">
        <v>16.608570976034301</v>
      </c>
    </row>
    <row r="44" spans="11:18" x14ac:dyDescent="0.25">
      <c r="K44" s="39">
        <v>0.7</v>
      </c>
      <c r="L44" s="34">
        <v>20.259876532869121</v>
      </c>
      <c r="M44" s="34"/>
      <c r="N44" s="39">
        <v>0.7</v>
      </c>
      <c r="O44" s="34">
        <v>15.184123593802944</v>
      </c>
      <c r="P44" s="34"/>
      <c r="Q44" s="39">
        <v>0.7</v>
      </c>
      <c r="R44" s="34">
        <v>16.758749143042003</v>
      </c>
    </row>
    <row r="45" spans="11:18" x14ac:dyDescent="0.25">
      <c r="K45" s="39">
        <v>0.75</v>
      </c>
      <c r="L45" s="34">
        <v>20.324568536867393</v>
      </c>
      <c r="M45" s="34"/>
      <c r="N45" s="39">
        <v>0.75</v>
      </c>
      <c r="O45" s="34">
        <v>15.184123593802944</v>
      </c>
      <c r="P45" s="34"/>
      <c r="Q45" s="39">
        <v>0.75</v>
      </c>
      <c r="R45" s="34">
        <v>16.892652921588471</v>
      </c>
    </row>
    <row r="46" spans="11:18" x14ac:dyDescent="0.25">
      <c r="K46" s="39">
        <v>0.8</v>
      </c>
      <c r="L46" s="34">
        <v>20.379232681244861</v>
      </c>
      <c r="M46" s="34"/>
      <c r="N46" s="39">
        <v>0.8</v>
      </c>
      <c r="O46" s="34">
        <v>15.184123593802944</v>
      </c>
      <c r="P46" s="34"/>
      <c r="Q46" s="39">
        <v>0.8</v>
      </c>
      <c r="R46" s="34">
        <v>17.035316799543487</v>
      </c>
    </row>
    <row r="47" spans="11:18" x14ac:dyDescent="0.25">
      <c r="K47" s="39">
        <v>0.85</v>
      </c>
      <c r="L47" s="34">
        <v>21.271369550974857</v>
      </c>
      <c r="M47" s="34"/>
      <c r="N47" s="39">
        <v>0.85</v>
      </c>
      <c r="O47" s="34">
        <v>15.184123593802944</v>
      </c>
      <c r="P47" s="34"/>
      <c r="Q47" s="39">
        <v>0.85</v>
      </c>
      <c r="R47" s="34">
        <v>17.215090325396663</v>
      </c>
    </row>
    <row r="48" spans="11:18" x14ac:dyDescent="0.25">
      <c r="K48" s="39">
        <v>0.9</v>
      </c>
      <c r="L48" s="34">
        <v>22.155640280502769</v>
      </c>
      <c r="M48" s="34"/>
      <c r="N48" s="39">
        <v>0.9</v>
      </c>
      <c r="O48" s="34">
        <v>15.184123593802944</v>
      </c>
      <c r="P48" s="34"/>
      <c r="Q48" s="39">
        <v>0.9</v>
      </c>
      <c r="R48" s="34">
        <v>17.405922997521557</v>
      </c>
    </row>
    <row r="49" spans="11:18" x14ac:dyDescent="0.25">
      <c r="K49" s="39">
        <v>0.95</v>
      </c>
      <c r="L49" s="34">
        <v>23.027469281016334</v>
      </c>
      <c r="M49" s="34"/>
      <c r="N49" s="39">
        <v>0.95</v>
      </c>
      <c r="O49" s="34">
        <v>15.184123593802944</v>
      </c>
      <c r="P49" s="34"/>
      <c r="Q49" s="39">
        <v>0.95</v>
      </c>
      <c r="R49" s="34">
        <v>17.609476942999539</v>
      </c>
    </row>
    <row r="50" spans="11:18" x14ac:dyDescent="0.25">
      <c r="K50" s="39">
        <v>1</v>
      </c>
      <c r="L50" s="34">
        <v>24.139491497032942</v>
      </c>
      <c r="M50" s="34"/>
      <c r="N50" s="39">
        <v>1</v>
      </c>
      <c r="O50" s="34">
        <v>15.184123593802944</v>
      </c>
      <c r="P50" s="34"/>
      <c r="Q50" s="39">
        <v>1</v>
      </c>
      <c r="R50" s="34">
        <v>17.827075778402257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0.59999389629810485"/>
  </sheetPr>
  <dimension ref="A1:AA50"/>
  <sheetViews>
    <sheetView zoomScale="70" zoomScaleNormal="70" workbookViewId="0">
      <selection activeCell="F30" sqref="F30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3" width="16.85546875" bestFit="1" customWidth="1"/>
    <col min="4" max="4" width="15.85546875" bestFit="1" customWidth="1"/>
    <col min="5" max="5" width="14.85546875" bestFit="1" customWidth="1"/>
    <col min="6" max="6" width="16.85546875" bestFit="1" customWidth="1"/>
    <col min="7" max="7" width="14.85546875" bestFit="1" customWidth="1"/>
    <col min="8" max="8" width="15.85546875" bestFit="1" customWidth="1"/>
    <col min="9" max="9" width="15.7109375" bestFit="1" customWidth="1"/>
    <col min="11" max="11" width="12.140625" bestFit="1" customWidth="1"/>
    <col min="12" max="12" width="7.4257812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9" width="10.7109375" bestFit="1" customWidth="1"/>
    <col min="20" max="20" width="8.5703125" bestFit="1" customWidth="1"/>
    <col min="22" max="22" width="11.140625" bestFit="1" customWidth="1"/>
    <col min="23" max="23" width="9.7109375" bestFit="1" customWidth="1"/>
    <col min="24" max="24" width="11.140625" bestFit="1" customWidth="1"/>
    <col min="26" max="26" width="3.42578125" bestFit="1" customWidth="1"/>
    <col min="27" max="27" width="12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0.13809206140251173</v>
      </c>
      <c r="G4" s="46">
        <v>0</v>
      </c>
      <c r="H4" s="46">
        <v>0</v>
      </c>
      <c r="I4" s="46">
        <v>0.39132392314442671</v>
      </c>
      <c r="K4">
        <v>-3</v>
      </c>
      <c r="Q4" s="31">
        <f>AA6</f>
        <v>-2216.875</v>
      </c>
      <c r="V4" s="40">
        <f>AVERAGE(N8,N12,N16,N20,N24)</f>
        <v>-2086.4705882352937</v>
      </c>
      <c r="W4" s="40">
        <f>AVERAGE(V4:V7)</f>
        <v>130.40441176470631</v>
      </c>
      <c r="X4" s="40">
        <f>V4-$W$4</f>
        <v>-2216.875</v>
      </c>
      <c r="Z4" s="24" t="s">
        <v>40</v>
      </c>
      <c r="AA4" s="28">
        <f>B17</f>
        <v>8086.7720588235288</v>
      </c>
    </row>
    <row r="5" spans="1:27" ht="18.75" x14ac:dyDescent="0.35">
      <c r="A5" s="17" t="s">
        <v>12</v>
      </c>
      <c r="B5" s="17">
        <v>1.9069417422395072E-2</v>
      </c>
      <c r="K5">
        <v>-2</v>
      </c>
      <c r="Q5" s="31">
        <f t="shared" ref="Q5:Q7" si="0">AA7</f>
        <v>305.73039215686276</v>
      </c>
      <c r="V5" s="40">
        <f>AVERAGE(N9,N13,N17,N21)</f>
        <v>436.13480392156907</v>
      </c>
      <c r="W5" s="40"/>
      <c r="X5" s="40">
        <f t="shared" ref="X5:X7" si="1">V5-$W$4</f>
        <v>305.73039215686276</v>
      </c>
      <c r="Z5" s="25" t="s">
        <v>41</v>
      </c>
      <c r="AA5" s="29">
        <f>B18</f>
        <v>-64.144607843137251</v>
      </c>
    </row>
    <row r="6" spans="1:27" ht="18.75" x14ac:dyDescent="0.35">
      <c r="A6" s="17" t="s">
        <v>13</v>
      </c>
      <c r="B6" s="17">
        <v>-4.6325954749445258E-2</v>
      </c>
      <c r="K6">
        <v>-1</v>
      </c>
      <c r="Q6" s="31">
        <f t="shared" si="0"/>
        <v>2069.875</v>
      </c>
      <c r="V6" s="40">
        <f>AVERAGE(N10,N14,N18,N22)</f>
        <v>2200.2794117647063</v>
      </c>
      <c r="W6" s="40"/>
      <c r="X6" s="40">
        <f t="shared" si="1"/>
        <v>2069.875</v>
      </c>
      <c r="Z6" s="26" t="s">
        <v>42</v>
      </c>
      <c r="AA6" s="30">
        <f>X4</f>
        <v>-2216.875</v>
      </c>
    </row>
    <row r="7" spans="1:27" ht="18.75" x14ac:dyDescent="0.35">
      <c r="A7" s="17" t="s">
        <v>14</v>
      </c>
      <c r="B7" s="17">
        <v>2399.3578822042</v>
      </c>
      <c r="K7">
        <v>0</v>
      </c>
      <c r="O7" s="31">
        <f>AA4</f>
        <v>8086.7720588235288</v>
      </c>
      <c r="P7" s="31">
        <f>AA5</f>
        <v>-64.144607843137251</v>
      </c>
      <c r="Q7" s="31">
        <f t="shared" si="0"/>
        <v>-158.73039215686276</v>
      </c>
      <c r="V7" s="40">
        <f>AVERAGE(N11,N15,N19,N23)</f>
        <v>-28.325980392156453</v>
      </c>
      <c r="W7" s="40"/>
      <c r="X7" s="40">
        <f t="shared" si="1"/>
        <v>-158.73039215686276</v>
      </c>
      <c r="Z7" s="26" t="s">
        <v>43</v>
      </c>
      <c r="AA7" s="30">
        <f t="shared" ref="AA7:AA9" si="2">X5</f>
        <v>305.73039215686276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Data!H2</f>
        <v>7158</v>
      </c>
      <c r="M8" s="34">
        <f>$B$17+$B$18*K8</f>
        <v>8022.6274509803916</v>
      </c>
      <c r="N8" s="34">
        <f>L8-M8</f>
        <v>-864.62745098039159</v>
      </c>
      <c r="O8" s="34">
        <f>$G$4*(L8-Q4)+((1-$G$4)*(O7+P7))</f>
        <v>8022.6274509803916</v>
      </c>
      <c r="P8" s="34">
        <f>$H$4*(O8-O7)+((1-$H$4)*P7)</f>
        <v>-64.144607843137251</v>
      </c>
      <c r="Q8" s="33">
        <f>$I$4*(L8-O8)+((1-$I$4)*Q4)</f>
        <v>-1687.7081840552112</v>
      </c>
      <c r="R8" s="34">
        <f>SUM(O7,P7,Q4)</f>
        <v>5805.7524509803916</v>
      </c>
      <c r="S8" s="34">
        <f>L8-R8</f>
        <v>1352.2475490196084</v>
      </c>
      <c r="T8" s="34">
        <f>ABS(S8/L8)*100</f>
        <v>18.891415884599166</v>
      </c>
      <c r="Z8" s="26" t="s">
        <v>44</v>
      </c>
      <c r="AA8" s="30">
        <f t="shared" si="2"/>
        <v>2069.875</v>
      </c>
    </row>
    <row r="9" spans="1:27" ht="18.75" x14ac:dyDescent="0.35">
      <c r="K9">
        <v>2</v>
      </c>
      <c r="L9">
        <f>Data!H3</f>
        <v>7034</v>
      </c>
      <c r="M9" s="34">
        <f t="shared" ref="M9:M24" si="3">$B$17+$B$18*K9</f>
        <v>7958.4828431372543</v>
      </c>
      <c r="N9" s="34">
        <f t="shared" ref="N9:N24" si="4">L9-M9</f>
        <v>-924.48284313725435</v>
      </c>
      <c r="O9" s="34">
        <f t="shared" ref="O9:O24" si="5">$G$4*(L9-Q5)+((1-$G$4)*(O8+P8))</f>
        <v>7958.4828431372543</v>
      </c>
      <c r="P9" s="34">
        <f t="shared" ref="P9:P24" si="6">$H$4*(O9-O8)+((1-$H$4)*P8)</f>
        <v>-64.144607843137251</v>
      </c>
      <c r="Q9" s="33">
        <f t="shared" ref="Q9:Q24" si="7">$I$4*(L9-O9)+((1-$I$4)*Q5)</f>
        <v>-175.68147738262886</v>
      </c>
      <c r="R9" s="34">
        <f t="shared" ref="R9:R25" si="8">SUM(O8,P8,Q5)</f>
        <v>8264.2132352941171</v>
      </c>
      <c r="S9" s="34">
        <f t="shared" ref="S9:S24" si="9">L9-R9</f>
        <v>-1230.2132352941171</v>
      </c>
      <c r="T9" s="34">
        <f t="shared" ref="T9:T24" si="10">ABS(S9/L9)*100</f>
        <v>17.489525665256142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-158.73039215686276</v>
      </c>
    </row>
    <row r="10" spans="1:27" ht="16.5" thickBot="1" x14ac:dyDescent="0.3">
      <c r="A10" t="s">
        <v>16</v>
      </c>
      <c r="K10">
        <v>3</v>
      </c>
      <c r="L10">
        <f>Data!H4</f>
        <v>9026</v>
      </c>
      <c r="M10" s="34">
        <f t="shared" si="3"/>
        <v>7894.3382352941171</v>
      </c>
      <c r="N10" s="34">
        <f t="shared" si="4"/>
        <v>1131.6617647058829</v>
      </c>
      <c r="O10" s="34">
        <f t="shared" si="5"/>
        <v>7894.3382352941171</v>
      </c>
      <c r="P10" s="34">
        <f t="shared" si="6"/>
        <v>-64.144607843137251</v>
      </c>
      <c r="Q10" s="33">
        <f t="shared" si="7"/>
        <v>1702.7297160186808</v>
      </c>
      <c r="R10" s="34">
        <f t="shared" si="8"/>
        <v>9964.2132352941171</v>
      </c>
      <c r="S10" s="34">
        <f t="shared" si="9"/>
        <v>-938.21323529411711</v>
      </c>
      <c r="T10" s="34">
        <f t="shared" si="10"/>
        <v>10.394562766387294</v>
      </c>
      <c r="V10" s="34">
        <f>AVERAGE(T8:T24)</f>
        <v>100.18295416922342</v>
      </c>
      <c r="W10" s="34">
        <f>SUMPRODUCT(ABS(S8:S24))/17</f>
        <v>1461.9092276571032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Data!H5</f>
        <v>7254</v>
      </c>
      <c r="M11" s="35">
        <f t="shared" si="3"/>
        <v>7830.1936274509799</v>
      </c>
      <c r="N11" s="35">
        <f t="shared" si="4"/>
        <v>-576.19362745097987</v>
      </c>
      <c r="O11" s="35">
        <f t="shared" si="5"/>
        <v>7830.1936274509799</v>
      </c>
      <c r="P11" s="35">
        <f t="shared" si="6"/>
        <v>-64.144607843137251</v>
      </c>
      <c r="Q11" s="41">
        <f t="shared" si="7"/>
        <v>-322.09374316072154</v>
      </c>
      <c r="R11" s="35">
        <f t="shared" si="8"/>
        <v>7671.4632352941171</v>
      </c>
      <c r="S11" s="35">
        <f t="shared" si="9"/>
        <v>-417.46323529411711</v>
      </c>
      <c r="T11" s="35">
        <f t="shared" si="10"/>
        <v>5.7549384518075151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1678728.5318627506</v>
      </c>
      <c r="D12" s="17">
        <v>1678728.5318627506</v>
      </c>
      <c r="E12" s="17">
        <v>0.29160194045973314</v>
      </c>
      <c r="F12" s="17">
        <v>0.59712236926289752</v>
      </c>
      <c r="K12">
        <v>5</v>
      </c>
      <c r="L12">
        <f>Data!H6</f>
        <v>6968</v>
      </c>
      <c r="M12" s="34">
        <f t="shared" si="3"/>
        <v>7766.0490196078426</v>
      </c>
      <c r="N12" s="34">
        <f t="shared" si="4"/>
        <v>-798.04901960784264</v>
      </c>
      <c r="O12" s="34">
        <f t="shared" si="5"/>
        <v>7766.0490196078426</v>
      </c>
      <c r="P12" s="34">
        <f t="shared" si="6"/>
        <v>-64.144607843137251</v>
      </c>
      <c r="Q12" s="33">
        <f t="shared" si="7"/>
        <v>-1339.5632695622744</v>
      </c>
      <c r="R12" s="34">
        <f t="shared" si="8"/>
        <v>6078.3408355526317</v>
      </c>
      <c r="S12" s="34">
        <f t="shared" si="9"/>
        <v>889.65916444736831</v>
      </c>
      <c r="T12" s="34">
        <f t="shared" si="10"/>
        <v>12.767783645915159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86353773.703431368</v>
      </c>
      <c r="D13" s="17">
        <v>5756918.2468954241</v>
      </c>
      <c r="E13" s="17"/>
      <c r="F13" s="17"/>
      <c r="K13">
        <v>6</v>
      </c>
      <c r="L13">
        <f>Data!H7</f>
        <v>9156</v>
      </c>
      <c r="M13" s="34">
        <f t="shared" si="3"/>
        <v>7701.9044117647054</v>
      </c>
      <c r="N13" s="34">
        <f t="shared" si="4"/>
        <v>1454.0955882352946</v>
      </c>
      <c r="O13" s="34">
        <f t="shared" si="5"/>
        <v>7701.9044117647054</v>
      </c>
      <c r="P13" s="34">
        <f t="shared" si="6"/>
        <v>-64.144607843137251</v>
      </c>
      <c r="Q13" s="33">
        <f t="shared" si="7"/>
        <v>462.08927778578874</v>
      </c>
      <c r="R13" s="34">
        <f t="shared" si="8"/>
        <v>7526.2229343820763</v>
      </c>
      <c r="S13" s="34">
        <f t="shared" si="9"/>
        <v>1629.7770656179237</v>
      </c>
      <c r="T13" s="34">
        <f t="shared" si="10"/>
        <v>17.800099012865047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88032502.235294119</v>
      </c>
      <c r="D14" s="18"/>
      <c r="E14" s="18"/>
      <c r="F14" s="18"/>
      <c r="K14">
        <v>7</v>
      </c>
      <c r="L14">
        <f>Data!H8</f>
        <v>8134</v>
      </c>
      <c r="M14" s="34">
        <f t="shared" si="3"/>
        <v>7637.7598039215682</v>
      </c>
      <c r="N14" s="34">
        <f t="shared" si="4"/>
        <v>496.24019607843184</v>
      </c>
      <c r="O14" s="34">
        <f t="shared" si="5"/>
        <v>7637.7598039215682</v>
      </c>
      <c r="P14" s="34">
        <f t="shared" si="6"/>
        <v>-64.144607843137251</v>
      </c>
      <c r="Q14" s="33">
        <f t="shared" si="7"/>
        <v>1230.6015038430264</v>
      </c>
      <c r="R14" s="34">
        <f t="shared" si="8"/>
        <v>9340.489519940249</v>
      </c>
      <c r="S14" s="34">
        <f t="shared" si="9"/>
        <v>-1206.489519940249</v>
      </c>
      <c r="T14" s="34">
        <f t="shared" si="10"/>
        <v>14.832671747482776</v>
      </c>
      <c r="AA14" s="27"/>
    </row>
    <row r="15" spans="1:27" ht="16.5" thickBot="1" x14ac:dyDescent="0.3">
      <c r="K15" s="23">
        <v>8</v>
      </c>
      <c r="L15" s="23">
        <f>Data!H9</f>
        <v>6958</v>
      </c>
      <c r="M15" s="35">
        <f t="shared" si="3"/>
        <v>7573.6151960784309</v>
      </c>
      <c r="N15" s="35">
        <f t="shared" si="4"/>
        <v>-615.61519607843093</v>
      </c>
      <c r="O15" s="35">
        <f t="shared" si="5"/>
        <v>7573.6151960784309</v>
      </c>
      <c r="P15" s="35">
        <f t="shared" si="6"/>
        <v>-64.144607843137251</v>
      </c>
      <c r="Q15" s="41">
        <f t="shared" si="7"/>
        <v>-436.95570964353169</v>
      </c>
      <c r="R15" s="35">
        <f t="shared" si="8"/>
        <v>7251.5214529177092</v>
      </c>
      <c r="S15" s="35">
        <f t="shared" si="9"/>
        <v>-293.52145291770921</v>
      </c>
      <c r="T15" s="35">
        <f t="shared" si="10"/>
        <v>4.2184744598693484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Data!H10</f>
        <v>5208</v>
      </c>
      <c r="M16" s="34">
        <f t="shared" si="3"/>
        <v>7509.4705882352937</v>
      </c>
      <c r="N16" s="34">
        <f t="shared" si="4"/>
        <v>-2301.4705882352937</v>
      </c>
      <c r="O16" s="34">
        <f t="shared" si="5"/>
        <v>7509.4705882352937</v>
      </c>
      <c r="P16" s="34">
        <f t="shared" si="6"/>
        <v>-64.144607843137251</v>
      </c>
      <c r="Q16" s="33">
        <f t="shared" si="7"/>
        <v>-1715.9806152067365</v>
      </c>
      <c r="R16" s="34">
        <f t="shared" si="8"/>
        <v>6169.9073186730193</v>
      </c>
      <c r="S16" s="34">
        <f t="shared" si="9"/>
        <v>-961.90731867301929</v>
      </c>
      <c r="T16" s="34">
        <f t="shared" si="10"/>
        <v>18.469802585887468</v>
      </c>
      <c r="AA16" s="27"/>
    </row>
    <row r="17" spans="1:27" ht="15.75" x14ac:dyDescent="0.25">
      <c r="A17" s="17" t="s">
        <v>19</v>
      </c>
      <c r="B17" s="21">
        <v>8086.7720588235288</v>
      </c>
      <c r="C17" s="17">
        <v>1217.1934287330951</v>
      </c>
      <c r="D17" s="17">
        <v>6.6437855051851322</v>
      </c>
      <c r="E17" s="17">
        <v>7.8241600637276886E-6</v>
      </c>
      <c r="F17" s="17">
        <v>5492.3856782920302</v>
      </c>
      <c r="G17" s="17">
        <v>10681.158439355027</v>
      </c>
      <c r="H17" s="17">
        <v>5492.3856782920302</v>
      </c>
      <c r="I17" s="17">
        <v>10681.158439355027</v>
      </c>
      <c r="K17">
        <v>10</v>
      </c>
      <c r="L17">
        <f>Data!H11</f>
        <v>6806</v>
      </c>
      <c r="M17" s="34">
        <f t="shared" si="3"/>
        <v>7445.3259803921565</v>
      </c>
      <c r="N17" s="34">
        <f t="shared" si="4"/>
        <v>-639.32598039215645</v>
      </c>
      <c r="O17" s="34">
        <f t="shared" si="5"/>
        <v>7445.3259803921565</v>
      </c>
      <c r="P17" s="34">
        <f t="shared" si="6"/>
        <v>-64.144607843137251</v>
      </c>
      <c r="Q17" s="33">
        <f t="shared" si="7"/>
        <v>31.079137944463582</v>
      </c>
      <c r="R17" s="34">
        <f t="shared" si="8"/>
        <v>7907.4152581779454</v>
      </c>
      <c r="S17" s="34">
        <f t="shared" si="9"/>
        <v>-1101.4152581779454</v>
      </c>
      <c r="T17" s="34">
        <f t="shared" si="10"/>
        <v>16.183004087245745</v>
      </c>
      <c r="AA17" s="27"/>
    </row>
    <row r="18" spans="1:27" ht="15.75" thickBot="1" x14ac:dyDescent="0.3">
      <c r="A18" s="18" t="s">
        <v>32</v>
      </c>
      <c r="B18" s="22">
        <v>-64.144607843137251</v>
      </c>
      <c r="C18" s="18">
        <v>118.78591558931026</v>
      </c>
      <c r="D18" s="18">
        <v>-0.54000179671898518</v>
      </c>
      <c r="E18" s="18">
        <v>0.59712236926289819</v>
      </c>
      <c r="F18" s="18">
        <v>-317.33079364487429</v>
      </c>
      <c r="G18" s="18">
        <v>189.04157795859982</v>
      </c>
      <c r="H18" s="18">
        <v>-317.33079364487429</v>
      </c>
      <c r="I18" s="18">
        <v>189.04157795859982</v>
      </c>
      <c r="K18">
        <v>11</v>
      </c>
      <c r="L18">
        <f>Data!H12</f>
        <v>10446</v>
      </c>
      <c r="M18" s="34">
        <f t="shared" si="3"/>
        <v>7381.1813725490192</v>
      </c>
      <c r="N18" s="34">
        <f t="shared" si="4"/>
        <v>3064.8186274509808</v>
      </c>
      <c r="O18" s="34">
        <f t="shared" si="5"/>
        <v>7381.1813725490192</v>
      </c>
      <c r="P18" s="34">
        <f t="shared" si="6"/>
        <v>-64.144607843137251</v>
      </c>
      <c r="Q18" s="33">
        <f t="shared" si="7"/>
        <v>1948.3745445519769</v>
      </c>
      <c r="R18" s="34">
        <f t="shared" si="8"/>
        <v>8611.7828763920461</v>
      </c>
      <c r="S18" s="34">
        <f t="shared" si="9"/>
        <v>1834.2171236079539</v>
      </c>
      <c r="T18" s="34">
        <f t="shared" si="10"/>
        <v>17.559038135247501</v>
      </c>
    </row>
    <row r="19" spans="1:27" x14ac:dyDescent="0.25">
      <c r="K19" s="23">
        <v>12</v>
      </c>
      <c r="L19" s="23">
        <f>Data!H13</f>
        <v>7960</v>
      </c>
      <c r="M19" s="35">
        <f t="shared" si="3"/>
        <v>7317.036764705882</v>
      </c>
      <c r="N19" s="35">
        <f t="shared" si="4"/>
        <v>642.96323529411802</v>
      </c>
      <c r="O19" s="35">
        <f t="shared" si="5"/>
        <v>7317.036764705882</v>
      </c>
      <c r="P19" s="35">
        <f t="shared" si="6"/>
        <v>-64.144607843137251</v>
      </c>
      <c r="Q19" s="41">
        <f t="shared" si="7"/>
        <v>-14.357591432540431</v>
      </c>
      <c r="R19" s="35">
        <f t="shared" si="8"/>
        <v>6880.0810550623501</v>
      </c>
      <c r="S19" s="35">
        <f t="shared" si="9"/>
        <v>1079.9189449376499</v>
      </c>
      <c r="T19" s="35">
        <f t="shared" si="10"/>
        <v>13.566820916302136</v>
      </c>
    </row>
    <row r="20" spans="1:27" x14ac:dyDescent="0.25">
      <c r="K20">
        <v>13</v>
      </c>
      <c r="L20">
        <f>Data!H14</f>
        <v>7397</v>
      </c>
      <c r="M20" s="34">
        <f t="shared" si="3"/>
        <v>7252.8921568627447</v>
      </c>
      <c r="N20" s="34">
        <f t="shared" si="4"/>
        <v>144.10784313725526</v>
      </c>
      <c r="O20" s="34">
        <f t="shared" si="5"/>
        <v>7252.8921568627447</v>
      </c>
      <c r="P20" s="34">
        <f t="shared" si="6"/>
        <v>-64.144607843137251</v>
      </c>
      <c r="Q20" s="33">
        <f t="shared" si="7"/>
        <v>-988.08350229189716</v>
      </c>
      <c r="R20" s="34">
        <f t="shared" si="8"/>
        <v>5536.911541656008</v>
      </c>
      <c r="S20" s="34">
        <f t="shared" si="9"/>
        <v>1860.088458343992</v>
      </c>
      <c r="T20" s="34">
        <f t="shared" si="10"/>
        <v>25.146525055346654</v>
      </c>
    </row>
    <row r="21" spans="1:27" x14ac:dyDescent="0.25">
      <c r="K21">
        <v>14</v>
      </c>
      <c r="L21">
        <f>Data!H15</f>
        <v>9043</v>
      </c>
      <c r="M21" s="34">
        <f t="shared" si="3"/>
        <v>7188.7475490196075</v>
      </c>
      <c r="N21" s="34">
        <f t="shared" si="4"/>
        <v>1854.2524509803925</v>
      </c>
      <c r="O21" s="34">
        <f t="shared" si="5"/>
        <v>7188.7475490196075</v>
      </c>
      <c r="P21" s="34">
        <f t="shared" si="6"/>
        <v>-64.144607843137251</v>
      </c>
      <c r="Q21" s="33">
        <f t="shared" si="7"/>
        <v>744.53047137390524</v>
      </c>
      <c r="R21" s="34">
        <f t="shared" si="8"/>
        <v>7219.8266869640711</v>
      </c>
      <c r="S21" s="34">
        <f t="shared" si="9"/>
        <v>1823.1733130359289</v>
      </c>
      <c r="T21" s="34">
        <f t="shared" si="10"/>
        <v>20.161155734114001</v>
      </c>
    </row>
    <row r="22" spans="1:27" x14ac:dyDescent="0.25">
      <c r="K22">
        <v>15</v>
      </c>
      <c r="L22">
        <f>Data!H16</f>
        <v>11233</v>
      </c>
      <c r="M22" s="34">
        <f t="shared" si="3"/>
        <v>7124.6029411764703</v>
      </c>
      <c r="N22" s="34">
        <f t="shared" si="4"/>
        <v>4108.3970588235297</v>
      </c>
      <c r="O22" s="34">
        <f t="shared" si="5"/>
        <v>7124.6029411764703</v>
      </c>
      <c r="P22" s="34">
        <f t="shared" si="6"/>
        <v>-64.144607843137251</v>
      </c>
      <c r="Q22" s="33">
        <f t="shared" si="7"/>
        <v>2793.6430289170094</v>
      </c>
      <c r="R22" s="34">
        <f t="shared" si="8"/>
        <v>9072.9774857284465</v>
      </c>
      <c r="S22" s="34">
        <f t="shared" si="9"/>
        <v>2160.0225142715535</v>
      </c>
      <c r="T22" s="34">
        <f t="shared" si="10"/>
        <v>19.229257671784506</v>
      </c>
    </row>
    <row r="23" spans="1:27" x14ac:dyDescent="0.25">
      <c r="K23" s="23">
        <v>16</v>
      </c>
      <c r="L23" s="23">
        <f>Data!H17</f>
        <v>7496</v>
      </c>
      <c r="M23" s="35">
        <f t="shared" si="3"/>
        <v>7060.458333333333</v>
      </c>
      <c r="N23" s="35">
        <f t="shared" si="4"/>
        <v>435.54166666666697</v>
      </c>
      <c r="O23" s="35">
        <f t="shared" si="5"/>
        <v>7060.458333333333</v>
      </c>
      <c r="P23" s="35">
        <f t="shared" si="6"/>
        <v>-64.144607843137251</v>
      </c>
      <c r="Q23" s="41">
        <f t="shared" si="7"/>
        <v>161.69875126660838</v>
      </c>
      <c r="R23" s="35">
        <f t="shared" si="8"/>
        <v>7046.1007419007929</v>
      </c>
      <c r="S23" s="35">
        <f t="shared" si="9"/>
        <v>449.89925809920715</v>
      </c>
      <c r="T23" s="35">
        <f t="shared" si="10"/>
        <v>6.0018577654643428</v>
      </c>
    </row>
    <row r="24" spans="1:27" x14ac:dyDescent="0.25">
      <c r="K24">
        <v>17</v>
      </c>
      <c r="L24">
        <f>Data!H18</f>
        <v>384</v>
      </c>
      <c r="M24" s="34">
        <f t="shared" si="3"/>
        <v>6996.3137254901958</v>
      </c>
      <c r="N24" s="34">
        <f t="shared" si="4"/>
        <v>-6612.3137254901958</v>
      </c>
      <c r="O24" s="34">
        <f t="shared" si="5"/>
        <v>6996.3137254901958</v>
      </c>
      <c r="P24" s="34">
        <f t="shared" si="6"/>
        <v>-64.144607843137251</v>
      </c>
      <c r="Q24" s="33">
        <f t="shared" si="7"/>
        <v>-3188.9793379013099</v>
      </c>
      <c r="R24" s="34">
        <f t="shared" si="8"/>
        <v>6008.2302231982985</v>
      </c>
      <c r="S24" s="34">
        <f t="shared" si="9"/>
        <v>-5624.2302231982985</v>
      </c>
      <c r="T24" s="34">
        <f t="shared" si="10"/>
        <v>1464.6432872912235</v>
      </c>
    </row>
    <row r="25" spans="1:27" x14ac:dyDescent="0.25">
      <c r="K25">
        <v>18</v>
      </c>
      <c r="M25" s="34"/>
      <c r="N25" s="34"/>
      <c r="O25" s="34"/>
      <c r="P25" s="34"/>
      <c r="Q25" s="33"/>
      <c r="R25" s="48">
        <f t="shared" si="8"/>
        <v>7676.6995890209637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8">
        <f>$O$24+($P$24*2)+Q22</f>
        <v>9661.6675387209307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8">
        <f>$O$24+($P$24*3)+Q23</f>
        <v>6965.5786532273924</v>
      </c>
      <c r="S27" s="34"/>
      <c r="T27" s="34"/>
    </row>
    <row r="29" spans="1:27" ht="15.75" x14ac:dyDescent="0.25">
      <c r="K29" s="37" t="s">
        <v>53</v>
      </c>
      <c r="L29" s="36">
        <f>V10</f>
        <v>100.18295416922342</v>
      </c>
      <c r="M29" s="34"/>
      <c r="N29" s="37" t="s">
        <v>54</v>
      </c>
      <c r="O29" s="36">
        <f>V10</f>
        <v>100.18295416922342</v>
      </c>
      <c r="P29" s="34"/>
      <c r="Q29" s="37" t="s">
        <v>55</v>
      </c>
      <c r="R29" s="36">
        <f>V10</f>
        <v>100.18295416922342</v>
      </c>
    </row>
    <row r="30" spans="1:27" x14ac:dyDescent="0.25">
      <c r="K30" s="39">
        <v>0</v>
      </c>
      <c r="L30" s="34">
        <f t="dataTable" ref="L30:L50" dt2D="0" dtr="0" r1="G4" ca="1"/>
        <v>100.18295416922342</v>
      </c>
      <c r="M30" s="34"/>
      <c r="N30" s="39">
        <v>0</v>
      </c>
      <c r="O30" s="34">
        <f t="dataTable" ref="O30:O50" dt2D="0" dtr="0" r1="H4"/>
        <v>100.18295416922342</v>
      </c>
      <c r="P30" s="34"/>
      <c r="Q30" s="39">
        <v>0</v>
      </c>
      <c r="R30" s="34">
        <f t="dataTable" ref="R30:R50" dt2D="0" dtr="0" r1="I4" ca="1"/>
        <v>80.365682748100539</v>
      </c>
    </row>
    <row r="31" spans="1:27" x14ac:dyDescent="0.25">
      <c r="K31" s="39">
        <v>0.05</v>
      </c>
      <c r="L31" s="34">
        <v>104.06244434209107</v>
      </c>
      <c r="M31" s="34"/>
      <c r="N31" s="39">
        <v>0.05</v>
      </c>
      <c r="O31" s="34">
        <v>100.18295416922342</v>
      </c>
      <c r="P31" s="34"/>
      <c r="Q31" s="39">
        <v>0.05</v>
      </c>
      <c r="R31" s="34">
        <v>84.13308810103598</v>
      </c>
    </row>
    <row r="32" spans="1:27" x14ac:dyDescent="0.25">
      <c r="K32" s="39">
        <v>0.1</v>
      </c>
      <c r="L32" s="34">
        <v>107.19901238386448</v>
      </c>
      <c r="M32" s="34"/>
      <c r="N32" s="39">
        <v>0.1</v>
      </c>
      <c r="O32" s="34">
        <v>100.18295416922342</v>
      </c>
      <c r="P32" s="34"/>
      <c r="Q32" s="39">
        <v>0.1</v>
      </c>
      <c r="R32" s="34">
        <v>87.431934604328262</v>
      </c>
    </row>
    <row r="33" spans="11:18" x14ac:dyDescent="0.25">
      <c r="K33" s="39">
        <v>0.15</v>
      </c>
      <c r="L33" s="34">
        <v>109.63678540465142</v>
      </c>
      <c r="M33" s="34"/>
      <c r="N33" s="39">
        <v>0.15</v>
      </c>
      <c r="O33" s="34">
        <v>100.18295416922342</v>
      </c>
      <c r="P33" s="34"/>
      <c r="Q33" s="39">
        <v>0.15</v>
      </c>
      <c r="R33" s="34">
        <v>90.320877968722115</v>
      </c>
    </row>
    <row r="34" spans="11:18" x14ac:dyDescent="0.25">
      <c r="K34" s="39">
        <v>0.2</v>
      </c>
      <c r="L34" s="34">
        <v>111.25144126374741</v>
      </c>
      <c r="M34" s="34"/>
      <c r="N34" s="39">
        <v>0.2</v>
      </c>
      <c r="O34" s="34">
        <v>100.18295416922342</v>
      </c>
      <c r="P34" s="34"/>
      <c r="Q34" s="39">
        <v>0.2</v>
      </c>
      <c r="R34" s="34">
        <v>92.855466718498462</v>
      </c>
    </row>
    <row r="35" spans="11:18" x14ac:dyDescent="0.25">
      <c r="K35" s="39">
        <v>0.25</v>
      </c>
      <c r="L35" s="34">
        <v>112.15074887071923</v>
      </c>
      <c r="M35" s="34"/>
      <c r="N35" s="39">
        <v>0.25</v>
      </c>
      <c r="O35" s="34">
        <v>100.18295416922342</v>
      </c>
      <c r="P35" s="34"/>
      <c r="Q35" s="39">
        <v>0.25</v>
      </c>
      <c r="R35" s="34">
        <v>95.088142191474603</v>
      </c>
    </row>
    <row r="36" spans="11:18" x14ac:dyDescent="0.25">
      <c r="K36" s="39">
        <v>0.3</v>
      </c>
      <c r="L36" s="34">
        <v>112.43869631805401</v>
      </c>
      <c r="M36" s="34"/>
      <c r="N36" s="39">
        <v>0.3</v>
      </c>
      <c r="O36" s="34">
        <v>100.18295416922342</v>
      </c>
      <c r="P36" s="34"/>
      <c r="Q36" s="39">
        <v>0.3</v>
      </c>
      <c r="R36" s="34">
        <v>97.068238539003985</v>
      </c>
    </row>
    <row r="37" spans="11:18" x14ac:dyDescent="0.25">
      <c r="K37" s="39">
        <v>0.35</v>
      </c>
      <c r="L37" s="34">
        <v>112.20779761936524</v>
      </c>
      <c r="M37" s="34"/>
      <c r="N37" s="39">
        <v>0.35</v>
      </c>
      <c r="O37" s="34">
        <v>100.18295416922342</v>
      </c>
      <c r="P37" s="34"/>
      <c r="Q37" s="39">
        <v>0.35</v>
      </c>
      <c r="R37" s="34">
        <v>98.841982725976351</v>
      </c>
    </row>
    <row r="38" spans="11:18" x14ac:dyDescent="0.25">
      <c r="K38" s="39">
        <v>0.4</v>
      </c>
      <c r="L38" s="34">
        <v>111.6292149535801</v>
      </c>
      <c r="M38" s="34"/>
      <c r="N38" s="39">
        <v>0.4</v>
      </c>
      <c r="O38" s="34">
        <v>100.18295416922342</v>
      </c>
      <c r="P38" s="34"/>
      <c r="Q38" s="39">
        <v>0.4</v>
      </c>
      <c r="R38" s="34">
        <v>100.4524945308177</v>
      </c>
    </row>
    <row r="39" spans="11:18" x14ac:dyDescent="0.25">
      <c r="K39" s="39">
        <v>0.45</v>
      </c>
      <c r="L39" s="34">
        <v>110.68115302412451</v>
      </c>
      <c r="M39" s="34"/>
      <c r="N39" s="39">
        <v>0.45</v>
      </c>
      <c r="O39" s="34">
        <v>100.18295416922342</v>
      </c>
      <c r="P39" s="34"/>
      <c r="Q39" s="39">
        <v>0.45</v>
      </c>
      <c r="R39" s="34">
        <v>101.93978654549031</v>
      </c>
    </row>
    <row r="40" spans="11:18" x14ac:dyDescent="0.25">
      <c r="K40" s="39">
        <v>0.5</v>
      </c>
      <c r="L40" s="34">
        <v>109.3905843250643</v>
      </c>
      <c r="M40" s="34"/>
      <c r="N40" s="39">
        <v>0.5</v>
      </c>
      <c r="O40" s="34">
        <v>100.18295416922342</v>
      </c>
      <c r="P40" s="34"/>
      <c r="Q40" s="39">
        <v>0.5</v>
      </c>
      <c r="R40" s="34">
        <v>103.34076417549269</v>
      </c>
    </row>
    <row r="41" spans="11:18" x14ac:dyDescent="0.25">
      <c r="K41" s="39">
        <v>0.55000000000000004</v>
      </c>
      <c r="L41" s="34">
        <v>107.78820967297679</v>
      </c>
      <c r="M41" s="34"/>
      <c r="N41" s="39">
        <v>0.55000000000000004</v>
      </c>
      <c r="O41" s="34">
        <v>100.18295416922342</v>
      </c>
      <c r="P41" s="34"/>
      <c r="Q41" s="39">
        <v>0.55000000000000004</v>
      </c>
      <c r="R41" s="34">
        <v>104.68922563985969</v>
      </c>
    </row>
    <row r="42" spans="11:18" x14ac:dyDescent="0.25">
      <c r="K42" s="39">
        <v>0.6</v>
      </c>
      <c r="L42" s="34">
        <v>105.89997038726084</v>
      </c>
      <c r="M42" s="34"/>
      <c r="N42" s="39">
        <v>0.6</v>
      </c>
      <c r="O42" s="34">
        <v>100.18295416922342</v>
      </c>
      <c r="P42" s="34"/>
      <c r="Q42" s="39">
        <v>0.6</v>
      </c>
      <c r="R42" s="34">
        <v>106.01586197116225</v>
      </c>
    </row>
    <row r="43" spans="11:18" x14ac:dyDescent="0.25">
      <c r="K43" s="39">
        <v>0.65</v>
      </c>
      <c r="L43" s="34">
        <v>103.92395907553876</v>
      </c>
      <c r="M43" s="34"/>
      <c r="N43" s="39">
        <v>0.65</v>
      </c>
      <c r="O43" s="34">
        <v>100.18295416922342</v>
      </c>
      <c r="P43" s="34"/>
      <c r="Q43" s="39">
        <v>0.65</v>
      </c>
      <c r="R43" s="34">
        <v>107.34825701550777</v>
      </c>
    </row>
    <row r="44" spans="11:18" x14ac:dyDescent="0.25">
      <c r="K44" s="39">
        <v>0.7</v>
      </c>
      <c r="L44" s="34">
        <v>102.01447899456096</v>
      </c>
      <c r="M44" s="34"/>
      <c r="N44" s="39">
        <v>0.7</v>
      </c>
      <c r="O44" s="34">
        <v>100.18295416922342</v>
      </c>
      <c r="P44" s="34"/>
      <c r="Q44" s="39">
        <v>0.7</v>
      </c>
      <c r="R44" s="34">
        <v>108.71088743253974</v>
      </c>
    </row>
    <row r="45" spans="11:18" x14ac:dyDescent="0.25">
      <c r="K45" s="39">
        <v>0.75</v>
      </c>
      <c r="L45" s="34">
        <v>99.986704814789135</v>
      </c>
      <c r="M45" s="34"/>
      <c r="N45" s="39">
        <v>0.75</v>
      </c>
      <c r="O45" s="34">
        <v>100.18295416922342</v>
      </c>
      <c r="P45" s="34"/>
      <c r="Q45" s="39">
        <v>0.75</v>
      </c>
      <c r="R45" s="34">
        <v>110.12512269543807</v>
      </c>
    </row>
    <row r="46" spans="11:18" x14ac:dyDescent="0.25">
      <c r="K46" s="39">
        <v>0.8</v>
      </c>
      <c r="L46" s="34">
        <v>97.924671900737536</v>
      </c>
      <c r="M46" s="34"/>
      <c r="N46" s="39">
        <v>0.8</v>
      </c>
      <c r="O46" s="34">
        <v>100.18295416922342</v>
      </c>
      <c r="P46" s="34"/>
      <c r="Q46" s="39">
        <v>0.8</v>
      </c>
      <c r="R46" s="34">
        <v>111.6092250909188</v>
      </c>
    </row>
    <row r="47" spans="11:18" x14ac:dyDescent="0.25">
      <c r="K47" s="39">
        <v>0.85</v>
      </c>
      <c r="L47" s="34">
        <v>95.846047871591765</v>
      </c>
      <c r="M47" s="34"/>
      <c r="N47" s="39">
        <v>0.85</v>
      </c>
      <c r="O47" s="34">
        <v>100.18295416922342</v>
      </c>
      <c r="P47" s="34"/>
      <c r="Q47" s="39">
        <v>0.85</v>
      </c>
      <c r="R47" s="34">
        <v>113.21119975318929</v>
      </c>
    </row>
    <row r="48" spans="11:18" x14ac:dyDescent="0.25">
      <c r="K48" s="39">
        <v>0.9</v>
      </c>
      <c r="L48" s="34">
        <v>93.825923659173128</v>
      </c>
      <c r="M48" s="34"/>
      <c r="N48" s="39">
        <v>0.9</v>
      </c>
      <c r="O48" s="34">
        <v>100.18295416922342</v>
      </c>
      <c r="P48" s="34"/>
      <c r="Q48" s="39">
        <v>0.9</v>
      </c>
      <c r="R48" s="34">
        <v>114.97382976696446</v>
      </c>
    </row>
    <row r="49" spans="11:18" x14ac:dyDescent="0.25">
      <c r="K49" s="39">
        <v>0.95</v>
      </c>
      <c r="L49" s="34">
        <v>92.082903729861371</v>
      </c>
      <c r="M49" s="34"/>
      <c r="N49" s="39">
        <v>0.95</v>
      </c>
      <c r="O49" s="34">
        <v>100.18295416922342</v>
      </c>
      <c r="P49" s="34"/>
      <c r="Q49" s="39">
        <v>0.95</v>
      </c>
      <c r="R49" s="34">
        <v>116.84376279904102</v>
      </c>
    </row>
    <row r="50" spans="11:18" x14ac:dyDescent="0.25">
      <c r="K50" s="39">
        <v>1</v>
      </c>
      <c r="L50" s="34">
        <v>90.513450149112387</v>
      </c>
      <c r="M50" s="34"/>
      <c r="N50" s="39">
        <v>1</v>
      </c>
      <c r="O50" s="34">
        <v>100.18295416922342</v>
      </c>
      <c r="P50" s="34"/>
      <c r="Q50" s="39">
        <v>1</v>
      </c>
      <c r="R50" s="34">
        <v>118.82634099498466</v>
      </c>
    </row>
  </sheetData>
  <mergeCells count="1">
    <mergeCell ref="Z3:AA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7" tint="0.59999389629810485"/>
  </sheetPr>
  <dimension ref="A1:AA50"/>
  <sheetViews>
    <sheetView zoomScale="70" zoomScaleNormal="70" workbookViewId="0">
      <selection activeCell="P26" sqref="P26"/>
    </sheetView>
  </sheetViews>
  <sheetFormatPr defaultRowHeight="15" x14ac:dyDescent="0.25"/>
  <cols>
    <col min="1" max="1" width="19.28515625" bestFit="1" customWidth="1"/>
    <col min="2" max="2" width="13" bestFit="1" customWidth="1"/>
    <col min="3" max="3" width="14.5703125" bestFit="1" customWidth="1"/>
    <col min="4" max="5" width="13" bestFit="1" customWidth="1"/>
    <col min="6" max="6" width="13.85546875" bestFit="1" customWidth="1"/>
    <col min="7" max="7" width="13" bestFit="1" customWidth="1"/>
    <col min="8" max="9" width="13.140625" bestFit="1" customWidth="1"/>
    <col min="11" max="11" width="12.140625" bestFit="1" customWidth="1"/>
    <col min="12" max="12" width="6.85546875" bestFit="1" customWidth="1"/>
    <col min="13" max="13" width="9.28515625" bestFit="1" customWidth="1"/>
    <col min="14" max="14" width="12.5703125" bestFit="1" customWidth="1"/>
    <col min="15" max="15" width="11.7109375" bestFit="1" customWidth="1"/>
    <col min="16" max="16" width="12" bestFit="1" customWidth="1"/>
    <col min="17" max="17" width="15.28515625" bestFit="1" customWidth="1"/>
    <col min="18" max="18" width="9.28515625" bestFit="1" customWidth="1"/>
    <col min="19" max="19" width="10.7109375" bestFit="1" customWidth="1"/>
    <col min="20" max="20" width="6.85546875" bestFit="1" customWidth="1"/>
    <col min="22" max="22" width="11.5703125" bestFit="1" customWidth="1"/>
    <col min="23" max="23" width="10.140625" customWidth="1"/>
    <col min="24" max="24" width="11.140625" bestFit="1" customWidth="1"/>
    <col min="26" max="26" width="3.42578125" bestFit="1" customWidth="1"/>
    <col min="27" max="27" width="13.140625" customWidth="1"/>
  </cols>
  <sheetData>
    <row r="1" spans="1:27" x14ac:dyDescent="0.25">
      <c r="A1" t="s">
        <v>9</v>
      </c>
    </row>
    <row r="2" spans="1:27" ht="15.75" thickBot="1" x14ac:dyDescent="0.3"/>
    <row r="3" spans="1:27" ht="16.5" thickBot="1" x14ac:dyDescent="0.3">
      <c r="A3" s="20" t="s">
        <v>10</v>
      </c>
      <c r="B3" s="20"/>
      <c r="G3" s="32" t="s">
        <v>53</v>
      </c>
      <c r="H3" s="32" t="s">
        <v>54</v>
      </c>
      <c r="I3" s="32" t="s">
        <v>55</v>
      </c>
      <c r="K3" s="3" t="s">
        <v>33</v>
      </c>
      <c r="L3" s="3" t="s">
        <v>34</v>
      </c>
      <c r="M3" s="38" t="s">
        <v>35</v>
      </c>
      <c r="N3" s="3" t="s">
        <v>36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V3" s="3" t="s">
        <v>37</v>
      </c>
      <c r="W3" s="4" t="s">
        <v>38</v>
      </c>
      <c r="X3" s="3" t="s">
        <v>39</v>
      </c>
      <c r="Z3" s="55" t="s">
        <v>46</v>
      </c>
      <c r="AA3" s="55"/>
    </row>
    <row r="4" spans="1:27" ht="19.5" thickBot="1" x14ac:dyDescent="0.4">
      <c r="A4" s="17" t="s">
        <v>11</v>
      </c>
      <c r="B4" s="17">
        <v>0.3249171059946579</v>
      </c>
      <c r="G4" s="46">
        <v>0.87403304551920491</v>
      </c>
      <c r="H4" s="46">
        <v>0</v>
      </c>
      <c r="I4" s="46">
        <v>0</v>
      </c>
      <c r="K4">
        <v>-3</v>
      </c>
      <c r="Q4" s="31">
        <f>AA6</f>
        <v>-2757.1375000000003</v>
      </c>
      <c r="V4" s="40">
        <f>AVERAGE(N8,N12,N16,N20,N24)</f>
        <v>-2594.9529411764706</v>
      </c>
      <c r="W4" s="40">
        <f>AVERAGE(V4:V7)</f>
        <v>162.18455882352958</v>
      </c>
      <c r="X4" s="40">
        <f>V4-$W$4</f>
        <v>-2757.1375000000003</v>
      </c>
      <c r="Z4" s="24" t="s">
        <v>40</v>
      </c>
      <c r="AA4" s="28">
        <f>B17</f>
        <v>3621.2279411764716</v>
      </c>
    </row>
    <row r="5" spans="1:27" ht="18.75" x14ac:dyDescent="0.35">
      <c r="A5" s="17" t="s">
        <v>12</v>
      </c>
      <c r="B5" s="17">
        <v>0.10557112576794374</v>
      </c>
      <c r="K5">
        <v>-2</v>
      </c>
      <c r="Q5" s="31">
        <f t="shared" ref="Q5:Q7" si="0">AA7</f>
        <v>759.33749999999986</v>
      </c>
      <c r="V5" s="40">
        <f>AVERAGE(N9,N13,N17,N21)</f>
        <v>921.52205882352951</v>
      </c>
      <c r="W5" s="40"/>
      <c r="X5" s="40">
        <f t="shared" ref="X5:X7" si="1">V5-$W$4</f>
        <v>759.33749999999986</v>
      </c>
      <c r="Z5" s="25" t="s">
        <v>41</v>
      </c>
      <c r="AA5" s="29">
        <f>B18</f>
        <v>159.12499999999986</v>
      </c>
    </row>
    <row r="6" spans="1:27" ht="18.75" x14ac:dyDescent="0.35">
      <c r="A6" s="17" t="s">
        <v>13</v>
      </c>
      <c r="B6" s="17">
        <v>4.5942534152473319E-2</v>
      </c>
      <c r="K6">
        <v>-1</v>
      </c>
      <c r="Q6" s="31">
        <f t="shared" si="0"/>
        <v>2667.4625000000001</v>
      </c>
      <c r="V6" s="40">
        <f>AVERAGE(N10,N14,N18,N22)</f>
        <v>2829.6470588235297</v>
      </c>
      <c r="W6" s="40"/>
      <c r="X6" s="40">
        <f t="shared" si="1"/>
        <v>2667.4625000000001</v>
      </c>
      <c r="Z6" s="26" t="s">
        <v>42</v>
      </c>
      <c r="AA6" s="30">
        <f>X4</f>
        <v>-2757.1375000000003</v>
      </c>
    </row>
    <row r="7" spans="1:27" ht="18.75" x14ac:dyDescent="0.35">
      <c r="A7" s="17" t="s">
        <v>14</v>
      </c>
      <c r="B7" s="17">
        <v>2415.5898590524139</v>
      </c>
      <c r="K7">
        <v>0</v>
      </c>
      <c r="O7" s="31">
        <f>AA4</f>
        <v>3621.2279411764716</v>
      </c>
      <c r="P7" s="31">
        <f>AA5</f>
        <v>159.12499999999986</v>
      </c>
      <c r="Q7" s="31">
        <f t="shared" si="0"/>
        <v>-669.66249999999991</v>
      </c>
      <c r="V7" s="40">
        <f>AVERAGE(N11,N15,N19,N23)</f>
        <v>-507.47794117647027</v>
      </c>
      <c r="W7" s="40"/>
      <c r="X7" s="40">
        <f t="shared" si="1"/>
        <v>-669.66249999999991</v>
      </c>
      <c r="Z7" s="26" t="s">
        <v>43</v>
      </c>
      <c r="AA7" s="30">
        <f t="shared" ref="AA7:AA9" si="2">X5</f>
        <v>759.33749999999986</v>
      </c>
    </row>
    <row r="8" spans="1:27" ht="19.5" thickBot="1" x14ac:dyDescent="0.4">
      <c r="A8" s="18" t="s">
        <v>15</v>
      </c>
      <c r="B8" s="18">
        <v>17</v>
      </c>
      <c r="K8">
        <v>1</v>
      </c>
      <c r="L8">
        <f>Data!I2</f>
        <v>842</v>
      </c>
      <c r="M8" s="34">
        <f>$B$17+$B$18*K8</f>
        <v>3780.3529411764716</v>
      </c>
      <c r="N8" s="34">
        <f>L8-M8</f>
        <v>-2938.3529411764716</v>
      </c>
      <c r="O8" s="34">
        <f>$G$4*(L8-Q4)+((1-$G$4)*(O7+P7))</f>
        <v>3621.9646572298939</v>
      </c>
      <c r="P8" s="34">
        <f>$H$4*(O8-O7)+((1-$H$4)*P7)</f>
        <v>159.12499999999986</v>
      </c>
      <c r="Q8" s="33">
        <f>$I$4*(L8-O8)+((1-$I$4)*Q4)</f>
        <v>-2757.1375000000003</v>
      </c>
      <c r="R8" s="34">
        <f>SUM(O7,P7,Q4)</f>
        <v>1023.2154411764714</v>
      </c>
      <c r="S8" s="34">
        <f>L8-R8</f>
        <v>-181.21544117647136</v>
      </c>
      <c r="T8" s="34">
        <f>ABS(S8/L8)*100</f>
        <v>21.522023892692559</v>
      </c>
      <c r="Z8" s="26" t="s">
        <v>44</v>
      </c>
      <c r="AA8" s="30">
        <f t="shared" si="2"/>
        <v>2667.4625000000001</v>
      </c>
    </row>
    <row r="9" spans="1:27" ht="18.75" x14ac:dyDescent="0.35">
      <c r="K9">
        <v>2</v>
      </c>
      <c r="L9">
        <f>Data!I3</f>
        <v>3050</v>
      </c>
      <c r="M9" s="34">
        <f t="shared" ref="M9:M24" si="3">$B$17+$B$18*K9</f>
        <v>3939.4779411764712</v>
      </c>
      <c r="N9" s="34">
        <f t="shared" ref="N9:N24" si="4">L9-M9</f>
        <v>-889.47794117647118</v>
      </c>
      <c r="O9" s="34">
        <f t="shared" ref="O9:O24" si="5">$G$4*(L9-Q5)+((1-$G$4)*(O8+P8))</f>
        <v>2478.4070698717192</v>
      </c>
      <c r="P9" s="34">
        <f t="shared" ref="P9:P24" si="6">$H$4*(O9-O8)+((1-$H$4)*P8)</f>
        <v>159.12499999999986</v>
      </c>
      <c r="Q9" s="33">
        <f t="shared" ref="Q9:Q24" si="7">$I$4*(L9-O9)+((1-$I$4)*Q5)</f>
        <v>759.33749999999986</v>
      </c>
      <c r="R9" s="34">
        <f t="shared" ref="R9:R25" si="8">SUM(O8,P8,Q5)</f>
        <v>4540.427157229894</v>
      </c>
      <c r="S9" s="34">
        <f t="shared" ref="S9:S24" si="9">L9-R9</f>
        <v>-1490.427157229894</v>
      </c>
      <c r="T9" s="34">
        <f t="shared" ref="T9:T24" si="10">ABS(S9/L9)*100</f>
        <v>48.866464171471932</v>
      </c>
      <c r="V9" s="3" t="s">
        <v>56</v>
      </c>
      <c r="W9" s="3" t="s">
        <v>57</v>
      </c>
      <c r="X9" s="3" t="s">
        <v>58</v>
      </c>
      <c r="Z9" s="26" t="s">
        <v>45</v>
      </c>
      <c r="AA9" s="30">
        <f t="shared" si="2"/>
        <v>-669.66249999999991</v>
      </c>
    </row>
    <row r="10" spans="1:27" ht="16.5" thickBot="1" x14ac:dyDescent="0.3">
      <c r="A10" t="s">
        <v>16</v>
      </c>
      <c r="K10">
        <v>3</v>
      </c>
      <c r="L10">
        <f>Data!I4</f>
        <v>5736</v>
      </c>
      <c r="M10" s="34">
        <f t="shared" si="3"/>
        <v>4098.6029411764712</v>
      </c>
      <c r="N10" s="34">
        <f t="shared" si="4"/>
        <v>1637.3970588235288</v>
      </c>
      <c r="O10" s="34">
        <f t="shared" si="5"/>
        <v>3014.245058602055</v>
      </c>
      <c r="P10" s="34">
        <f t="shared" si="6"/>
        <v>159.12499999999986</v>
      </c>
      <c r="Q10" s="33">
        <f t="shared" si="7"/>
        <v>2667.4625000000001</v>
      </c>
      <c r="R10" s="34">
        <f t="shared" si="8"/>
        <v>5304.9945698717192</v>
      </c>
      <c r="S10" s="34">
        <f t="shared" si="9"/>
        <v>431.00543012828075</v>
      </c>
      <c r="T10" s="34">
        <f t="shared" si="10"/>
        <v>7.514041668903082</v>
      </c>
      <c r="V10" s="34">
        <f>AVERAGE(T8:T24)</f>
        <v>18.557154387365507</v>
      </c>
      <c r="W10" s="34">
        <f>SUMPRODUCT(ABS(S8:S24))/17</f>
        <v>826.38725080589666</v>
      </c>
      <c r="X10" s="2"/>
      <c r="Z10" s="26"/>
      <c r="AA10" s="27"/>
    </row>
    <row r="11" spans="1:27" ht="15.75" x14ac:dyDescent="0.25">
      <c r="A11" s="19"/>
      <c r="B11" s="19" t="s">
        <v>20</v>
      </c>
      <c r="C11" s="19" t="s">
        <v>21</v>
      </c>
      <c r="D11" s="19" t="s">
        <v>22</v>
      </c>
      <c r="E11" s="19" t="s">
        <v>23</v>
      </c>
      <c r="F11" s="19" t="s">
        <v>24</v>
      </c>
      <c r="K11" s="23">
        <v>4</v>
      </c>
      <c r="L11" s="23">
        <f>Data!I5</f>
        <v>4414</v>
      </c>
      <c r="M11" s="35">
        <f t="shared" si="3"/>
        <v>4257.7279411764712</v>
      </c>
      <c r="N11" s="35">
        <f t="shared" si="4"/>
        <v>156.27205882352882</v>
      </c>
      <c r="O11" s="35">
        <f t="shared" si="5"/>
        <v>4843.0287789894192</v>
      </c>
      <c r="P11" s="35">
        <f t="shared" si="6"/>
        <v>159.12499999999986</v>
      </c>
      <c r="Q11" s="41">
        <f t="shared" si="7"/>
        <v>-669.66249999999991</v>
      </c>
      <c r="R11" s="35">
        <f t="shared" si="8"/>
        <v>2503.7075586020551</v>
      </c>
      <c r="S11" s="35">
        <f t="shared" si="9"/>
        <v>1910.2924413979449</v>
      </c>
      <c r="T11" s="35">
        <f t="shared" si="10"/>
        <v>43.278034467556523</v>
      </c>
      <c r="Z11" s="26"/>
      <c r="AA11" s="27"/>
    </row>
    <row r="12" spans="1:27" ht="15.75" x14ac:dyDescent="0.25">
      <c r="A12" s="17" t="s">
        <v>17</v>
      </c>
      <c r="B12" s="17">
        <v>1</v>
      </c>
      <c r="C12" s="17">
        <v>10330872.37500003</v>
      </c>
      <c r="D12" s="17">
        <v>10330872.37500003</v>
      </c>
      <c r="E12" s="17">
        <v>1.7704782707051847</v>
      </c>
      <c r="F12" s="17">
        <v>0.20319778694668575</v>
      </c>
      <c r="K12">
        <v>5</v>
      </c>
      <c r="L12">
        <f>Data!I6</f>
        <v>2536</v>
      </c>
      <c r="M12" s="34">
        <f t="shared" si="3"/>
        <v>4416.8529411764712</v>
      </c>
      <c r="N12" s="34">
        <f t="shared" si="4"/>
        <v>-1880.8529411764712</v>
      </c>
      <c r="O12" s="34">
        <f t="shared" si="5"/>
        <v>5256.4831668608085</v>
      </c>
      <c r="P12" s="34">
        <f t="shared" si="6"/>
        <v>159.12499999999986</v>
      </c>
      <c r="Q12" s="33">
        <f t="shared" si="7"/>
        <v>-2757.1375000000003</v>
      </c>
      <c r="R12" s="34">
        <f t="shared" si="8"/>
        <v>2245.0162789894189</v>
      </c>
      <c r="S12" s="34">
        <f t="shared" si="9"/>
        <v>290.98372101058112</v>
      </c>
      <c r="T12" s="34">
        <f t="shared" si="10"/>
        <v>11.474121490953513</v>
      </c>
      <c r="Z12" s="26"/>
      <c r="AA12" s="27"/>
    </row>
    <row r="13" spans="1:27" ht="15.75" x14ac:dyDescent="0.25">
      <c r="A13" s="17" t="s">
        <v>18</v>
      </c>
      <c r="B13" s="17">
        <v>15</v>
      </c>
      <c r="C13" s="17">
        <v>87526115.507352918</v>
      </c>
      <c r="D13" s="17">
        <v>5835074.3671568613</v>
      </c>
      <c r="E13" s="17"/>
      <c r="F13" s="17"/>
      <c r="K13">
        <v>6</v>
      </c>
      <c r="L13">
        <f>Data!I7</f>
        <v>6740</v>
      </c>
      <c r="M13" s="34">
        <f t="shared" si="3"/>
        <v>4575.9779411764703</v>
      </c>
      <c r="N13" s="34">
        <f t="shared" si="4"/>
        <v>2164.0220588235297</v>
      </c>
      <c r="O13" s="34">
        <f t="shared" si="5"/>
        <v>5909.4843265382797</v>
      </c>
      <c r="P13" s="34">
        <f t="shared" si="6"/>
        <v>159.12499999999986</v>
      </c>
      <c r="Q13" s="33">
        <f t="shared" si="7"/>
        <v>759.33749999999986</v>
      </c>
      <c r="R13" s="34">
        <f t="shared" si="8"/>
        <v>6174.9456668608082</v>
      </c>
      <c r="S13" s="34">
        <f t="shared" si="9"/>
        <v>565.05433313919184</v>
      </c>
      <c r="T13" s="34">
        <f t="shared" si="10"/>
        <v>8.3835954471690179</v>
      </c>
      <c r="Z13" s="26"/>
      <c r="AA13" s="27"/>
    </row>
    <row r="14" spans="1:27" ht="16.5" thickBot="1" x14ac:dyDescent="0.3">
      <c r="A14" s="18" t="s">
        <v>7</v>
      </c>
      <c r="B14" s="18">
        <v>16</v>
      </c>
      <c r="C14" s="18">
        <v>97856987.882352948</v>
      </c>
      <c r="D14" s="18"/>
      <c r="E14" s="18"/>
      <c r="F14" s="18"/>
      <c r="K14">
        <v>7</v>
      </c>
      <c r="L14">
        <f>Data!I8</f>
        <v>6454</v>
      </c>
      <c r="M14" s="34">
        <f t="shared" si="3"/>
        <v>4735.1029411764703</v>
      </c>
      <c r="N14" s="34">
        <f t="shared" si="4"/>
        <v>1718.8970588235297</v>
      </c>
      <c r="O14" s="34">
        <f t="shared" si="5"/>
        <v>4074.0031378954523</v>
      </c>
      <c r="P14" s="34">
        <f t="shared" si="6"/>
        <v>159.12499999999986</v>
      </c>
      <c r="Q14" s="33">
        <f t="shared" si="7"/>
        <v>2667.4625000000001</v>
      </c>
      <c r="R14" s="34">
        <f t="shared" si="8"/>
        <v>8736.0718265382802</v>
      </c>
      <c r="S14" s="34">
        <f t="shared" si="9"/>
        <v>-2282.0718265382802</v>
      </c>
      <c r="T14" s="34">
        <f t="shared" si="10"/>
        <v>35.35903047006942</v>
      </c>
      <c r="AA14" s="27"/>
    </row>
    <row r="15" spans="1:27" ht="16.5" thickBot="1" x14ac:dyDescent="0.3">
      <c r="K15" s="23">
        <v>8</v>
      </c>
      <c r="L15" s="23">
        <f>Data!I9</f>
        <v>4676</v>
      </c>
      <c r="M15" s="35">
        <f t="shared" si="3"/>
        <v>4894.2279411764703</v>
      </c>
      <c r="N15" s="35">
        <f t="shared" si="4"/>
        <v>-218.22794117647027</v>
      </c>
      <c r="O15" s="35">
        <f t="shared" si="5"/>
        <v>5205.519934650456</v>
      </c>
      <c r="P15" s="35">
        <f t="shared" si="6"/>
        <v>159.12499999999986</v>
      </c>
      <c r="Q15" s="41">
        <f t="shared" si="7"/>
        <v>-669.66249999999991</v>
      </c>
      <c r="R15" s="35">
        <f t="shared" si="8"/>
        <v>3563.4656378954519</v>
      </c>
      <c r="S15" s="35">
        <f t="shared" si="9"/>
        <v>1112.5343621045481</v>
      </c>
      <c r="T15" s="35">
        <f t="shared" si="10"/>
        <v>23.792437170755949</v>
      </c>
      <c r="AA15" s="27"/>
    </row>
    <row r="16" spans="1:27" ht="15.75" x14ac:dyDescent="0.25">
      <c r="A16" s="19"/>
      <c r="B16" s="19" t="s">
        <v>25</v>
      </c>
      <c r="C16" s="19" t="s">
        <v>14</v>
      </c>
      <c r="D16" s="19" t="s">
        <v>26</v>
      </c>
      <c r="E16" s="19" t="s">
        <v>27</v>
      </c>
      <c r="F16" s="19" t="s">
        <v>28</v>
      </c>
      <c r="G16" s="19" t="s">
        <v>29</v>
      </c>
      <c r="H16" s="19" t="s">
        <v>30</v>
      </c>
      <c r="I16" s="19" t="s">
        <v>31</v>
      </c>
      <c r="K16">
        <v>9</v>
      </c>
      <c r="L16">
        <f>Data!I10</f>
        <v>2948</v>
      </c>
      <c r="M16" s="34">
        <f t="shared" si="3"/>
        <v>5053.3529411764703</v>
      </c>
      <c r="N16" s="34">
        <f t="shared" si="4"/>
        <v>-2105.3529411764703</v>
      </c>
      <c r="O16" s="34">
        <f t="shared" si="5"/>
        <v>5662.2466885195654</v>
      </c>
      <c r="P16" s="34">
        <f t="shared" si="6"/>
        <v>159.12499999999986</v>
      </c>
      <c r="Q16" s="33">
        <f t="shared" si="7"/>
        <v>-2757.1375000000003</v>
      </c>
      <c r="R16" s="34">
        <f t="shared" si="8"/>
        <v>2607.5074346504557</v>
      </c>
      <c r="S16" s="34">
        <f t="shared" si="9"/>
        <v>340.49256534954429</v>
      </c>
      <c r="T16" s="34">
        <f t="shared" si="10"/>
        <v>11.549951334787799</v>
      </c>
      <c r="AA16" s="27"/>
    </row>
    <row r="17" spans="1:27" ht="15.75" x14ac:dyDescent="0.25">
      <c r="A17" s="17" t="s">
        <v>19</v>
      </c>
      <c r="B17" s="21">
        <v>3621.2279411764716</v>
      </c>
      <c r="C17" s="17">
        <v>1225.4279050075736</v>
      </c>
      <c r="D17" s="17">
        <v>2.9550722048834781</v>
      </c>
      <c r="E17" s="17">
        <v>9.8315434648057667E-3</v>
      </c>
      <c r="F17" s="17">
        <v>1009.2901899318126</v>
      </c>
      <c r="G17" s="17">
        <v>6233.1656924211311</v>
      </c>
      <c r="H17" s="17">
        <v>1009.2901899318126</v>
      </c>
      <c r="I17" s="17">
        <v>6233.1656924211311</v>
      </c>
      <c r="K17">
        <v>10</v>
      </c>
      <c r="L17">
        <f>Data!I11</f>
        <v>6424</v>
      </c>
      <c r="M17" s="34">
        <f t="shared" si="3"/>
        <v>5212.4779411764703</v>
      </c>
      <c r="N17" s="34">
        <f t="shared" si="4"/>
        <v>1211.5220588235297</v>
      </c>
      <c r="O17" s="34">
        <f t="shared" si="5"/>
        <v>5684.402679216967</v>
      </c>
      <c r="P17" s="34">
        <f t="shared" si="6"/>
        <v>159.12499999999986</v>
      </c>
      <c r="Q17" s="33">
        <f t="shared" si="7"/>
        <v>759.33749999999986</v>
      </c>
      <c r="R17" s="34">
        <f t="shared" si="8"/>
        <v>6580.709188519565</v>
      </c>
      <c r="S17" s="34">
        <f t="shared" si="9"/>
        <v>-156.70918851956503</v>
      </c>
      <c r="T17" s="34">
        <f t="shared" si="10"/>
        <v>2.4394331961327063</v>
      </c>
      <c r="AA17" s="27"/>
    </row>
    <row r="18" spans="1:27" ht="15.75" thickBot="1" x14ac:dyDescent="0.3">
      <c r="A18" s="18" t="s">
        <v>32</v>
      </c>
      <c r="B18" s="22">
        <v>159.12499999999986</v>
      </c>
      <c r="C18" s="18">
        <v>119.58951818900591</v>
      </c>
      <c r="D18" s="18">
        <v>1.3305932025623672</v>
      </c>
      <c r="E18" s="18">
        <v>0.20319778694668683</v>
      </c>
      <c r="F18" s="18">
        <v>-95.774024197669149</v>
      </c>
      <c r="G18" s="18">
        <v>414.02402419766884</v>
      </c>
      <c r="H18" s="18">
        <v>-95.774024197669149</v>
      </c>
      <c r="I18" s="18">
        <v>414.02402419766884</v>
      </c>
      <c r="K18">
        <v>11</v>
      </c>
      <c r="L18">
        <f>Data!I12</f>
        <v>9666</v>
      </c>
      <c r="M18" s="34">
        <f t="shared" si="3"/>
        <v>5371.6029411764703</v>
      </c>
      <c r="N18" s="34">
        <f t="shared" si="4"/>
        <v>4294.3970588235297</v>
      </c>
      <c r="O18" s="34">
        <f t="shared" si="5"/>
        <v>6853.0444304805533</v>
      </c>
      <c r="P18" s="34">
        <f t="shared" si="6"/>
        <v>159.12499999999986</v>
      </c>
      <c r="Q18" s="33">
        <f t="shared" si="7"/>
        <v>2667.4625000000001</v>
      </c>
      <c r="R18" s="34">
        <f t="shared" si="8"/>
        <v>8510.9901792169676</v>
      </c>
      <c r="S18" s="34">
        <f t="shared" si="9"/>
        <v>1155.0098207830324</v>
      </c>
      <c r="T18" s="34">
        <f t="shared" si="10"/>
        <v>11.949201539240972</v>
      </c>
    </row>
    <row r="19" spans="1:27" x14ac:dyDescent="0.25">
      <c r="K19" s="23">
        <v>12</v>
      </c>
      <c r="L19" s="23">
        <f>Data!I13</f>
        <v>5754</v>
      </c>
      <c r="M19" s="35">
        <f t="shared" si="3"/>
        <v>5530.7279411764703</v>
      </c>
      <c r="N19" s="35">
        <f t="shared" si="4"/>
        <v>223.27205882352973</v>
      </c>
      <c r="O19" s="35">
        <f t="shared" si="5"/>
        <v>6497.7949257234759</v>
      </c>
      <c r="P19" s="35">
        <f t="shared" si="6"/>
        <v>159.12499999999986</v>
      </c>
      <c r="Q19" s="41">
        <f t="shared" si="7"/>
        <v>-669.66249999999991</v>
      </c>
      <c r="R19" s="35">
        <f t="shared" si="8"/>
        <v>6342.5069304805529</v>
      </c>
      <c r="S19" s="35">
        <f t="shared" si="9"/>
        <v>-588.50693048055291</v>
      </c>
      <c r="T19" s="35">
        <f t="shared" si="10"/>
        <v>10.227788155727371</v>
      </c>
    </row>
    <row r="20" spans="1:27" x14ac:dyDescent="0.25">
      <c r="K20">
        <v>13</v>
      </c>
      <c r="L20">
        <f>Data!I14</f>
        <v>3609</v>
      </c>
      <c r="M20" s="34">
        <f t="shared" si="3"/>
        <v>5689.8529411764703</v>
      </c>
      <c r="N20" s="34">
        <f t="shared" si="4"/>
        <v>-2080.8529411764703</v>
      </c>
      <c r="O20" s="34">
        <f t="shared" si="5"/>
        <v>6402.766476584924</v>
      </c>
      <c r="P20" s="34">
        <f t="shared" si="6"/>
        <v>159.12499999999986</v>
      </c>
      <c r="Q20" s="33">
        <f t="shared" si="7"/>
        <v>-2757.1375000000003</v>
      </c>
      <c r="R20" s="34">
        <f t="shared" si="8"/>
        <v>3899.7824257234756</v>
      </c>
      <c r="S20" s="34">
        <f t="shared" si="9"/>
        <v>-290.78242572347563</v>
      </c>
      <c r="T20" s="34">
        <f t="shared" si="10"/>
        <v>8.0571467365884075</v>
      </c>
    </row>
    <row r="21" spans="1:27" x14ac:dyDescent="0.25">
      <c r="K21">
        <v>14</v>
      </c>
      <c r="L21">
        <f>Data!I15</f>
        <v>7049</v>
      </c>
      <c r="M21" s="34">
        <f t="shared" si="3"/>
        <v>5848.9779411764703</v>
      </c>
      <c r="N21" s="34">
        <f t="shared" si="4"/>
        <v>1200.0220588235297</v>
      </c>
      <c r="O21" s="34">
        <f t="shared" si="5"/>
        <v>6323.9543551018269</v>
      </c>
      <c r="P21" s="34">
        <f t="shared" si="6"/>
        <v>159.12499999999986</v>
      </c>
      <c r="Q21" s="33">
        <f t="shared" si="7"/>
        <v>759.33749999999986</v>
      </c>
      <c r="R21" s="34">
        <f t="shared" si="8"/>
        <v>7321.2289765849237</v>
      </c>
      <c r="S21" s="34">
        <f t="shared" si="9"/>
        <v>-272.22897658492366</v>
      </c>
      <c r="T21" s="34">
        <f t="shared" si="10"/>
        <v>3.8619517177603013</v>
      </c>
    </row>
    <row r="22" spans="1:27" x14ac:dyDescent="0.25">
      <c r="K22">
        <v>15</v>
      </c>
      <c r="L22">
        <f>Data!I16</f>
        <v>9676</v>
      </c>
      <c r="M22" s="34">
        <f t="shared" si="3"/>
        <v>6008.1029411764694</v>
      </c>
      <c r="N22" s="34">
        <f t="shared" si="4"/>
        <v>3667.8970588235306</v>
      </c>
      <c r="O22" s="34">
        <f t="shared" si="5"/>
        <v>6942.3471377800488</v>
      </c>
      <c r="P22" s="34">
        <f t="shared" si="6"/>
        <v>159.12499999999986</v>
      </c>
      <c r="Q22" s="33">
        <f t="shared" si="7"/>
        <v>2667.4625000000001</v>
      </c>
      <c r="R22" s="34">
        <f t="shared" si="8"/>
        <v>9150.5418551018265</v>
      </c>
      <c r="S22" s="34">
        <f t="shared" si="9"/>
        <v>525.45814489817349</v>
      </c>
      <c r="T22" s="34">
        <f t="shared" si="10"/>
        <v>5.4305306417752535</v>
      </c>
    </row>
    <row r="23" spans="1:27" x14ac:dyDescent="0.25">
      <c r="K23" s="23">
        <v>16</v>
      </c>
      <c r="L23" s="23">
        <f>Data!I17</f>
        <v>3976</v>
      </c>
      <c r="M23" s="35">
        <f t="shared" si="3"/>
        <v>6167.2279411764694</v>
      </c>
      <c r="N23" s="35">
        <f t="shared" si="4"/>
        <v>-2191.2279411764694</v>
      </c>
      <c r="O23" s="35">
        <f t="shared" si="5"/>
        <v>4955.0133608557371</v>
      </c>
      <c r="P23" s="35">
        <f t="shared" si="6"/>
        <v>159.12499999999986</v>
      </c>
      <c r="Q23" s="41">
        <f t="shared" si="7"/>
        <v>-669.66249999999991</v>
      </c>
      <c r="R23" s="35">
        <f t="shared" si="8"/>
        <v>6431.8096377800484</v>
      </c>
      <c r="S23" s="35">
        <f t="shared" si="9"/>
        <v>-2455.8096377800484</v>
      </c>
      <c r="T23" s="35">
        <f t="shared" si="10"/>
        <v>61.765835960262784</v>
      </c>
    </row>
    <row r="24" spans="1:27" x14ac:dyDescent="0.25">
      <c r="K24">
        <v>17</v>
      </c>
      <c r="L24">
        <f>Data!I18</f>
        <v>2357</v>
      </c>
      <c r="M24" s="34">
        <f t="shared" si="3"/>
        <v>6326.3529411764694</v>
      </c>
      <c r="N24" s="34">
        <f t="shared" si="4"/>
        <v>-3969.3529411764694</v>
      </c>
      <c r="O24" s="34">
        <f t="shared" si="5"/>
        <v>5114.137608439376</v>
      </c>
      <c r="P24" s="34">
        <f t="shared" si="6"/>
        <v>159.12499999999986</v>
      </c>
      <c r="Q24" s="33">
        <f t="shared" si="7"/>
        <v>-2757.1375000000003</v>
      </c>
      <c r="R24" s="34">
        <f t="shared" si="8"/>
        <v>2357.0008608557368</v>
      </c>
      <c r="S24" s="34">
        <f t="shared" si="9"/>
        <v>-8.6085573684613337E-4</v>
      </c>
      <c r="T24" s="34">
        <f t="shared" si="10"/>
        <v>3.6523366009594116E-5</v>
      </c>
    </row>
    <row r="25" spans="1:27" x14ac:dyDescent="0.25">
      <c r="K25">
        <v>18</v>
      </c>
      <c r="M25" s="34"/>
      <c r="N25" s="34"/>
      <c r="O25" s="34"/>
      <c r="P25" s="34"/>
      <c r="Q25" s="33"/>
      <c r="R25" s="48">
        <f t="shared" si="8"/>
        <v>6032.6001084393756</v>
      </c>
      <c r="S25" s="34"/>
      <c r="T25" s="34"/>
    </row>
    <row r="26" spans="1:27" x14ac:dyDescent="0.25">
      <c r="K26">
        <v>19</v>
      </c>
      <c r="M26" s="34"/>
      <c r="N26" s="34"/>
      <c r="O26" s="34"/>
      <c r="P26" s="34"/>
      <c r="Q26" s="33"/>
      <c r="R26" s="48">
        <f>$O$24+($P$24*2)+Q22</f>
        <v>8099.8501084393756</v>
      </c>
      <c r="S26" s="34"/>
      <c r="T26" s="34"/>
    </row>
    <row r="27" spans="1:27" x14ac:dyDescent="0.25">
      <c r="K27">
        <v>20</v>
      </c>
      <c r="M27" s="34"/>
      <c r="N27" s="34"/>
      <c r="O27" s="34"/>
      <c r="P27" s="34"/>
      <c r="Q27" s="33"/>
      <c r="R27" s="48">
        <f>$O$24+($P$24*3)+Q23</f>
        <v>4921.8501084393756</v>
      </c>
      <c r="S27" s="34"/>
      <c r="T27" s="34"/>
    </row>
    <row r="29" spans="1:27" ht="15.75" x14ac:dyDescent="0.25">
      <c r="K29" s="37" t="s">
        <v>53</v>
      </c>
      <c r="L29" s="36">
        <f>V10</f>
        <v>18.557154387365507</v>
      </c>
      <c r="M29" s="34"/>
      <c r="N29" s="37" t="s">
        <v>54</v>
      </c>
      <c r="O29" s="36">
        <f>V10</f>
        <v>18.557154387365507</v>
      </c>
      <c r="P29" s="34"/>
      <c r="Q29" s="37" t="s">
        <v>55</v>
      </c>
      <c r="R29" s="36">
        <f>V10</f>
        <v>18.557154387365507</v>
      </c>
    </row>
    <row r="30" spans="1:27" x14ac:dyDescent="0.25">
      <c r="K30" s="39">
        <v>0</v>
      </c>
      <c r="L30" s="34">
        <f t="dataTable" ref="L30:L50" dt2D="0" dtr="0" r1="G4" ca="1"/>
        <v>22.266181002413152</v>
      </c>
      <c r="M30" s="34"/>
      <c r="N30" s="39">
        <v>0</v>
      </c>
      <c r="O30" s="34">
        <f t="dataTable" ref="O30:O50" dt2D="0" dtr="0" r1="H4"/>
        <v>18.557154387365507</v>
      </c>
      <c r="P30" s="34"/>
      <c r="Q30" s="39">
        <v>0</v>
      </c>
      <c r="R30" s="34">
        <f t="dataTable" ref="R30:R50" dt2D="0" dtr="0" r1="I4" ca="1"/>
        <v>18.557154387365507</v>
      </c>
    </row>
    <row r="31" spans="1:27" x14ac:dyDescent="0.25">
      <c r="K31" s="39">
        <v>0.05</v>
      </c>
      <c r="L31" s="34">
        <v>22.611511386463381</v>
      </c>
      <c r="M31" s="34"/>
      <c r="N31" s="39">
        <v>0.05</v>
      </c>
      <c r="O31" s="34">
        <v>19.080014214555334</v>
      </c>
      <c r="P31" s="34"/>
      <c r="Q31" s="39">
        <v>0.05</v>
      </c>
      <c r="R31" s="34">
        <v>18.638925314393049</v>
      </c>
    </row>
    <row r="32" spans="1:27" x14ac:dyDescent="0.25">
      <c r="K32" s="39">
        <v>0.1</v>
      </c>
      <c r="L32" s="34">
        <v>22.555467955579335</v>
      </c>
      <c r="M32" s="34"/>
      <c r="N32" s="39">
        <v>0.1</v>
      </c>
      <c r="O32" s="34">
        <v>19.559285711263691</v>
      </c>
      <c r="P32" s="34"/>
      <c r="Q32" s="39">
        <v>0.1</v>
      </c>
      <c r="R32" s="34">
        <v>18.718967684534061</v>
      </c>
    </row>
    <row r="33" spans="11:18" x14ac:dyDescent="0.25">
      <c r="K33" s="39">
        <v>0.15</v>
      </c>
      <c r="L33" s="34">
        <v>22.370320319064977</v>
      </c>
      <c r="M33" s="34"/>
      <c r="N33" s="39">
        <v>0.15</v>
      </c>
      <c r="O33" s="34">
        <v>19.994104149706629</v>
      </c>
      <c r="P33" s="34"/>
      <c r="Q33" s="39">
        <v>0.15</v>
      </c>
      <c r="R33" s="34">
        <v>18.797282817484053</v>
      </c>
    </row>
    <row r="34" spans="11:18" x14ac:dyDescent="0.25">
      <c r="K34" s="39">
        <v>0.2</v>
      </c>
      <c r="L34" s="34">
        <v>22.092839488155096</v>
      </c>
      <c r="M34" s="34"/>
      <c r="N34" s="39">
        <v>0.2</v>
      </c>
      <c r="O34" s="34">
        <v>20.38877322326336</v>
      </c>
      <c r="P34" s="34"/>
      <c r="Q34" s="39">
        <v>0.2</v>
      </c>
      <c r="R34" s="34">
        <v>18.873876312724455</v>
      </c>
    </row>
    <row r="35" spans="11:18" x14ac:dyDescent="0.25">
      <c r="K35" s="39">
        <v>0.25</v>
      </c>
      <c r="L35" s="34">
        <v>21.803255393539363</v>
      </c>
      <c r="M35" s="34"/>
      <c r="N35" s="39">
        <v>0.25</v>
      </c>
      <c r="O35" s="34">
        <v>20.749725475857886</v>
      </c>
      <c r="P35" s="34"/>
      <c r="Q35" s="39">
        <v>0.25</v>
      </c>
      <c r="R35" s="34">
        <v>18.948753752656057</v>
      </c>
    </row>
    <row r="36" spans="11:18" x14ac:dyDescent="0.25">
      <c r="K36" s="39">
        <v>0.3</v>
      </c>
      <c r="L36" s="34">
        <v>21.603584071706916</v>
      </c>
      <c r="M36" s="34"/>
      <c r="N36" s="39">
        <v>0.3</v>
      </c>
      <c r="O36" s="34">
        <v>21.291249792337354</v>
      </c>
      <c r="P36" s="34"/>
      <c r="Q36" s="39">
        <v>0.3</v>
      </c>
      <c r="R36" s="34">
        <v>19.021920702598987</v>
      </c>
    </row>
    <row r="37" spans="11:18" x14ac:dyDescent="0.25">
      <c r="K37" s="39">
        <v>0.35</v>
      </c>
      <c r="L37" s="34">
        <v>21.323283862650328</v>
      </c>
      <c r="M37" s="34"/>
      <c r="N37" s="39">
        <v>0.35</v>
      </c>
      <c r="O37" s="34">
        <v>22.010381020992224</v>
      </c>
      <c r="P37" s="34"/>
      <c r="Q37" s="39">
        <v>0.35</v>
      </c>
      <c r="R37" s="34">
        <v>19.093382710792714</v>
      </c>
    </row>
    <row r="38" spans="11:18" x14ac:dyDescent="0.25">
      <c r="K38" s="39">
        <v>0.4</v>
      </c>
      <c r="L38" s="34">
        <v>21.000174567955838</v>
      </c>
      <c r="M38" s="34"/>
      <c r="N38" s="39">
        <v>0.4</v>
      </c>
      <c r="O38" s="34">
        <v>22.738291923165999</v>
      </c>
      <c r="P38" s="34"/>
      <c r="Q38" s="39">
        <v>0.4</v>
      </c>
      <c r="R38" s="34">
        <v>19.163145308396054</v>
      </c>
    </row>
    <row r="39" spans="11:18" x14ac:dyDescent="0.25">
      <c r="K39" s="39">
        <v>0.45</v>
      </c>
      <c r="L39" s="34">
        <v>20.770284989966463</v>
      </c>
      <c r="M39" s="34"/>
      <c r="N39" s="39">
        <v>0.45</v>
      </c>
      <c r="O39" s="34">
        <v>23.540125800216092</v>
      </c>
      <c r="P39" s="34"/>
      <c r="Q39" s="39">
        <v>0.45</v>
      </c>
      <c r="R39" s="34">
        <v>19.231214009487203</v>
      </c>
    </row>
    <row r="40" spans="11:18" x14ac:dyDescent="0.25">
      <c r="K40" s="39">
        <v>0.5</v>
      </c>
      <c r="L40" s="34">
        <v>20.500444685333285</v>
      </c>
      <c r="M40" s="34"/>
      <c r="N40" s="39">
        <v>0.5</v>
      </c>
      <c r="O40" s="34">
        <v>24.3721194068047</v>
      </c>
      <c r="P40" s="34"/>
      <c r="Q40" s="39">
        <v>0.5</v>
      </c>
      <c r="R40" s="34">
        <v>19.297594311063648</v>
      </c>
    </row>
    <row r="41" spans="11:18" x14ac:dyDescent="0.25">
      <c r="K41" s="39">
        <v>0.55000000000000004</v>
      </c>
      <c r="L41" s="34">
        <v>20.199931771911615</v>
      </c>
      <c r="M41" s="34"/>
      <c r="N41" s="39">
        <v>0.55000000000000004</v>
      </c>
      <c r="O41" s="34">
        <v>25.183416233013201</v>
      </c>
      <c r="P41" s="34"/>
      <c r="Q41" s="39">
        <v>0.55000000000000004</v>
      </c>
      <c r="R41" s="34">
        <v>19.362291693042284</v>
      </c>
    </row>
    <row r="42" spans="11:18" x14ac:dyDescent="0.25">
      <c r="K42" s="39">
        <v>0.6</v>
      </c>
      <c r="L42" s="34">
        <v>19.905628914771462</v>
      </c>
      <c r="M42" s="34"/>
      <c r="N42" s="39">
        <v>0.6</v>
      </c>
      <c r="O42" s="34">
        <v>25.966591157977792</v>
      </c>
      <c r="P42" s="34"/>
      <c r="Q42" s="39">
        <v>0.6</v>
      </c>
      <c r="R42" s="34">
        <v>19.425311618259279</v>
      </c>
    </row>
    <row r="43" spans="11:18" x14ac:dyDescent="0.25">
      <c r="K43" s="39">
        <v>0.65</v>
      </c>
      <c r="L43" s="34">
        <v>19.737664899553813</v>
      </c>
      <c r="M43" s="34"/>
      <c r="N43" s="39">
        <v>0.65</v>
      </c>
      <c r="O43" s="34">
        <v>26.715378031538776</v>
      </c>
      <c r="P43" s="34"/>
      <c r="Q43" s="39">
        <v>0.65</v>
      </c>
      <c r="R43" s="34">
        <v>19.486659532470224</v>
      </c>
    </row>
    <row r="44" spans="11:18" x14ac:dyDescent="0.25">
      <c r="K44" s="39">
        <v>0.7</v>
      </c>
      <c r="L44" s="34">
        <v>19.535297335650533</v>
      </c>
      <c r="M44" s="34"/>
      <c r="N44" s="39">
        <v>0.7</v>
      </c>
      <c r="O44" s="34">
        <v>27.424886289950216</v>
      </c>
      <c r="P44" s="34"/>
      <c r="Q44" s="39">
        <v>0.7</v>
      </c>
      <c r="R44" s="34">
        <v>19.546340864350007</v>
      </c>
    </row>
    <row r="45" spans="11:18" x14ac:dyDescent="0.25">
      <c r="K45" s="39">
        <v>0.75</v>
      </c>
      <c r="L45" s="34">
        <v>19.29807741794481</v>
      </c>
      <c r="M45" s="34"/>
      <c r="N45" s="39">
        <v>0.75</v>
      </c>
      <c r="O45" s="34">
        <v>28.147943455563247</v>
      </c>
      <c r="P45" s="34"/>
      <c r="Q45" s="39">
        <v>0.75</v>
      </c>
      <c r="R45" s="34">
        <v>19.604361025492899</v>
      </c>
    </row>
    <row r="46" spans="11:18" x14ac:dyDescent="0.25">
      <c r="K46" s="39">
        <v>0.8</v>
      </c>
      <c r="L46" s="34">
        <v>19.025588358987974</v>
      </c>
      <c r="M46" s="34"/>
      <c r="N46" s="39">
        <v>0.8</v>
      </c>
      <c r="O46" s="34">
        <v>28.824822868169051</v>
      </c>
      <c r="P46" s="34"/>
      <c r="Q46" s="39">
        <v>0.8</v>
      </c>
      <c r="R46" s="34">
        <v>19.660725410412468</v>
      </c>
    </row>
    <row r="47" spans="11:18" x14ac:dyDescent="0.25">
      <c r="K47" s="39">
        <v>0.85</v>
      </c>
      <c r="L47" s="34">
        <v>18.71769337646387</v>
      </c>
      <c r="M47" s="34"/>
      <c r="N47" s="39">
        <v>0.85</v>
      </c>
      <c r="O47" s="34">
        <v>29.450941350390924</v>
      </c>
      <c r="P47" s="34"/>
      <c r="Q47" s="39">
        <v>0.85</v>
      </c>
      <c r="R47" s="34">
        <v>19.715439396541694</v>
      </c>
    </row>
    <row r="48" spans="11:18" x14ac:dyDescent="0.25">
      <c r="K48" s="39">
        <v>0.9</v>
      </c>
      <c r="L48" s="34">
        <v>18.686501945935959</v>
      </c>
      <c r="M48" s="34"/>
      <c r="N48" s="39">
        <v>0.9</v>
      </c>
      <c r="O48" s="34">
        <v>30.024993771141595</v>
      </c>
      <c r="P48" s="34"/>
      <c r="Q48" s="39">
        <v>0.9</v>
      </c>
      <c r="R48" s="34">
        <v>19.768508344232828</v>
      </c>
    </row>
    <row r="49" spans="11:18" x14ac:dyDescent="0.25">
      <c r="K49" s="39">
        <v>0.95</v>
      </c>
      <c r="L49" s="34">
        <v>18.91842737690579</v>
      </c>
      <c r="M49" s="34"/>
      <c r="N49" s="39">
        <v>0.95</v>
      </c>
      <c r="O49" s="34">
        <v>30.546464119712976</v>
      </c>
      <c r="P49" s="34"/>
      <c r="Q49" s="39">
        <v>0.95</v>
      </c>
      <c r="R49" s="34">
        <v>19.819937596757534</v>
      </c>
    </row>
    <row r="50" spans="11:18" x14ac:dyDescent="0.25">
      <c r="K50" s="39">
        <v>1</v>
      </c>
      <c r="L50" s="34">
        <v>19.129471258652181</v>
      </c>
      <c r="M50" s="34"/>
      <c r="N50" s="39">
        <v>1</v>
      </c>
      <c r="O50" s="34">
        <v>31.331517285892694</v>
      </c>
      <c r="P50" s="34"/>
      <c r="Q50" s="39">
        <v>1</v>
      </c>
      <c r="R50" s="34">
        <v>19.869732480306791</v>
      </c>
    </row>
  </sheetData>
  <mergeCells count="1">
    <mergeCell ref="Z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Charts</vt:lpstr>
      <vt:lpstr>Total X</vt:lpstr>
      <vt:lpstr>PVB (12-720) X</vt:lpstr>
      <vt:lpstr>PVB (34-720) X</vt:lpstr>
      <vt:lpstr>PVB (1-720) X</vt:lpstr>
      <vt:lpstr>PVB (34-420) X</vt:lpstr>
      <vt:lpstr>PVB (1-420) X</vt:lpstr>
      <vt:lpstr>PVB (12-720) +</vt:lpstr>
      <vt:lpstr>PVB (34-720) +</vt:lpstr>
      <vt:lpstr>PVB (1-720) +</vt:lpstr>
      <vt:lpstr>PVB (34-420) +</vt:lpstr>
      <vt:lpstr>PVB (1-420) 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2021-08-09T07:30:21Z</dcterms:modified>
</cp:coreProperties>
</file>