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PHM\ITHIM\ITHIM-R_bogota\"/>
    </mc:Choice>
  </mc:AlternateContent>
  <xr:revisionPtr revIDLastSave="0" documentId="13_ncr:1_{49183DB0-057E-419D-8850-0E00F6DD0C06}" xr6:coauthVersionLast="47" xr6:coauthVersionMax="47" xr10:uidLastSave="{00000000-0000-0000-0000-000000000000}"/>
  <bookViews>
    <workbookView xWindow="-120" yWindow="-120" windowWidth="29040" windowHeight="15840" firstSheet="2" activeTab="4"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2" l="1"/>
  <c r="C5" i="2"/>
  <c r="C6" i="2" s="1"/>
  <c r="C7" i="2" s="1"/>
  <c r="B27" i="5"/>
  <c r="G103" i="10" a="1"/>
  <c r="F103" i="10" a="1"/>
  <c r="H103" i="10" a="1"/>
  <c r="E103" i="10" a="1"/>
  <c r="G103" i="10" l="1"/>
  <c r="F103" i="10"/>
  <c r="J103" i="10" s="1"/>
  <c r="E103" i="10"/>
  <c r="H103" i="10"/>
  <c r="D103" i="10" l="1"/>
  <c r="C103" i="10"/>
  <c r="C47" i="24" l="1"/>
  <c r="E23" i="2" l="1"/>
  <c r="E20" i="2"/>
  <c r="C23" i="2"/>
  <c r="C70" i="26"/>
  <c r="C69" i="26"/>
  <c r="C68" i="26"/>
  <c r="C67" i="26"/>
  <c r="B33" i="5" l="1"/>
  <c r="B34" i="5"/>
  <c r="B35" i="5"/>
  <c r="B36" i="5"/>
  <c r="B37" i="5"/>
  <c r="B38" i="5"/>
  <c r="B39" i="5"/>
  <c r="C11" i="2"/>
  <c r="C12" i="2" s="1"/>
  <c r="C13" i="2" s="1"/>
  <c r="D11" i="2"/>
  <c r="E11" i="2"/>
  <c r="G11" i="2"/>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40"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9" i="5"/>
  <c r="B108" i="5"/>
  <c r="B111" i="5"/>
  <c r="B112" i="5"/>
  <c r="B106" i="5"/>
  <c r="B99" i="5"/>
  <c r="B100" i="5"/>
  <c r="B101" i="5"/>
  <c r="B102" i="5"/>
  <c r="B103" i="5"/>
  <c r="B104" i="5"/>
  <c r="B105" i="5"/>
  <c r="C59" i="2"/>
  <c r="D59" i="2"/>
  <c r="E59" i="2"/>
  <c r="E102" i="10" a="1"/>
  <c r="G102" i="10" a="1"/>
  <c r="F102" i="10" a="1"/>
  <c r="H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7" i="5"/>
  <c r="B58" i="5"/>
  <c r="C44" i="26"/>
  <c r="C46" i="26"/>
  <c r="C45" i="26"/>
  <c r="C43" i="26"/>
  <c r="D102" i="10" l="1"/>
  <c r="J102" i="10"/>
  <c r="C102" i="10"/>
  <c r="C42" i="26" l="1"/>
  <c r="C41" i="26"/>
  <c r="C40" i="26"/>
  <c r="C39" i="26"/>
  <c r="C38" i="26"/>
  <c r="C37" i="26"/>
  <c r="C36" i="26"/>
  <c r="C35" i="26"/>
  <c r="B55"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2" i="5" l="1"/>
  <c r="B93" i="5"/>
  <c r="B114" i="5"/>
  <c r="B113" i="5"/>
  <c r="B96" i="5"/>
  <c r="B97" i="5"/>
  <c r="B98" i="5"/>
  <c r="B94" i="5"/>
  <c r="B45" i="5"/>
  <c r="B47" i="5"/>
  <c r="B48" i="5"/>
  <c r="B49" i="5"/>
  <c r="B50" i="5"/>
  <c r="B51" i="5"/>
  <c r="B52" i="5"/>
  <c r="B53" i="5"/>
  <c r="B54" i="5"/>
  <c r="B56" i="5"/>
  <c r="B59" i="5"/>
  <c r="B60" i="5"/>
  <c r="B44" i="5"/>
  <c r="C65" i="2"/>
  <c r="D65" i="2"/>
  <c r="E65" i="2"/>
  <c r="C66" i="2"/>
  <c r="D66" i="2"/>
  <c r="E66" i="2"/>
  <c r="C67" i="2"/>
  <c r="D67" i="2"/>
  <c r="E67" i="2"/>
  <c r="C68" i="2"/>
  <c r="D68" i="2"/>
  <c r="E68" i="2"/>
  <c r="C69" i="2"/>
  <c r="D69" i="2"/>
  <c r="E69" i="2"/>
  <c r="C70" i="2"/>
  <c r="D70" i="2"/>
  <c r="E70" i="2"/>
  <c r="B31" i="5"/>
  <c r="B32" i="5"/>
  <c r="B42" i="5"/>
  <c r="B43" i="5"/>
  <c r="B30" i="5"/>
  <c r="B29"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H99" i="10" a="1"/>
  <c r="E96" i="10" a="1"/>
  <c r="H96" i="10" a="1"/>
  <c r="H93" i="10" a="1"/>
  <c r="H101" i="10" a="1"/>
  <c r="E97" i="10" a="1"/>
  <c r="F93" i="10" a="1"/>
  <c r="G96" i="10" a="1"/>
  <c r="E90" i="10" a="1"/>
  <c r="G94" i="10" a="1"/>
  <c r="E101" i="10" a="1"/>
  <c r="F95" i="10" a="1"/>
  <c r="E98" i="10" a="1"/>
  <c r="E100" i="10" a="1"/>
  <c r="E99" i="10" a="1"/>
  <c r="F99" i="10" a="1"/>
  <c r="G93" i="10" a="1"/>
  <c r="E93" i="10" a="1"/>
  <c r="H95" i="10" a="1"/>
  <c r="G100" i="10" a="1"/>
  <c r="E94" i="10" a="1"/>
  <c r="F98" i="10" a="1"/>
  <c r="G99" i="10" a="1"/>
  <c r="G97" i="10" a="1"/>
  <c r="H100" i="10" a="1"/>
  <c r="H94" i="10" a="1"/>
  <c r="H98" i="10" a="1"/>
  <c r="F96" i="10" a="1"/>
  <c r="G101" i="10" a="1"/>
  <c r="F101" i="10" a="1"/>
  <c r="F97" i="10" a="1"/>
  <c r="F100" i="10" a="1"/>
  <c r="H97" i="10" a="1"/>
  <c r="G95" i="10" a="1"/>
  <c r="G98" i="10" a="1"/>
  <c r="E95" i="10" a="1"/>
  <c r="F94" i="10" a="1"/>
  <c r="F23" i="2" l="1"/>
  <c r="K103" i="10"/>
  <c r="I103" i="10"/>
  <c r="H32" i="2"/>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E97" i="10"/>
  <c r="E95" i="10"/>
  <c r="G100" i="10"/>
  <c r="E98" i="10"/>
  <c r="F98" i="10"/>
  <c r="E101" i="10"/>
  <c r="G98" i="10"/>
  <c r="E96" i="10"/>
  <c r="C96" i="10" l="1"/>
  <c r="K96" i="10" s="1"/>
  <c r="C100" i="10"/>
  <c r="K100" i="10" s="1"/>
  <c r="D96" i="10"/>
  <c r="C101" i="10"/>
  <c r="K101" i="10" s="1"/>
  <c r="D101" i="10"/>
  <c r="D95" i="10"/>
  <c r="C93" i="10"/>
  <c r="K93" i="10" s="1"/>
  <c r="C95" i="10"/>
  <c r="K95" i="10" s="1"/>
  <c r="C98" i="10"/>
  <c r="I98" i="10" s="1"/>
  <c r="J97" i="10"/>
  <c r="D97" i="10"/>
  <c r="D99" i="10"/>
  <c r="D98" i="10"/>
  <c r="J98" i="10"/>
  <c r="J93" i="10"/>
  <c r="D93" i="10"/>
  <c r="C97" i="10"/>
  <c r="J94" i="10"/>
  <c r="D94" i="10"/>
  <c r="J100" i="10"/>
  <c r="D100" i="10"/>
  <c r="C99" i="10"/>
  <c r="C94" i="10"/>
  <c r="I96" i="10" l="1"/>
  <c r="I100" i="10"/>
  <c r="I93" i="10"/>
  <c r="I101" i="10"/>
  <c r="K98" i="10"/>
  <c r="I95" i="10"/>
  <c r="K94" i="10"/>
  <c r="I94" i="10"/>
  <c r="K97" i="10"/>
  <c r="I97" i="10"/>
  <c r="I99" i="10"/>
  <c r="K99" i="10"/>
  <c r="H68" i="10" a="1"/>
  <c r="H61" i="10" a="1"/>
  <c r="G68" i="10" a="1"/>
  <c r="E80" i="10" a="1"/>
  <c r="H76" i="10" a="1"/>
  <c r="E53" i="10" a="1"/>
  <c r="G8" i="10" a="1"/>
  <c r="H71" i="10" a="1"/>
  <c r="F54" i="10" a="1"/>
  <c r="H73" i="10" a="1"/>
  <c r="G13" i="10" a="1"/>
  <c r="E83" i="10" a="1"/>
  <c r="E55" i="10" a="1"/>
  <c r="E89" i="10" a="1"/>
  <c r="H11" i="10" a="1"/>
  <c r="H82" i="10" a="1"/>
  <c r="G63" i="10" a="1"/>
  <c r="H14" i="10" a="1"/>
  <c r="G50" i="10" a="1"/>
  <c r="H13" i="10" a="1"/>
  <c r="H67" i="10" a="1"/>
  <c r="E62" i="10" a="1"/>
  <c r="G15" i="10" a="1"/>
  <c r="E12" i="10" a="1"/>
  <c r="E50" i="10" a="1"/>
  <c r="E81" i="10" a="1"/>
  <c r="G60" i="10" a="1"/>
  <c r="H9" i="10" a="1"/>
  <c r="G52" i="10" a="1"/>
  <c r="E63" i="10" a="1"/>
  <c r="H92" i="10" a="1"/>
  <c r="E61" i="10" a="1"/>
  <c r="F91" i="10" a="1"/>
  <c r="H62" i="10" a="1"/>
  <c r="G72" i="10" a="1"/>
  <c r="G62" i="10" a="1"/>
  <c r="E64" i="10" a="1"/>
  <c r="E76" i="10" a="1"/>
  <c r="G61" i="10" a="1"/>
  <c r="H77" i="10" a="1"/>
  <c r="H79" i="10" a="1"/>
  <c r="H6" i="10" a="1"/>
  <c r="F62" i="10" a="1"/>
  <c r="G54" i="10" a="1"/>
  <c r="H65" i="10" a="1"/>
  <c r="G78" i="10" a="1"/>
  <c r="G70" i="10" a="1"/>
  <c r="E79" i="10" a="1"/>
  <c r="H49" i="10" a="1"/>
  <c r="G75" i="10" a="1"/>
  <c r="H8" i="10" a="1"/>
  <c r="H58" i="10" a="1"/>
  <c r="H88" i="10" a="1"/>
  <c r="G48" i="10" a="1"/>
  <c r="E13" i="10" a="1"/>
  <c r="H46" i="10" a="1"/>
  <c r="F55" i="10" a="1"/>
  <c r="E54" i="10" a="1"/>
  <c r="E56" i="10" a="1"/>
  <c r="E11" i="10" a="1"/>
  <c r="E65" i="10" a="1"/>
  <c r="E74" i="10" a="1"/>
  <c r="E51" i="10" a="1"/>
  <c r="E58" i="10" a="1"/>
  <c r="H75" i="10" a="1"/>
  <c r="H48" i="10" a="1"/>
  <c r="H7" i="10" a="1"/>
  <c r="G6" i="10" a="1"/>
  <c r="E46" i="10" a="1"/>
  <c r="H10" i="10" a="1"/>
  <c r="F50" i="10" a="1"/>
  <c r="E91" i="10" a="1"/>
  <c r="G85" i="10" a="1"/>
  <c r="E47" i="10" a="1"/>
  <c r="G55" i="10" a="1"/>
  <c r="G7" i="10" a="1"/>
  <c r="G74" i="10" a="1"/>
  <c r="E73" i="10" a="1"/>
  <c r="E66" i="10" a="1"/>
  <c r="G83" i="10" a="1"/>
  <c r="G84" i="10" a="1"/>
  <c r="G69" i="10" a="1"/>
  <c r="E6" i="10" a="1"/>
  <c r="E8" i="10" a="1"/>
  <c r="E49" i="10" a="1"/>
  <c r="H52" i="10" a="1"/>
  <c r="E68" i="10" a="1"/>
  <c r="H85" i="10" a="1"/>
  <c r="G47" i="10" a="1"/>
  <c r="E10" i="10" a="1"/>
  <c r="E57" i="10" a="1"/>
  <c r="E92" i="10" a="1"/>
  <c r="G49" i="10" a="1"/>
  <c r="E9" i="10" a="1"/>
  <c r="H81" i="10" a="1"/>
  <c r="G57" i="10" a="1"/>
  <c r="H78" i="10" a="1"/>
  <c r="H87" i="10" a="1"/>
  <c r="G89" i="10" a="1"/>
  <c r="G87" i="10" a="1"/>
  <c r="E87" i="10" a="1"/>
  <c r="H91" i="10" a="1"/>
  <c r="G12" i="10" a="1"/>
  <c r="E15" i="10" a="1"/>
  <c r="E52" i="10" a="1"/>
  <c r="G56" i="10" a="1"/>
  <c r="H53" i="10" a="1"/>
  <c r="G59" i="10" a="1"/>
  <c r="E85" i="10" a="1"/>
  <c r="G71" i="10" a="1"/>
  <c r="G9" i="10" a="1"/>
  <c r="H83" i="10" a="1"/>
  <c r="E88" i="10" a="1"/>
  <c r="H51" i="10" a="1"/>
  <c r="G81" i="10" a="1"/>
  <c r="H57" i="10" a="1"/>
  <c r="G80" i="10" a="1"/>
  <c r="E82" i="10" a="1"/>
  <c r="E48" i="10" a="1"/>
  <c r="G46" i="10" a="1"/>
  <c r="E86" i="10" a="1"/>
  <c r="G91" i="10" a="1"/>
  <c r="E78" i="10" a="1"/>
  <c r="G86" i="10" a="1"/>
  <c r="H84" i="10" a="1"/>
  <c r="H86" i="10" a="1"/>
  <c r="G82" i="10" a="1"/>
  <c r="E7" i="10" a="1"/>
  <c r="H59" i="10" a="1"/>
  <c r="E69" i="10" a="1"/>
  <c r="H55" i="10" a="1"/>
  <c r="G92" i="10" a="1"/>
  <c r="G53" i="10" a="1"/>
  <c r="E77" i="10" a="1"/>
  <c r="G58" i="10" a="1"/>
  <c r="E72" i="10" a="1"/>
  <c r="H12" i="10" a="1"/>
  <c r="H47" i="10" a="1"/>
  <c r="F56" i="10" a="1"/>
  <c r="H15" i="10" a="1"/>
  <c r="H89" i="10" a="1"/>
  <c r="G88" i="10" a="1"/>
  <c r="H60" i="10" a="1"/>
  <c r="E14" i="10" a="1"/>
  <c r="H64" i="10" a="1"/>
  <c r="E67" i="10" a="1"/>
  <c r="H70" i="10" a="1"/>
  <c r="G11" i="10" a="1"/>
  <c r="H54" i="10" a="1"/>
  <c r="E75" i="10" a="1"/>
  <c r="F92" i="10" a="1"/>
  <c r="H66" i="10" a="1"/>
  <c r="G14" i="10" a="1"/>
  <c r="E60" i="10" a="1"/>
  <c r="G79" i="10" a="1"/>
  <c r="F51" i="10" a="1"/>
  <c r="G90" i="10" a="1"/>
  <c r="H80" i="10" a="1"/>
  <c r="H72" i="10" a="1"/>
  <c r="G10" i="10" a="1"/>
  <c r="E70" i="10" a="1"/>
  <c r="H50" i="10" a="1"/>
  <c r="G66" i="10" a="1"/>
  <c r="E59" i="10" a="1"/>
  <c r="G76" i="10" a="1"/>
  <c r="G77" i="10" a="1"/>
  <c r="G65" i="10" a="1"/>
  <c r="H69" i="10" a="1"/>
  <c r="F59" i="10" a="1"/>
  <c r="H63" i="10" a="1"/>
  <c r="G51" i="10" a="1"/>
  <c r="H90" i="10" a="1"/>
  <c r="H56" i="10" a="1"/>
  <c r="F63" i="10" a="1"/>
  <c r="E71" i="10" a="1"/>
  <c r="H74" i="10" a="1"/>
  <c r="F88" i="10" a="1"/>
  <c r="E84" i="10" a="1"/>
  <c r="G64" i="10" a="1"/>
  <c r="G67" i="10" a="1"/>
  <c r="G73"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89" i="10" a="1"/>
  <c r="F60" i="10" a="1"/>
  <c r="F64" i="10" a="1"/>
  <c r="F52" i="10" a="1"/>
  <c r="F57"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8" i="10" a="1"/>
  <c r="F65" i="10" a="1"/>
  <c r="F61" i="10" a="1"/>
  <c r="F53" i="10" a="1"/>
  <c r="F90"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72" i="10" a="1"/>
  <c r="F75" i="10" a="1"/>
  <c r="F69" i="10" a="1"/>
  <c r="F78" i="10" a="1"/>
  <c r="F66" i="10" a="1"/>
  <c r="F78" i="10" l="1"/>
  <c r="F72" i="10"/>
  <c r="F75" i="10"/>
  <c r="F69" i="10"/>
  <c r="F66" i="10"/>
  <c r="D65" i="10"/>
  <c r="D53" i="10"/>
  <c r="J65" i="10"/>
  <c r="J53" i="10"/>
  <c r="C65" i="10"/>
  <c r="K65" i="10" s="1"/>
  <c r="D90" i="10"/>
  <c r="J90" i="10"/>
  <c r="C90" i="10"/>
  <c r="K90" i="10" s="1"/>
  <c r="C61" i="10"/>
  <c r="K61" i="10" s="1"/>
  <c r="D61" i="10"/>
  <c r="J61" i="10"/>
  <c r="C58" i="10"/>
  <c r="K58" i="10" s="1"/>
  <c r="J58" i="10"/>
  <c r="F70" i="10" a="1"/>
  <c r="F76" i="10" a="1"/>
  <c r="F73" i="10" a="1"/>
  <c r="F67" i="10" a="1"/>
  <c r="F79" i="10" a="1"/>
  <c r="F67" i="10" l="1"/>
  <c r="F70" i="10"/>
  <c r="F76" i="10"/>
  <c r="F73" i="10"/>
  <c r="F79" i="10"/>
  <c r="C66" i="10"/>
  <c r="J66" i="10"/>
  <c r="D66" i="10"/>
  <c r="D69" i="10"/>
  <c r="J69" i="10"/>
  <c r="C69" i="10"/>
  <c r="J75" i="10"/>
  <c r="D75" i="10"/>
  <c r="C75" i="10"/>
  <c r="D72" i="10"/>
  <c r="J72" i="10"/>
  <c r="C72" i="10"/>
  <c r="J78" i="10"/>
  <c r="C78" i="10"/>
  <c r="D78" i="10"/>
  <c r="F68" i="10" a="1"/>
  <c r="F77" i="10" a="1"/>
  <c r="F74" i="10" a="1"/>
  <c r="F80" i="10" a="1"/>
  <c r="F71"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4" i="10" a="1"/>
  <c r="F87" i="10" a="1"/>
  <c r="F84" i="10" l="1"/>
  <c r="I82" i="10"/>
  <c r="K82" i="10"/>
  <c r="C83" i="10"/>
  <c r="J83" i="10"/>
  <c r="D83" i="10"/>
  <c r="F87" i="10"/>
  <c r="F85" i="10" a="1"/>
  <c r="F85" i="10" l="1"/>
  <c r="I83" i="10"/>
  <c r="K83" i="10"/>
  <c r="C84" i="10"/>
  <c r="D84" i="10"/>
  <c r="J84" i="10"/>
  <c r="C87" i="10"/>
  <c r="D87" i="10"/>
  <c r="J87" i="10"/>
  <c r="G18" i="10" a="1"/>
  <c r="E5" i="10" a="1"/>
  <c r="H45" i="10" a="1"/>
  <c r="F46" i="10" a="1"/>
  <c r="G29" i="10" a="1"/>
  <c r="F40" i="10" a="1"/>
  <c r="G22" i="10" a="1"/>
  <c r="H17" i="10" a="1"/>
  <c r="H37" i="10" a="1"/>
  <c r="G32" i="10" a="1"/>
  <c r="E42" i="10" a="1"/>
  <c r="H4" i="10" a="1"/>
  <c r="E31" i="10" a="1"/>
  <c r="H40" i="10" a="1"/>
  <c r="E21" i="10" a="1"/>
  <c r="G26" i="10" a="1"/>
  <c r="H21" i="10" a="1"/>
  <c r="H32" i="10" a="1"/>
  <c r="H18" i="10" a="1"/>
  <c r="F37" i="10" a="1"/>
  <c r="E36" i="10" a="1"/>
  <c r="G16" i="10" a="1"/>
  <c r="G27" i="10" a="1"/>
  <c r="E24" i="10" a="1"/>
  <c r="F25" i="10" a="1"/>
  <c r="H43" i="10" a="1"/>
  <c r="F31" i="10" a="1"/>
  <c r="G30" i="10" a="1"/>
  <c r="H19" i="10" a="1"/>
  <c r="E18" i="10" a="1"/>
  <c r="G28" i="10" a="1"/>
  <c r="G31" i="10" a="1"/>
  <c r="H39" i="10" a="1"/>
  <c r="E28" i="10" a="1"/>
  <c r="G35" i="10" a="1"/>
  <c r="E39" i="10" a="1"/>
  <c r="H38" i="10" a="1"/>
  <c r="H36" i="10" a="1"/>
  <c r="E23" i="10" a="1"/>
  <c r="E40" i="10" a="1"/>
  <c r="G40" i="10" a="1"/>
  <c r="H31" i="10" a="1"/>
  <c r="E16" i="10" a="1"/>
  <c r="H27" i="10" a="1"/>
  <c r="E27" i="10" a="1"/>
  <c r="H20" i="10" a="1"/>
  <c r="F28" i="10" a="1"/>
  <c r="E29" i="10" a="1"/>
  <c r="G4" i="10" a="1"/>
  <c r="H30" i="10" a="1"/>
  <c r="F43" i="10" a="1"/>
  <c r="G36" i="10" a="1"/>
  <c r="F47" i="10" a="1"/>
  <c r="E33" i="10" a="1"/>
  <c r="H26" i="10" a="1"/>
  <c r="E25" i="10" a="1"/>
  <c r="H44" i="10" a="1"/>
  <c r="H25" i="10" a="1"/>
  <c r="E43" i="10" a="1"/>
  <c r="E45" i="10" a="1"/>
  <c r="G39" i="10" a="1"/>
  <c r="G20" i="10" a="1"/>
  <c r="E20" i="10" a="1"/>
  <c r="G23" i="10" a="1"/>
  <c r="F16" i="10" a="1"/>
  <c r="G45" i="10" a="1"/>
  <c r="F34" i="10" a="1"/>
  <c r="H28" i="10" a="1"/>
  <c r="E35" i="10" a="1"/>
  <c r="H33" i="10" a="1"/>
  <c r="E38" i="10" a="1"/>
  <c r="F4" i="10" a="1"/>
  <c r="E34" i="10" a="1"/>
  <c r="G44" i="10" a="1"/>
  <c r="H23" i="10" a="1"/>
  <c r="H35" i="10" a="1"/>
  <c r="H34" i="10" a="1"/>
  <c r="E26" i="10" a="1"/>
  <c r="H42" i="10" a="1"/>
  <c r="E30" i="10" a="1"/>
  <c r="H16" i="10" a="1"/>
  <c r="G38" i="10" a="1"/>
  <c r="E22" i="10" a="1"/>
  <c r="G21" i="10" a="1"/>
  <c r="F86" i="10" a="1"/>
  <c r="G25" i="10" a="1"/>
  <c r="G42" i="10" a="1"/>
  <c r="G37" i="10" a="1"/>
  <c r="E32" i="10" a="1"/>
  <c r="E17" i="10" a="1"/>
  <c r="E4" i="10" a="1"/>
  <c r="E37" i="10" a="1"/>
  <c r="H22" i="10" a="1"/>
  <c r="H41" i="10" a="1"/>
  <c r="G24" i="10" a="1"/>
  <c r="E19" i="10" a="1"/>
  <c r="G41" i="10" a="1"/>
  <c r="G43" i="10" a="1"/>
  <c r="H29" i="10" a="1"/>
  <c r="H5" i="10" a="1"/>
  <c r="G34" i="10" a="1"/>
  <c r="H24" i="10" a="1"/>
  <c r="E41" i="10" a="1"/>
  <c r="G19" i="10" a="1"/>
  <c r="G5" i="10" a="1"/>
  <c r="G33" i="10" a="1"/>
  <c r="E44" i="10" a="1"/>
  <c r="G17"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29" i="10" a="1"/>
  <c r="F44" i="10" a="1"/>
  <c r="F38" i="10" a="1"/>
  <c r="F5" i="10" a="1"/>
  <c r="F32" i="10" a="1"/>
  <c r="F17" i="10" a="1"/>
  <c r="F26" i="10" a="1"/>
  <c r="F48" i="10" a="1"/>
  <c r="F35" i="10" a="1"/>
  <c r="F41"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C32" i="10" s="1"/>
  <c r="K32" i="10" s="1"/>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0" i="10" a="1"/>
  <c r="F33" i="10" a="1"/>
  <c r="F42" i="10" a="1"/>
  <c r="F45" i="10" a="1"/>
  <c r="F36" i="10" a="1"/>
  <c r="F49" i="10" a="1"/>
  <c r="F18" i="10" a="1"/>
  <c r="F39" i="10" a="1"/>
  <c r="F6" i="10" a="1"/>
  <c r="F27"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7" i="10" a="1"/>
  <c r="F19"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20" i="10" a="1"/>
  <c r="F8" i="10" a="1"/>
  <c r="F20" i="10" l="1"/>
  <c r="F8" i="10"/>
  <c r="I6" i="10"/>
  <c r="K6" i="10"/>
  <c r="J19" i="10"/>
  <c r="D19" i="10"/>
  <c r="C19" i="10"/>
  <c r="K18" i="10"/>
  <c r="I18" i="10"/>
  <c r="J7" i="10"/>
  <c r="C7" i="10"/>
  <c r="D7" i="10"/>
  <c r="F21" i="10" a="1"/>
  <c r="F9"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23" i="10" a="1"/>
  <c r="F11" i="10" a="1"/>
  <c r="F11" i="10" l="1"/>
  <c r="F23" i="10"/>
  <c r="K21" i="10"/>
  <c r="I21" i="10"/>
  <c r="C10" i="10"/>
  <c r="D10" i="10"/>
  <c r="J10" i="10"/>
  <c r="D22" i="10"/>
  <c r="J22" i="10"/>
  <c r="C22" i="10"/>
  <c r="K9" i="10"/>
  <c r="I9" i="10"/>
  <c r="F12" i="10" a="1"/>
  <c r="F24"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18" i="10" a="1"/>
  <c r="N24" i="10" a="1"/>
  <c r="N21" i="10" a="1"/>
  <c r="N23" i="10" a="1"/>
  <c r="N20" i="10" a="1"/>
  <c r="N19" i="10" a="1"/>
  <c r="N22" i="10" a="1"/>
  <c r="N17"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L39" i="10" a="1"/>
  <c r="M36" i="10" a="1"/>
  <c r="L7" i="10" a="1"/>
  <c r="L60" i="10" a="1"/>
  <c r="M52" i="10" a="1"/>
  <c r="M49" i="10" a="1"/>
  <c r="N11" i="10" a="1"/>
  <c r="L13" i="10" a="1"/>
  <c r="L20" i="10" a="1"/>
  <c r="L53" i="10" a="1"/>
  <c r="M10" i="10" a="1"/>
  <c r="M8" i="10" a="1"/>
  <c r="N60" i="10" a="1"/>
  <c r="N10" i="10" a="1"/>
  <c r="L45" i="10" a="1"/>
  <c r="L35" i="10" a="1"/>
  <c r="M21" i="10" a="1"/>
  <c r="M7" i="10" a="1"/>
  <c r="M12" i="10" a="1"/>
  <c r="N5" i="10" a="1"/>
  <c r="M22" i="10" a="1"/>
  <c r="N48" i="10" a="1"/>
  <c r="N64" i="10" a="1"/>
  <c r="M44" i="10" a="1"/>
  <c r="L14" i="10" a="1"/>
  <c r="L44" i="10" a="1"/>
  <c r="M24" i="10" a="1"/>
  <c r="N8" i="10" a="1"/>
  <c r="N15" i="10" a="1"/>
  <c r="L52" i="10" a="1"/>
  <c r="M38" i="10" a="1"/>
  <c r="M29" i="10" a="1"/>
  <c r="M60" i="10" a="1"/>
  <c r="N7" i="10" a="1"/>
  <c r="N13" i="10" a="1"/>
  <c r="L8" i="10" a="1"/>
  <c r="N58" i="10" a="1"/>
  <c r="N57" i="10" a="1"/>
  <c r="M27" i="10" a="1"/>
  <c r="L26" i="10" a="1"/>
  <c r="N14" i="10" a="1"/>
  <c r="N53" i="10" a="1"/>
  <c r="N33" i="10" a="1"/>
  <c r="L11" i="10" a="1"/>
  <c r="L27" i="10" a="1"/>
  <c r="M9" i="10" a="1"/>
  <c r="N38" i="10" a="1"/>
  <c r="L15" i="10" a="1"/>
  <c r="L33" i="10" a="1"/>
  <c r="M57" i="10" a="1"/>
  <c r="L10" i="10" a="1"/>
  <c r="M11" i="10" a="1"/>
  <c r="L12" i="10" a="1"/>
  <c r="L29" i="10" a="1"/>
  <c r="M14" i="10" a="1"/>
  <c r="M5" i="10" a="1"/>
  <c r="L24" i="10" a="1"/>
  <c r="L23" i="10" a="1"/>
  <c r="N26" i="10" a="1"/>
  <c r="L48" i="10" a="1"/>
  <c r="N9" i="10" a="1"/>
  <c r="N39" i="10" a="1"/>
  <c r="L19" i="10" a="1"/>
  <c r="M18" i="10" a="1"/>
  <c r="M64" i="10" a="1"/>
  <c r="M65" i="10" a="1"/>
  <c r="L18" i="10" a="1"/>
  <c r="L42" i="10" a="1"/>
  <c r="L41" i="10" a="1"/>
  <c r="M23" i="10" a="1"/>
  <c r="N12" i="10" a="1"/>
  <c r="M19" i="10" a="1"/>
  <c r="M32" i="10" a="1"/>
  <c r="N49" i="10" a="1"/>
  <c r="L65" i="10" a="1"/>
  <c r="L64" i="10" a="1"/>
  <c r="M48" i="10" a="1"/>
  <c r="N44" i="10" a="1"/>
  <c r="L57" i="10" a="1"/>
  <c r="L22" i="10" a="1"/>
  <c r="M26" i="10" a="1"/>
  <c r="M58" i="10" a="1"/>
  <c r="M6" i="10" a="1"/>
  <c r="L9" i="10" a="1"/>
  <c r="N65" i="10" a="1"/>
  <c r="L21" i="10" a="1"/>
  <c r="L36" i="10" a="1"/>
  <c r="L32" i="10" a="1"/>
  <c r="L49" i="10" a="1"/>
  <c r="M41" i="10" a="1"/>
  <c r="N32" i="10" a="1"/>
  <c r="L17" i="10" a="1"/>
  <c r="L58" i="10" a="1"/>
  <c r="L30" i="10" a="1"/>
  <c r="L6" i="10" a="1"/>
  <c r="M17" i="10" a="1"/>
  <c r="N35" i="10" a="1"/>
  <c r="M13" i="10" a="1"/>
  <c r="N27" i="10" a="1"/>
  <c r="M30" i="10" a="1"/>
  <c r="M35" i="10" a="1"/>
  <c r="M53" i="10" a="1"/>
  <c r="N45" i="10" a="1"/>
  <c r="N41" i="10" a="1"/>
  <c r="L5" i="10" a="1"/>
  <c r="L38" i="10" a="1"/>
  <c r="N29" i="10" a="1"/>
  <c r="M20" i="10" a="1"/>
  <c r="N36" i="10" a="1"/>
  <c r="N30" i="10" a="1"/>
  <c r="M39" i="10" a="1"/>
  <c r="M42" i="10" a="1"/>
  <c r="M33" i="10" a="1"/>
  <c r="M45" i="10" a="1"/>
  <c r="N52" i="10" a="1"/>
  <c r="N42" i="10" a="1"/>
  <c r="N6" i="10" a="1"/>
  <c r="M15"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8" i="10" a="1"/>
  <c r="M67" i="10" a="1"/>
  <c r="M68" i="10" l="1"/>
  <c r="M67" i="10"/>
  <c r="M71" i="10" a="1"/>
  <c r="M70" i="10" a="1"/>
  <c r="M71" i="10" l="1"/>
  <c r="M70" i="10"/>
  <c r="L90" i="10" a="1"/>
  <c r="L90" i="10" l="1"/>
  <c r="L89" i="10" a="1"/>
  <c r="L89" i="10" l="1"/>
  <c r="L74" i="10" a="1"/>
  <c r="L73" i="10" a="1"/>
  <c r="L74" i="10" l="1"/>
  <c r="L73" i="10"/>
  <c r="M90" i="10" a="1"/>
  <c r="M90" i="10" l="1"/>
  <c r="M89" i="10" a="1"/>
  <c r="M89" i="10" l="1"/>
  <c r="N74" i="10" a="1"/>
  <c r="N73"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8" i="10" a="1"/>
  <c r="N67" i="10" a="1"/>
  <c r="N68" i="10" l="1"/>
  <c r="N67" i="10"/>
  <c r="M80" i="10" a="1"/>
  <c r="M80" i="10" l="1"/>
  <c r="M81" i="10" a="1"/>
  <c r="M81" i="10" l="1"/>
  <c r="M82" i="10" a="1"/>
  <c r="M82" i="10" l="1"/>
  <c r="M84" i="10" a="1"/>
  <c r="M84" i="10" l="1"/>
  <c r="M83" i="10" a="1"/>
  <c r="M83" i="10" l="1"/>
  <c r="M86" i="10" a="1"/>
  <c r="M86" i="10" l="1"/>
  <c r="M85" i="10" a="1"/>
  <c r="M79"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86" i="10" a="1"/>
  <c r="L79"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<sst xmlns="http://schemas.openxmlformats.org/spreadsheetml/2006/main" count="1599" uniqueCount="605">
  <si>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</si>
  <si>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</si>
  <si>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</si>
  <si>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</si>
  <si>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</si>
  <si>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</si>
  <si>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</si>
  <si>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</si>
  <si>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</si>
  <si>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</si>
  <si>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</si>
  <si>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</si>
  <si>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</si>
  <si>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</si>
  <si>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</si>
  <si>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</si>
  <si>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</si>
  <si>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</si>
  <si>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</si>
  <si>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</si>
  <si>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</si>
  <si>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</si>
  <si>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</si>
  <si>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</si>
  <si>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</si>
  <si>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</si>
  <si>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</si>
  <si>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</si>
  <si>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</si>
  <si>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</si>
  <si>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</si>
  <si>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</si>
  <si>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</si>
  <si>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</si>
  <si>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</si>
  <si>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</si>
  <si>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</si>
  <si>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</si>
  <si>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</si>
  <si>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v1.02</t>
  </si>
  <si>
    <t>update CO2 from EDGAR database. The values come from: https://github.com/ITHIM/CO2_EDGAR_2018/blob/main/output/CO2_2018_ALL_cities.csv</t>
  </si>
  <si>
    <t>AA</t>
  </si>
  <si>
    <t>v2.0</t>
  </si>
  <si>
    <t>Removed backround_pa_confidence, PM_emissions_confidence and CO2_emissions_confidence parameter values as not needed for constant model run, updated cycling MET source, set minimum_pt_time to 5</t>
  </si>
  <si>
    <t>v2.1</t>
  </si>
  <si>
    <t>Introduced a new parameter called TREAT_TAXI_AS_CAR, which treats taxis as cars (and essentially adds taxi's distance to car/car_driver)</t>
  </si>
  <si>
    <t>v2.2</t>
  </si>
  <si>
    <t>Set TREAT_TAXI_AS_CAR to FALSE</t>
  </si>
  <si>
    <t>v3.0</t>
  </si>
  <si>
    <t>updated the SIN coefficients using the random effects values from the meta analysis</t>
  </si>
  <si>
    <t>v3.1</t>
  </si>
  <si>
    <t>Replaced big_truck with heavy_truck</t>
  </si>
  <si>
    <t>v3.2</t>
  </si>
  <si>
    <t>Set auto_rickshaw speed to 4, same as default speed in model</t>
  </si>
  <si>
    <t>v3.3</t>
  </si>
  <si>
    <t>Updated references</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</si>
  <si>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</si>
  <si>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</si>
  <si>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</si>
  <si>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</si>
  <si>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</si>
  <si>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</si>
  <si>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</si>
  <si>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</si>
  <si>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</si>
  <si>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</si>
  <si>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</si>
  <si>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</si>
  <si>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</si>
  <si>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</si>
  <si>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</si>
  <si>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</si>
  <si>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</si>
  <si>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</si>
  <si>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heavy_truck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</si>
  <si>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</si>
  <si>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</si>
  <si>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</si>
  <si>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</si>
  <si>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</si>
  <si>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</si>
  <si>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</si>
  <si>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</si>
  <si>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</si>
  <si>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</si>
  <si>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</si>
  <si>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</si>
  <si>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</si>
  <si>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</si>
  <si>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</si>
  <si>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</si>
  <si>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</si>
  <si>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</si>
  <si>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</si>
  <si>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</si>
  <si>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</si>
  <si>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</si>
  <si>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</si>
  <si>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</si>
  <si>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</si>
  <si>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</si>
  <si>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</si>
  <si>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</si>
  <si>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</si>
  <si>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</si>
  <si>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</si>
  <si>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</si>
  <si>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</si>
  <si>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</si>
  <si>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</si>
  <si>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</si>
  <si>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</si>
  <si>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</si>
  <si>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</si>
  <si>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</si>
  <si>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</si>
  <si>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</si>
  <si>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</si>
  <si>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</si>
  <si>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</si>
  <si>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</si>
  <si>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</si>
  <si>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</si>
  <si>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</si>
  <si>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</si>
  <si>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treat_taxi_as_car</t>
  </si>
  <si>
    <t>F</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</si>
  <si>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</si>
  <si>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</si>
  <si>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</si>
  <si>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</si>
  <si>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</si>
  <si>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</si>
  <si>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</si>
  <si>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</si>
  <si>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</si>
  <si>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</si>
  <si>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</si>
  <si>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</si>
  <si>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</si>
  <si>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</si>
  <si>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</si>
  <si>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</si>
  <si>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</si>
  <si>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</si>
  <si>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</si>
  <si>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</si>
  <si>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</si>
  <si>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</si>
  <si>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</si>
  <si>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</si>
  <si>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</si>
  <si>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</si>
  <si>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</si>
  <si>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 xml:space="preserve">assumes no bias in PA data (could be improved by looking at PA surveys) </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</si>
  <si>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</si>
  <si>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</si>
  <si>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</si>
  <si>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</si>
  <si>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</si>
  <si>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</si>
  <si>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</si>
  <si>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</si>
  <si>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</si>
  <si>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</si>
  <si>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</si>
  <si>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</si>
  <si>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</si>
  <si>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</si>
  <si>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</si>
  <si>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</si>
  <si>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</si>
  <si>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</si>
  <si>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</si>
  <si>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</si>
  <si>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 OECD data explorer, 2020</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</si>
  <si>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</si>
  <si>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</si>
  <si>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https://www.autofact.com.co/blog/mi-carro/licencias/licencia-c3#:~:text=La%20licencia%20C3%20pertenece%20a,identifican%20por%20llevar%20placa%20blanca.,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men is 62</t>
  </si>
  <si>
    <t>Autofact, 2024, OECD data explorer, 2020</t>
  </si>
  <si>
    <t>https://www.autofact.com.co/blog/mi-carro/licencias/licencia-c3#:~:text=La%20licencia%20C3%20pertenece%20a,identifican%20por%20llevar%20placa%20blanca.,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women is 57</t>
  </si>
  <si>
    <t>La motocicleta en América Latina (CAF LIBRO motos digital.pdf)</t>
  </si>
  <si>
    <t>La motocicleta en América Latina (CAF LIBRO motos digital.pdf),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retirement age for men is 62</t>
  </si>
  <si>
    <t>Rodríguez 2015 , OECD data explorer 2020</t>
  </si>
  <si>
    <t>La motocicleta en América Latina (CAF LIBRO motos digital.pdf),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p.150, retirement age for women is 57</t>
  </si>
  <si>
    <t>Assumption that travel in travel survey represents a typical day within a week</t>
  </si>
  <si>
    <t>global</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</si>
  <si>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</si>
  <si>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</si>
  <si>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</si>
  <si>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</si>
  <si>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</si>
  <si>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</si>
  <si>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</si>
  <si>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</si>
  <si>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</si>
  <si>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</si>
  <si>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</si>
  <si>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</si>
  <si>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</si>
  <si>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</si>
  <si>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</si>
  <si>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</si>
  <si>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</si>
  <si>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</si>
  <si>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</si>
  <si>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</si>
  <si>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</si>
  <si>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</si>
  <si>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</si>
  <si>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</si>
  <si>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</si>
  <si>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</si>
  <si>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</si>
  <si>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 xml:space="preserve">Compendium of physical activity https://sites.google.com/site/compendiumofphysicalactivities/Activity-Categories/bicycling?authuser=1 </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</si>
  <si>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</si>
  <si>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</si>
  <si>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</si>
  <si>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</si>
  <si>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</si>
  <si>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05160 (https://sites.google.com/site/compendiumofphysicalactivities/Activity-Categories/home-activity?authuser=1</t>
  </si>
  <si>
    <t>--</t>
  </si>
  <si>
    <t>GPAQ. P3.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</si>
  <si>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</si>
  <si>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</si>
  <si>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</si>
  <si>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</si>
  <si>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</si>
  <si>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</si>
  <si>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</si>
  <si>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</si>
  <si>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</si>
  <si>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</si>
  <si>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</si>
  <si>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</si>
  <si>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</si>
  <si>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</si>
  <si>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</si>
  <si>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</si>
  <si>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</si>
  <si>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</si>
  <si>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</si>
  <si>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</si>
  <si>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</si>
  <si>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PM_CONC_BASE</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</si>
  <si>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</si>
  <si>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</si>
  <si>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</si>
  <si>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</si>
  <si>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</si>
  <si>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</si>
  <si>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</si>
  <si>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</si>
  <si>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</si>
  <si>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</si>
  <si>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</si>
  <si>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</si>
  <si>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</si>
  <si>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</si>
  <si>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</si>
  <si>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</si>
  <si>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</si>
  <si>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</si>
  <si>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</si>
  <si>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</si>
  <si>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</si>
  <si>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</si>
  <si>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</si>
  <si>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</si>
  <si>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</si>
  <si>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heavy_truck</t>
  </si>
  <si>
    <t>PM_emission_inventory heavy_truck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</si>
  <si>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</si>
  <si>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</si>
  <si>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</si>
  <si>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</si>
  <si>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</si>
  <si>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</si>
  <si>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</si>
  <si>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</si>
  <si>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</si>
  <si>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</si>
  <si>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</si>
  <si>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</si>
  <si>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</si>
  <si>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</si>
  <si>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</si>
  <si>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</si>
  <si>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</si>
  <si>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</si>
  <si>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</si>
  <si>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</si>
  <si>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</si>
  <si>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</si>
  <si>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</si>
  <si>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</si>
  <si>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</si>
  <si>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heavy_truck</t>
  </si>
  <si>
    <t>CO2_emission_inventory heavy_truck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</si>
  <si>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</si>
  <si>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</si>
  <si>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</si>
  <si>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</si>
  <si>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</si>
  <si>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</si>
  <si>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</si>
  <si>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</si>
  <si>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</si>
  <si>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</si>
  <si>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</si>
  <si>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</si>
  <si>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</si>
  <si>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</si>
  <si>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</si>
  <si>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</si>
  <si>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</si>
  <si>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</si>
  <si>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all_global_parameter_inputs tab / run_ithim_setup.R</t>
  </si>
  <si>
    <t>Global</t>
  </si>
  <si>
    <t>https://sites.google.com/site/compendiumofphysicalactivities/Activity-Categories/transportation?authuser=1</t>
  </si>
  <si>
    <t xml:space="preserve">Compendium of physical activity 01011 </t>
  </si>
  <si>
    <t>https://sites.google.com/site/compendiumofphysicalactivities/Activity-Categories/transportation?authuser=2</t>
  </si>
  <si>
    <t>Compendium of physical activity 16060</t>
  </si>
  <si>
    <t>https://sites.google.com/site/compendiumofphysicalactivities/Activity-Categories/transportation?authuser=3</t>
  </si>
  <si>
    <t xml:space="preserve">Compendium of physical activity 16015-15016 </t>
  </si>
  <si>
    <t>https://sites.google.com/site/compendiumofphysicalactivities/Activity-Categories/transportation?authuser=4</t>
  </si>
  <si>
    <t>Compendium of physical activity 16010</t>
  </si>
  <si>
    <t>https://sites.google.com/site/compendiumofphysicalactivities/Activity-Categories/transportation?authuser=5</t>
  </si>
  <si>
    <t xml:space="preserve">Compendium of physical activity 16030 </t>
  </si>
  <si>
    <t>https://sites.google.com/site/compendiumofphysicalactivities/Activity-Categories/home-activity?authuser=0</t>
  </si>
  <si>
    <t xml:space="preserve">Compendium of physical activity 05080 </t>
  </si>
  <si>
    <t>https://sites.google.com/site/compendiumofphysicalactivities/Activity-Categories/home-activity?authuser=1</t>
  </si>
  <si>
    <t>https://www.who.int/docs/default-source/ncds/ncd-surveillance/gpaq-analysis-guide.pdf</t>
  </si>
  <si>
    <t xml:space="preserve">GPAQ </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</si>
  <si>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</si>
  <si>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</si>
  <si>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</si>
  <si>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</si>
  <si>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</si>
  <si>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</si>
  <si>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</si>
  <si>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</si>
  <si>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</si>
  <si>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</si>
  <si>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</si>
  <si>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</si>
  <si>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</si>
  <si>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</si>
  <si>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</si>
  <si>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</si>
  <si>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</si>
  <si>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</si>
  <si>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</si>
  <si>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</si>
  <si>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</si>
  <si>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</si>
  <si>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</si>
  <si>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</si>
  <si>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</si>
  <si>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</si>
  <si>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</si>
  <si>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</si>
  <si>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</si>
  <si>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</si>
  <si>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</si>
  <si>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</si>
  <si>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</si>
  <si>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</si>
  <si>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</si>
  <si>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</si>
  <si>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</si>
  <si>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</si>
  <si>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</si>
  <si>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</si>
  <si>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</si>
  <si>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</si>
  <si>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</si>
  <si>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</si>
  <si>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</si>
  <si>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</si>
  <si>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</si>
  <si>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</si>
  <si>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</si>
  <si>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</si>
  <si>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</si>
  <si>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</si>
  <si>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</si>
  <si>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</si>
  <si>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</si>
  <si>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</si>
  <si>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</si>
  <si>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</si>
  <si>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</si>
  <si>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</si>
  <si>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</si>
  <si>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</si>
  <si>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</si>
  <si>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</si>
  <si>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Transmilenio, 2019</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</si>
  <si>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</si>
  <si>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</si>
  <si>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</si>
  <si>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</si>
  <si>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</si>
  <si>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</si>
  <si>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</si>
  <si>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</si>
  <si>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</si>
  <si>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</si>
  <si>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</si>
  <si>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</si>
  <si>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</si>
  <si>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</si>
  <si>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</si>
  <si>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</si>
  <si>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Rodríguez 2016</t>
  </si>
  <si>
    <t>COMMERICAL_MBIKE_FEMALE_AGERANGE</t>
  </si>
  <si>
    <t>age range of female commercial motorcycle drivers</t>
  </si>
  <si>
    <t>Rodríguez 2017</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</si>
  <si>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</si>
  <si>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</si>
  <si>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</si>
  <si>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</si>
  <si>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</si>
  <si>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</si>
  <si>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</si>
  <si>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</si>
  <si>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</si>
  <si>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</si>
  <si>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</si>
  <si>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</si>
  <si>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</si>
  <si>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</si>
  <si>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</si>
  <si>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</si>
  <si>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</si>
  <si>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</si>
  <si>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</si>
  <si>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</si>
  <si>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</si>
  <si>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</si>
  <si>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</si>
  <si>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</si>
  <si>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</si>
  <si>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</si>
  <si>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</si>
  <si>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</si>
  <si>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</si>
  <si>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</si>
  <si>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</si>
  <si>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</si>
  <si>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</si>
  <si>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</si>
  <si>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</si>
  <si>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</si>
  <si>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</si>
  <si>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</si>
  <si>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</si>
  <si>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</si>
  <si>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</si>
  <si>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</si>
  <si>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</si>
  <si>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</si>
  <si>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</si>
  <si>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</si>
  <si>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</si>
  <si>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</si>
  <si>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</si>
  <si>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</si>
  <si>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</si>
  <si>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</si>
  <si>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</si>
  <si>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</si>
  <si>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</si>
  <si>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</si>
  <si>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</si>
  <si>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</si>
  <si>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</si>
  <si>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</si>
  <si>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</si>
  <si>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</si>
  <si>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</si>
  <si>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</si>
  <si>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</si>
  <si>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</si>
  <si>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</si>
  <si>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</si>
  <si>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</si>
  <si>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</si>
  <si>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</si>
  <si>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</si>
  <si>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</si>
  <si>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</si>
  <si>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</si>
  <si>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</si>
  <si>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</si>
  <si>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</si>
  <si>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</si>
  <si>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</si>
  <si>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</si>
  <si>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</si>
  <si>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</si>
  <si>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</si>
  <si>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</si>
  <si>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</si>
  <si>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</si>
  <si>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</si>
  <si>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</si>
  <si>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</si>
  <si>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</si>
  <si>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</si>
  <si>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</si>
  <si>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</si>
  <si>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</si>
  <si>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</si>
  <si>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</si>
  <si>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</si>
  <si>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</si>
  <si>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</si>
  <si>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</si>
  <si>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</si>
  <si>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</si>
  <si>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</si>
  <si>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</si>
  <si>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</si>
  <si>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</si>
  <si>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</si>
  <si>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</si>
  <si>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</si>
  <si>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</si>
  <si>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</si>
  <si>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</si>
  <si>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</si>
  <si>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</si>
  <si>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</si>
  <si>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</si>
  <si>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</si>
  <si>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</si>
  <si>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</si>
  <si>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</si>
  <si>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</si>
  <si>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</si>
  <si>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PM_emission_inventory</t>
  </si>
  <si>
    <t>CO2_emission_inventory</t>
  </si>
  <si>
    <t>reference_scenario</t>
  </si>
  <si>
    <t>scenario_name</t>
  </si>
  <si>
    <t>Explanation of how the safety in number coefficients were derived</t>
  </si>
  <si>
    <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Goel,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</si>
  <si>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</si>
  <si>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</si>
  <si>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</si>
  <si>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</si>
  <si>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</si>
  <si>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</si>
  <si>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</si>
  <si>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</si>
  <si>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Where the victim is a pedestrian</t>
  </si>
  <si>
    <t>Elvik and Goel, 2019</t>
  </si>
  <si>
    <t>strExponent_ped</t>
  </si>
  <si>
    <t>casExponent_cycle</t>
  </si>
  <si>
    <t>Where the victim is a cyclist</t>
  </si>
  <si>
    <t>strExponent_cycle</t>
  </si>
  <si>
    <t>casExponent_vehicle</t>
  </si>
  <si>
    <t>Where the victim is a vehicle user</t>
  </si>
  <si>
    <t>Elvik, 2009</t>
  </si>
  <si>
    <t>strExponent_vehicle</t>
  </si>
  <si>
    <t>casExponent_nov</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</si>
  <si>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</si>
  <si>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</si>
  <si>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Rune Elvik, The non-linearity of risk and the promotion of environmentally sustainable transport, Accident Analysis &amp; Prevention, Volume 41, Issue 4, 2009</t>
  </si>
  <si>
    <t>If set to False do not include taxi distance when calculating car vehicle emission factors</t>
  </si>
  <si>
    <t>v3.4</t>
  </si>
  <si>
    <t>added TREAT_TAXI_AS_CAR parameter to entire spreadsheet</t>
  </si>
  <si>
    <t>TREAT_TAXI_AS_CAR</t>
  </si>
  <si>
    <t>If set to false do not add taxi km when calculating car emission factors</t>
  </si>
  <si>
    <t>'all_city_parameter_inputs tab / run_ithim_setup.R</t>
  </si>
  <si>
    <t>v4.0</t>
  </si>
  <si>
    <t>converted MET to MMET input parameters</t>
  </si>
  <si>
    <t>cycling_mmet</t>
  </si>
  <si>
    <t>walking_mmet</t>
  </si>
  <si>
    <t>passenger_mmet</t>
  </si>
  <si>
    <t>car_driver_mmet</t>
  </si>
  <si>
    <t>motorcyclist_mmet</t>
  </si>
  <si>
    <t>sedentary_activity_mmet</t>
  </si>
  <si>
    <t>light_activity_mmet</t>
  </si>
  <si>
    <t>moderate_pa_mmet</t>
  </si>
  <si>
    <t>vigorous_pa_mmet</t>
  </si>
  <si>
    <t>CYCLING_MMET</t>
  </si>
  <si>
    <t>WALKING_MMET</t>
  </si>
  <si>
    <t>PASSENGER_MMET</t>
  </si>
  <si>
    <t>CAR_DRIVER_MMET</t>
  </si>
  <si>
    <t>MOTORCYCLIST_MMET</t>
  </si>
  <si>
    <t>SEDENTARY_ACTIVITY_MMET</t>
  </si>
  <si>
    <t>LIGHT_ACTIVITY_MMET</t>
  </si>
  <si>
    <t>MODERATE_PA_MMET</t>
  </si>
  <si>
    <t>VIGOROUS_PA_MMET</t>
  </si>
  <si>
    <t>marginal MET value associated with cycling</t>
  </si>
  <si>
    <t>marginal MET value associated with walking</t>
  </si>
  <si>
    <t>marginal MET value associated with being a passenger on public transport</t>
  </si>
  <si>
    <t>marginal MET value associated with being a car driver or passenger</t>
  </si>
  <si>
    <t>marginal MET value associated with being a motorcyclist</t>
  </si>
  <si>
    <t>marginal MET value associated with sedentary activity</t>
  </si>
  <si>
    <t>marginal MET value associated with light activity</t>
  </si>
  <si>
    <t>marginal MET value associated with moderate activity</t>
  </si>
  <si>
    <t>marginal MET value associated with vigorous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</si>
</sst>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3">
    <xf numFmtId="0" fontId="0" fillId="0" borderId="0"/>
    <xf numFmtId="0" fontId="7" fillId="0" borderId="0" applyNumberFormat="0" applyFill="0" applyBorder="0" applyAlignment="0" applyProtection="0"/>
    <xf numFmtId="9" fontId="16" fillId="0" borderId="0" applyFont="0" applyFill="0" applyBorder="0" applyAlignment="0" applyProtection="0"/>
  </cellStyleXfs>
  <cellXfs count="83">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2" borderId="0" xfId="0" quotePrefix="1" applyFill="1" applyAlignment="1">
      <alignment horizontal="left"/>
    </xf>
    <xf numFmtId="10" fontId="0" fillId="0" borderId="0" xfId="2" applyNumberFormat="1" applyFont="1"/>
    <xf numFmtId="0" fontId="0" fillId="0" borderId="0" xfId="0" quotePrefix="1" applyAlignment="1">
      <alignment horizontal="left" vertical="top" wrapText="1"/>
    </xf>
    <xf numFmtId="0" fontId="0" fillId="0" borderId="0" xfId="0" quotePrefix="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ata-explorer.oecd.org/vis?df%5bds%5d=DisseminateFinalDMZ&amp;df%5bid%5d=DSD_PAG%40DF_PAG&amp;df%5bag%5d=OECD.ELS.SPD&amp;dq=.A.CRPLF22%2BFRPLF22%2BGPRR100%2BATRW%2BATRAEP%2BATRPPAE%2BNPRR100%2BGPW100%2BNPW100%2BFR%2BLE%2BER%2BOAWAR%2BELMEA%2BEYLME%2BEDIOP%2BPTOP%2BOCOP%2BCIOP%2BEIOP%2BAWGW%2BOAIP%2BPEP%2BPPEP....&amp;pd=2019%2C2022&amp;to%5bTIME_PERIOD%5d=true&amp;ly%5bcl%5d=COMBINED_MEASURE%2CCOMBINED_UNIT_MEASURE%2CTIME_PERIOD&amp;ly%5brw%5d=REF_AREA&amp;vw=tb,%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data-explorer.oecd.org/vis?df%5bds%5d=DisseminateFinalDMZ&amp;df%5bid%5d=DSD_PAG%40DF_PAG&amp;df%5bag%5d=OECD.ELS.SPD&amp;dq=.A.CRPLF22%2BFRPLF22%2BGPRR100%2BATRW%2BATRAEP%2BATRPPAE%2BNPRR100%2BGPW100%2BNPW100%2BFR%2BLE%2BER%2BOAWAR%2BELMEA%2BEYLME%2BEDIOP%2BPTOP%2BOCOP%2BCIOP%2BEIOP%2BAWGW%2BOAIP%2BPEP%2BPPEP....&amp;pd=2019%2C2022&amp;to%5bTIME_PERIOD%5d=true&amp;ly%5bcl%5d=COMBINED_MEASURE%2CCOMBINED_UNIT_MEASURE%2CTIME_PERIOD&amp;ly%5brw%5d=REF_AREA&amp;vw=tb,%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9" workbookViewId="0">
      <selection activeCell="E38" sqref="E38"/>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39</v>
      </c>
      <c r="C28" s="23" t="s">
        <v>40</v>
      </c>
      <c r="D28" s="37" t="s">
        <v>41</v>
      </c>
      <c r="E28" s="39">
        <v>45455</v>
      </c>
    </row>
    <row r="29" spans="2:5" ht="60" x14ac:dyDescent="0.25">
      <c r="B29" s="23" t="s">
        <v>42</v>
      </c>
      <c r="C29" s="23" t="s">
        <v>43</v>
      </c>
      <c r="D29" s="37" t="s">
        <v>32</v>
      </c>
      <c r="E29" s="39">
        <v>45484</v>
      </c>
    </row>
    <row r="30" spans="2:5" ht="30" x14ac:dyDescent="0.25">
      <c r="B30" s="23" t="s">
        <v>44</v>
      </c>
      <c r="C30" s="23" t="s">
        <v>45</v>
      </c>
      <c r="D30" s="37" t="s">
        <v>41</v>
      </c>
      <c r="E30" s="39">
        <v>45488</v>
      </c>
    </row>
    <row r="31" spans="2:5" x14ac:dyDescent="0.25">
      <c r="B31" s="23" t="s">
        <v>46</v>
      </c>
      <c r="C31" s="23" t="s">
        <v>47</v>
      </c>
      <c r="D31" s="37" t="s">
        <v>41</v>
      </c>
      <c r="E31" s="39">
        <v>45489</v>
      </c>
    </row>
    <row r="32" spans="2:5" ht="30" x14ac:dyDescent="0.25">
      <c r="B32" s="23" t="s">
        <v>48</v>
      </c>
      <c r="C32" s="23" t="s">
        <v>49</v>
      </c>
      <c r="D32" s="37" t="s">
        <v>32</v>
      </c>
      <c r="E32" s="39">
        <v>45491</v>
      </c>
    </row>
    <row r="33" spans="2:5" x14ac:dyDescent="0.25">
      <c r="B33" s="23" t="s">
        <v>50</v>
      </c>
      <c r="C33" s="23" t="s">
        <v>51</v>
      </c>
      <c r="D33" s="37" t="s">
        <v>41</v>
      </c>
      <c r="E33" s="39">
        <v>45495</v>
      </c>
    </row>
    <row r="34" spans="2:5" x14ac:dyDescent="0.25">
      <c r="B34" s="23" t="s">
        <v>52</v>
      </c>
      <c r="C34" s="23" t="s">
        <v>53</v>
      </c>
      <c r="D34" s="37" t="s">
        <v>32</v>
      </c>
      <c r="E34" s="39">
        <v>45496</v>
      </c>
    </row>
    <row r="35" spans="2:5" x14ac:dyDescent="0.25">
      <c r="B35" s="23" t="s">
        <v>54</v>
      </c>
      <c r="C35" s="23" t="s">
        <v>55</v>
      </c>
      <c r="D35" s="37" t="s">
        <v>32</v>
      </c>
      <c r="E35" s="39">
        <v>45496</v>
      </c>
    </row>
    <row r="36" spans="2:5" x14ac:dyDescent="0.25">
      <c r="B36" s="8" t="s">
        <v>571</v>
      </c>
      <c r="C36" s="8" t="s">
        <v>572</v>
      </c>
      <c r="D36" s="37" t="s">
        <v>32</v>
      </c>
      <c r="E36" s="40">
        <v>45531</v>
      </c>
    </row>
    <row r="37" spans="2:5" x14ac:dyDescent="0.25">
      <c r="B37" s="8" t="s">
        <v>576</v>
      </c>
      <c r="C37" s="8" t="s">
        <v>577</v>
      </c>
      <c r="D37" s="37" t="s">
        <v>32</v>
      </c>
      <c r="E37" s="40">
        <v>45539</v>
      </c>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1"/>
  <sheetViews>
    <sheetView workbookViewId="0">
      <pane ySplit="1" topLeftCell="A77" activePane="bottomLeft" state="frozen"/>
      <selection pane="bottomLeft" activeCell="A101" sqref="A101"/>
    </sheetView>
  </sheetViews>
  <sheetFormatPr defaultRowHeight="15" x14ac:dyDescent="0.25"/>
  <cols>
    <col min="1" max="1" width="29.140625" style="1" customWidth="1"/>
    <col min="2" max="2" width="13.5703125" customWidth="1"/>
    <col min="3" max="3" width="13.5703125" style="41" bestFit="1" customWidth="1"/>
  </cols>
  <sheetData>
    <row r="1" spans="1:3" s="1" customFormat="1" x14ac:dyDescent="0.25">
      <c r="A1" s="1" t="s">
        <v>56</v>
      </c>
      <c r="B1" s="1" t="s">
        <v>57</v>
      </c>
      <c r="C1" s="52" t="s">
        <v>58</v>
      </c>
    </row>
    <row r="2" spans="1:3" s="1" customFormat="1" x14ac:dyDescent="0.25">
      <c r="A2" s="1" t="s">
        <v>59</v>
      </c>
      <c r="B2" t="s">
        <v>60</v>
      </c>
      <c r="C2" s="41">
        <v>4</v>
      </c>
    </row>
    <row r="3" spans="1:3" s="1" customFormat="1" x14ac:dyDescent="0.25">
      <c r="B3" t="s">
        <v>61</v>
      </c>
      <c r="C3" s="41">
        <v>8.1</v>
      </c>
    </row>
    <row r="4" spans="1:3" s="1" customFormat="1" x14ac:dyDescent="0.25">
      <c r="B4" t="s">
        <v>62</v>
      </c>
      <c r="C4" s="41">
        <v>13.8</v>
      </c>
    </row>
    <row r="5" spans="1:3" s="1" customFormat="1" x14ac:dyDescent="0.25">
      <c r="B5" t="s">
        <v>63</v>
      </c>
      <c r="C5" s="41">
        <v>7.2</v>
      </c>
    </row>
    <row r="6" spans="1:3" s="1" customFormat="1" x14ac:dyDescent="0.25">
      <c r="B6" t="s">
        <v>64</v>
      </c>
      <c r="C6" s="41">
        <v>18.100000000000001</v>
      </c>
    </row>
    <row r="7" spans="1:3" s="1" customFormat="1" x14ac:dyDescent="0.25">
      <c r="B7" t="s">
        <v>65</v>
      </c>
      <c r="C7" s="41">
        <v>15.2</v>
      </c>
    </row>
    <row r="8" spans="1:3" s="1" customFormat="1" x14ac:dyDescent="0.25">
      <c r="B8" t="s">
        <v>66</v>
      </c>
      <c r="C8" s="41">
        <v>9.1</v>
      </c>
    </row>
    <row r="9" spans="1:3" s="1" customFormat="1" x14ac:dyDescent="0.25">
      <c r="B9" t="s">
        <v>67</v>
      </c>
      <c r="C9" s="41">
        <v>2.5</v>
      </c>
    </row>
    <row r="10" spans="1:3" s="1" customFormat="1" x14ac:dyDescent="0.25">
      <c r="B10" t="s">
        <v>68</v>
      </c>
      <c r="C10" s="41">
        <v>21.9</v>
      </c>
    </row>
    <row r="11" spans="1:3" s="1" customFormat="1" x14ac:dyDescent="0.25">
      <c r="B11" t="s">
        <v>69</v>
      </c>
      <c r="C11" s="41">
        <v>12.559999999999999</v>
      </c>
    </row>
    <row r="12" spans="1:3" x14ac:dyDescent="0.25">
      <c r="B12" t="s">
        <v>70</v>
      </c>
      <c r="C12" s="41">
        <v>8.1</v>
      </c>
    </row>
    <row r="13" spans="1:3" x14ac:dyDescent="0.25">
      <c r="B13" t="s">
        <v>71</v>
      </c>
      <c r="C13" s="41">
        <v>13.8</v>
      </c>
    </row>
    <row r="14" spans="1:3" x14ac:dyDescent="0.25">
      <c r="A14" s="1" t="s">
        <v>72</v>
      </c>
      <c r="B14" t="s">
        <v>65</v>
      </c>
      <c r="C14" s="41">
        <v>2.3031654375338189E-3</v>
      </c>
    </row>
    <row r="15" spans="1:3" x14ac:dyDescent="0.25">
      <c r="B15" t="s">
        <v>62</v>
      </c>
      <c r="C15" s="41">
        <v>8.1980352806225759E-2</v>
      </c>
    </row>
    <row r="16" spans="1:3" x14ac:dyDescent="0.25">
      <c r="B16" t="s">
        <v>73</v>
      </c>
      <c r="C16" s="41">
        <v>0.12246677425253254</v>
      </c>
    </row>
    <row r="17" spans="1:3" x14ac:dyDescent="0.25">
      <c r="B17" t="s">
        <v>74</v>
      </c>
      <c r="C17" s="41">
        <v>0.45445403783708543</v>
      </c>
    </row>
    <row r="18" spans="1:3" x14ac:dyDescent="0.25">
      <c r="B18" t="s">
        <v>70</v>
      </c>
      <c r="C18" s="41">
        <v>0.33879566966662278</v>
      </c>
    </row>
    <row r="19" spans="1:3" x14ac:dyDescent="0.25">
      <c r="B19" t="s">
        <v>71</v>
      </c>
      <c r="C19" s="41">
        <v>0</v>
      </c>
    </row>
    <row r="20" spans="1:3" x14ac:dyDescent="0.25">
      <c r="B20" t="s">
        <v>66</v>
      </c>
      <c r="C20" s="41">
        <v>0</v>
      </c>
    </row>
    <row r="21" spans="1:3" x14ac:dyDescent="0.25">
      <c r="B21" t="s">
        <v>69</v>
      </c>
      <c r="C21" s="41">
        <v>0</v>
      </c>
    </row>
    <row r="22" spans="1:3" x14ac:dyDescent="0.25">
      <c r="B22" t="s">
        <v>60</v>
      </c>
      <c r="C22" s="41">
        <v>0</v>
      </c>
    </row>
    <row r="23" spans="1:3" x14ac:dyDescent="0.25">
      <c r="A23" s="1" t="s">
        <v>75</v>
      </c>
      <c r="B23" t="s">
        <v>76</v>
      </c>
      <c r="C23" s="41">
        <v>0.89824190497385104</v>
      </c>
    </row>
    <row r="24" spans="1:3" x14ac:dyDescent="0.25">
      <c r="B24" t="s">
        <v>77</v>
      </c>
    </row>
    <row r="25" spans="1:3" x14ac:dyDescent="0.25">
      <c r="B25" t="s">
        <v>78</v>
      </c>
    </row>
    <row r="26" spans="1:3" x14ac:dyDescent="0.25">
      <c r="A26" s="1" t="s">
        <v>79</v>
      </c>
      <c r="B26" t="s">
        <v>76</v>
      </c>
      <c r="C26" s="41">
        <v>1</v>
      </c>
    </row>
    <row r="27" spans="1:3" x14ac:dyDescent="0.25">
      <c r="B27" t="s">
        <v>80</v>
      </c>
    </row>
    <row r="28" spans="1:3" x14ac:dyDescent="0.25">
      <c r="B28" t="s">
        <v>81</v>
      </c>
    </row>
    <row r="29" spans="1:3" x14ac:dyDescent="0.25">
      <c r="A29" s="1" t="s">
        <v>82</v>
      </c>
      <c r="B29" t="s">
        <v>76</v>
      </c>
      <c r="C29" s="44">
        <v>12.69</v>
      </c>
    </row>
    <row r="30" spans="1:3" x14ac:dyDescent="0.25">
      <c r="B30" t="s">
        <v>80</v>
      </c>
    </row>
    <row r="31" spans="1:3" x14ac:dyDescent="0.25">
      <c r="B31" t="s">
        <v>81</v>
      </c>
    </row>
    <row r="32" spans="1:3" x14ac:dyDescent="0.25">
      <c r="A32" s="1" t="s">
        <v>83</v>
      </c>
      <c r="B32" t="s">
        <v>76</v>
      </c>
      <c r="C32" s="41">
        <v>0.42</v>
      </c>
    </row>
    <row r="33" spans="1:3" x14ac:dyDescent="0.25">
      <c r="B33" t="s">
        <v>77</v>
      </c>
    </row>
    <row r="34" spans="1:3" x14ac:dyDescent="0.25">
      <c r="B34" t="s">
        <v>78</v>
      </c>
    </row>
    <row r="35" spans="1:3" x14ac:dyDescent="0.25">
      <c r="A35" s="1" t="s">
        <v>84</v>
      </c>
      <c r="B35" t="s">
        <v>76</v>
      </c>
      <c r="C35" s="41">
        <v>1</v>
      </c>
    </row>
    <row r="36" spans="1:3" x14ac:dyDescent="0.25">
      <c r="B36" t="s">
        <v>80</v>
      </c>
    </row>
    <row r="37" spans="1:3" x14ac:dyDescent="0.25">
      <c r="B37" t="s">
        <v>81</v>
      </c>
    </row>
    <row r="38" spans="1:3" x14ac:dyDescent="0.25">
      <c r="A38" s="1" t="s">
        <v>85</v>
      </c>
      <c r="B38" t="s">
        <v>76</v>
      </c>
      <c r="C38">
        <v>16</v>
      </c>
    </row>
    <row r="39" spans="1:3" x14ac:dyDescent="0.25">
      <c r="B39" t="s">
        <v>80</v>
      </c>
      <c r="C39"/>
    </row>
    <row r="40" spans="1:3" x14ac:dyDescent="0.25">
      <c r="B40" t="s">
        <v>81</v>
      </c>
      <c r="C40"/>
    </row>
    <row r="41" spans="1:3" x14ac:dyDescent="0.25">
      <c r="A41" s="1" t="s">
        <v>86</v>
      </c>
      <c r="B41" t="s">
        <v>76</v>
      </c>
      <c r="C41">
        <v>12.5</v>
      </c>
    </row>
    <row r="42" spans="1:3" x14ac:dyDescent="0.25">
      <c r="B42" t="s">
        <v>80</v>
      </c>
      <c r="C42"/>
    </row>
    <row r="43" spans="1:3" x14ac:dyDescent="0.25">
      <c r="B43" t="s">
        <v>81</v>
      </c>
      <c r="C43"/>
    </row>
    <row r="44" spans="1:3" x14ac:dyDescent="0.25">
      <c r="A44" s="1" t="s">
        <v>87</v>
      </c>
      <c r="C44" s="41" t="s">
        <v>88</v>
      </c>
    </row>
    <row r="45" spans="1:3" x14ac:dyDescent="0.25">
      <c r="A45" s="1" t="s">
        <v>89</v>
      </c>
      <c r="B45" t="s">
        <v>76</v>
      </c>
      <c r="C45" s="41">
        <v>0</v>
      </c>
    </row>
    <row r="46" spans="1:3" x14ac:dyDescent="0.25">
      <c r="B46" t="s">
        <v>77</v>
      </c>
    </row>
    <row r="47" spans="1:3" x14ac:dyDescent="0.25">
      <c r="B47" t="s">
        <v>78</v>
      </c>
    </row>
    <row r="48" spans="1:3" x14ac:dyDescent="0.25">
      <c r="A48" s="1" t="s">
        <v>90</v>
      </c>
      <c r="C48" s="41" t="s">
        <v>91</v>
      </c>
    </row>
    <row r="49" spans="1:3" x14ac:dyDescent="0.25">
      <c r="A49" s="1" t="s">
        <v>92</v>
      </c>
      <c r="B49" t="s">
        <v>76</v>
      </c>
      <c r="C49" s="41">
        <v>0.441176470588235</v>
      </c>
    </row>
    <row r="50" spans="1:3" x14ac:dyDescent="0.25">
      <c r="B50" t="s">
        <v>77</v>
      </c>
      <c r="C50"/>
    </row>
    <row r="51" spans="1:3" x14ac:dyDescent="0.25">
      <c r="B51" t="s">
        <v>78</v>
      </c>
      <c r="C51"/>
    </row>
    <row r="52" spans="1:3" x14ac:dyDescent="0.25">
      <c r="A52" s="1" t="s">
        <v>93</v>
      </c>
      <c r="B52" t="s">
        <v>94</v>
      </c>
    </row>
    <row r="53" spans="1:3" x14ac:dyDescent="0.25">
      <c r="A53" s="1" t="s">
        <v>95</v>
      </c>
      <c r="C53" s="41" t="s">
        <v>91</v>
      </c>
    </row>
    <row r="54" spans="1:3" x14ac:dyDescent="0.25">
      <c r="A54" s="1" t="s">
        <v>96</v>
      </c>
      <c r="B54" t="s">
        <v>76</v>
      </c>
      <c r="C54" s="41">
        <v>3.8910505836575897E-2</v>
      </c>
    </row>
    <row r="55" spans="1:3" x14ac:dyDescent="0.25">
      <c r="B55" t="s">
        <v>77</v>
      </c>
    </row>
    <row r="56" spans="1:3" x14ac:dyDescent="0.25">
      <c r="B56" t="s">
        <v>78</v>
      </c>
    </row>
    <row r="57" spans="1:3" x14ac:dyDescent="0.25">
      <c r="A57" s="1" t="s">
        <v>97</v>
      </c>
      <c r="B57" t="s">
        <v>76</v>
      </c>
      <c r="C57" s="41">
        <v>0.3</v>
      </c>
    </row>
    <row r="58" spans="1:3" x14ac:dyDescent="0.25">
      <c r="B58" t="s">
        <v>77</v>
      </c>
      <c r="C58" s="53"/>
    </row>
    <row r="59" spans="1:3" x14ac:dyDescent="0.25">
      <c r="B59" t="s">
        <v>78</v>
      </c>
      <c r="C59" s="53"/>
    </row>
    <row r="60" spans="1:3" x14ac:dyDescent="0.25">
      <c r="A60" s="1" t="s">
        <v>98</v>
      </c>
      <c r="B60" t="s">
        <v>94</v>
      </c>
    </row>
    <row r="61" spans="1:3" x14ac:dyDescent="0.25">
      <c r="A61" s="1" t="s">
        <v>99</v>
      </c>
      <c r="B61" t="s">
        <v>76</v>
      </c>
      <c r="C61" s="41">
        <v>1</v>
      </c>
    </row>
    <row r="62" spans="1:3" x14ac:dyDescent="0.25">
      <c r="B62" t="s">
        <v>80</v>
      </c>
      <c r="C62"/>
    </row>
    <row r="63" spans="1:3" x14ac:dyDescent="0.25">
      <c r="B63" t="s">
        <v>81</v>
      </c>
      <c r="C63"/>
    </row>
    <row r="64" spans="1:3" x14ac:dyDescent="0.25">
      <c r="A64" s="1" t="s">
        <v>100</v>
      </c>
      <c r="B64" t="s">
        <v>76</v>
      </c>
      <c r="C64" s="41">
        <v>1</v>
      </c>
    </row>
    <row r="65" spans="1:5" x14ac:dyDescent="0.25">
      <c r="B65" t="s">
        <v>80</v>
      </c>
      <c r="C65"/>
    </row>
    <row r="66" spans="1:5" x14ac:dyDescent="0.25">
      <c r="B66" t="s">
        <v>81</v>
      </c>
      <c r="C66"/>
    </row>
    <row r="67" spans="1:5" x14ac:dyDescent="0.25">
      <c r="A67" s="1" t="s">
        <v>101</v>
      </c>
      <c r="B67" t="s">
        <v>76</v>
      </c>
      <c r="C67" s="41">
        <v>1</v>
      </c>
    </row>
    <row r="68" spans="1:5" x14ac:dyDescent="0.25">
      <c r="B68" t="s">
        <v>80</v>
      </c>
      <c r="C68"/>
    </row>
    <row r="69" spans="1:5" x14ac:dyDescent="0.25">
      <c r="B69" t="s">
        <v>81</v>
      </c>
      <c r="C69"/>
    </row>
    <row r="70" spans="1:5" x14ac:dyDescent="0.25">
      <c r="A70" s="1" t="s">
        <v>102</v>
      </c>
      <c r="B70" t="s">
        <v>76</v>
      </c>
      <c r="C70" s="41">
        <v>1</v>
      </c>
    </row>
    <row r="71" spans="1:5" x14ac:dyDescent="0.25">
      <c r="B71" t="s">
        <v>80</v>
      </c>
      <c r="C71"/>
    </row>
    <row r="72" spans="1:5" x14ac:dyDescent="0.25">
      <c r="B72" t="s">
        <v>81</v>
      </c>
      <c r="C72"/>
    </row>
    <row r="73" spans="1:5" x14ac:dyDescent="0.25">
      <c r="A73" s="1" t="s">
        <v>103</v>
      </c>
      <c r="B73" t="s">
        <v>76</v>
      </c>
      <c r="C73" s="41">
        <v>1</v>
      </c>
    </row>
    <row r="74" spans="1:5" x14ac:dyDescent="0.25">
      <c r="B74" t="s">
        <v>80</v>
      </c>
      <c r="C74"/>
    </row>
    <row r="75" spans="1:5" x14ac:dyDescent="0.25">
      <c r="B75" t="s">
        <v>81</v>
      </c>
      <c r="C75"/>
    </row>
    <row r="76" spans="1:5" x14ac:dyDescent="0.25">
      <c r="A76" s="1" t="s">
        <v>104</v>
      </c>
      <c r="B76" t="s">
        <v>65</v>
      </c>
      <c r="C76">
        <v>3340.8173200000001</v>
      </c>
      <c r="E76" s="70"/>
    </row>
    <row r="77" spans="1:5" x14ac:dyDescent="0.25">
      <c r="B77" t="s">
        <v>62</v>
      </c>
      <c r="C77" s="41">
        <v>278221.03999999998</v>
      </c>
      <c r="E77" s="70"/>
    </row>
    <row r="78" spans="1:5" x14ac:dyDescent="0.25">
      <c r="B78" t="s">
        <v>73</v>
      </c>
      <c r="C78">
        <v>163823.92000000001</v>
      </c>
      <c r="E78" s="70"/>
    </row>
    <row r="79" spans="1:5" x14ac:dyDescent="0.25">
      <c r="B79" t="s">
        <v>74</v>
      </c>
      <c r="C79">
        <v>1033752.25</v>
      </c>
      <c r="E79" s="70"/>
    </row>
    <row r="80" spans="1:5" x14ac:dyDescent="0.25">
      <c r="B80" t="s">
        <v>70</v>
      </c>
      <c r="C80">
        <v>371604.37</v>
      </c>
      <c r="E80" s="70"/>
    </row>
    <row r="81" spans="1:3" x14ac:dyDescent="0.25">
      <c r="B81" t="s">
        <v>71</v>
      </c>
    </row>
    <row r="82" spans="1:3" x14ac:dyDescent="0.25">
      <c r="B82" t="s">
        <v>66</v>
      </c>
    </row>
    <row r="83" spans="1:3" x14ac:dyDescent="0.25">
      <c r="B83" t="s">
        <v>69</v>
      </c>
    </row>
    <row r="84" spans="1:3" x14ac:dyDescent="0.25">
      <c r="B84" t="s">
        <v>60</v>
      </c>
    </row>
    <row r="85" spans="1:3" x14ac:dyDescent="0.25">
      <c r="A85" s="1" t="s">
        <v>105</v>
      </c>
      <c r="B85" t="s">
        <v>94</v>
      </c>
    </row>
    <row r="86" spans="1:3" x14ac:dyDescent="0.25">
      <c r="A86" s="1" t="s">
        <v>106</v>
      </c>
      <c r="B86" t="s">
        <v>76</v>
      </c>
      <c r="C86" s="41">
        <v>0.625</v>
      </c>
    </row>
    <row r="87" spans="1:3" x14ac:dyDescent="0.25">
      <c r="B87" t="s">
        <v>77</v>
      </c>
    </row>
    <row r="88" spans="1:3" x14ac:dyDescent="0.25">
      <c r="B88" t="s">
        <v>78</v>
      </c>
    </row>
    <row r="89" spans="1:3" x14ac:dyDescent="0.25">
      <c r="A89" s="1" t="s">
        <v>107</v>
      </c>
      <c r="C89" s="41" t="s">
        <v>108</v>
      </c>
    </row>
    <row r="90" spans="1:3" x14ac:dyDescent="0.25">
      <c r="A90" s="1" t="s">
        <v>109</v>
      </c>
      <c r="C90" s="41" t="s">
        <v>110</v>
      </c>
    </row>
    <row r="91" spans="1:3" x14ac:dyDescent="0.25">
      <c r="A91" s="1" t="s">
        <v>111</v>
      </c>
      <c r="C91">
        <v>0.98</v>
      </c>
    </row>
    <row r="92" spans="1:3" x14ac:dyDescent="0.25">
      <c r="A92" s="1" t="s">
        <v>112</v>
      </c>
      <c r="C92" t="s">
        <v>113</v>
      </c>
    </row>
    <row r="93" spans="1:3" x14ac:dyDescent="0.25">
      <c r="A93" s="1" t="s">
        <v>114</v>
      </c>
      <c r="C93" t="s">
        <v>115</v>
      </c>
    </row>
    <row r="94" spans="1:3" x14ac:dyDescent="0.25">
      <c r="A94" s="1" t="s">
        <v>116</v>
      </c>
      <c r="C94">
        <v>0.98</v>
      </c>
    </row>
    <row r="95" spans="1:3" x14ac:dyDescent="0.25">
      <c r="A95" s="1" t="s">
        <v>117</v>
      </c>
      <c r="C95" t="s">
        <v>118</v>
      </c>
    </row>
    <row r="96" spans="1:3" x14ac:dyDescent="0.25">
      <c r="A96" s="1" t="s">
        <v>119</v>
      </c>
      <c r="C96" t="s">
        <v>120</v>
      </c>
    </row>
    <row r="97" spans="1:3" x14ac:dyDescent="0.25">
      <c r="A97" s="1" t="s">
        <v>121</v>
      </c>
      <c r="C97">
        <v>0.99</v>
      </c>
    </row>
    <row r="98" spans="1:3" x14ac:dyDescent="0.25">
      <c r="A98" s="1" t="s">
        <v>122</v>
      </c>
      <c r="C98" t="s">
        <v>118</v>
      </c>
    </row>
    <row r="99" spans="1:3" x14ac:dyDescent="0.25">
      <c r="A99" s="1" t="s">
        <v>123</v>
      </c>
      <c r="C99" t="s">
        <v>120</v>
      </c>
    </row>
    <row r="100" spans="1:3" x14ac:dyDescent="0.25">
      <c r="A100" s="1" t="s">
        <v>124</v>
      </c>
      <c r="C100" s="41">
        <v>7</v>
      </c>
    </row>
    <row r="101" spans="1:3" x14ac:dyDescent="0.25">
      <c r="A101" s="1" t="s">
        <v>125</v>
      </c>
      <c r="C101" s="41" t="s">
        <v>126</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C79" workbookViewId="0">
      <selection activeCell="L104" sqref="L104"/>
    </sheetView>
  </sheetViews>
  <sheetFormatPr defaultRowHeight="15" x14ac:dyDescent="0.25"/>
  <cols>
    <col min="1" max="2" width="8.85546875" style="5"/>
    <col min="3" max="3" width="33.5703125" style="5" customWidth="1"/>
    <col min="4" max="4" width="28" style="5" customWidth="1"/>
    <col min="5" max="5" width="16.570312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127</v>
      </c>
      <c r="L1" s="34" t="s">
        <v>128</v>
      </c>
    </row>
    <row r="2" spans="1:18" x14ac:dyDescent="0.25">
      <c r="L2" s="18" t="s">
        <v>129</v>
      </c>
    </row>
    <row r="3" spans="1:18" s="1" customFormat="1" x14ac:dyDescent="0.25">
      <c r="A3" s="5" t="s">
        <v>130</v>
      </c>
      <c r="B3" s="5" t="s">
        <v>131</v>
      </c>
      <c r="C3" s="5" t="s">
        <v>132</v>
      </c>
      <c r="D3" s="5" t="s">
        <v>133</v>
      </c>
      <c r="E3" s="1" t="s">
        <v>134</v>
      </c>
      <c r="F3" s="1" t="s">
        <v>135</v>
      </c>
      <c r="G3" s="1" t="s">
        <v>136</v>
      </c>
      <c r="H3" s="13" t="s">
        <v>137</v>
      </c>
      <c r="I3" s="13" t="s">
        <v>138</v>
      </c>
      <c r="J3" s="1" t="s">
        <v>139</v>
      </c>
      <c r="K3" s="1" t="s">
        <v>6</v>
      </c>
      <c r="L3" s="1" t="s">
        <v>140</v>
      </c>
      <c r="M3" s="1" t="s">
        <v>141</v>
      </c>
      <c r="N3" s="1" t="s">
        <v>142</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cm="1">
        <f t="array" aca="1" ref="H4" ca="1">IF(ISBLANK(INDIRECT(ADDRESS(B4,A4,1,1,"all_city_parameter_inputs"))), "--",INDIRECT(ADDRESS(B4,A4,1,1,"all_city_parameter_inputs")))</f>
        <v>4</v>
      </c>
      <c r="I4" s="14">
        <f ca="1">IF(OR(G4="alpha",G4="beta",G4="sd",G4="mean"),"--",VLOOKUP(C4,Default!$B$5:$H$114,7,FALSE))</f>
        <v>4</v>
      </c>
      <c r="J4" s="4" t="str">
        <f ca="1">VLOOKUP(F4,Lookup!$C$5:$D$110,2, FALSE)</f>
        <v>Travel values</v>
      </c>
      <c r="K4" s="4">
        <f ca="1">VLOOKUP(C4,Default!$B$4:$E$114,4, FALSE)</f>
        <v>0</v>
      </c>
      <c r="L4" s="26"/>
      <c r="M4" s="18" t="s">
        <v>143</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IF(OR(G5="alpha",G5="beta",G5="sd",G5="mean"),"--",VLOOKUP(C5,Default!$B$5:$H$114,7,FALSE))</f>
        <v>8.1</v>
      </c>
      <c r="J5" s="4" t="str">
        <f ca="1">VLOOKUP(F5,Lookup!$C$5:$D$110,2, FALSE)</f>
        <v>Travel values</v>
      </c>
      <c r="K5" s="4" t="str">
        <f ca="1">VLOOKUP(C5,Default!$B$4:$E$114,4,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IF(OR(G6="alpha",G6="beta",G6="sd",G6="mean"),"--",VLOOKUP(C6,Default!$B$5:$H$114,7,FALSE))</f>
        <v>13.8</v>
      </c>
      <c r="J6" s="4" t="str">
        <f ca="1">VLOOKUP(F6,Lookup!$C$5:$D$110,2, FALSE)</f>
        <v>Travel values</v>
      </c>
      <c r="K6" s="4">
        <f ca="1">VLOOKUP(C6,Default!$B$4:$E$114,4,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IF(OR(G7="alpha",G7="beta",G7="sd",G7="mean"),"--",VLOOKUP(C7,Default!$B$5:$H$114,7,FALSE))</f>
        <v>7.2</v>
      </c>
      <c r="J7" s="4" t="str">
        <f ca="1">VLOOKUP(F7,Lookup!$C$5:$D$110,2, FALSE)</f>
        <v>Travel values</v>
      </c>
      <c r="K7" s="4">
        <f ca="1">VLOOKUP(C7,Default!$B$4:$E$114,4,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IF(OR(G8="alpha",G8="beta",G8="sd",G8="mean"),"--",VLOOKUP(C8,Default!$B$5:$H$114,7,FALSE))</f>
        <v>18.100000000000001</v>
      </c>
      <c r="J8" s="4" t="str">
        <f ca="1">VLOOKUP(F8,Lookup!$C$5:$D$110,2, FALSE)</f>
        <v>Travel values</v>
      </c>
      <c r="K8" s="4">
        <f ca="1">VLOOKUP(C8,Default!$B$4:$E$114,4,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IF(OR(G9="alpha",G9="beta",G9="sd",G9="mean"),"--",VLOOKUP(C9,Default!$B$5:$H$114,7,FALSE))</f>
        <v>15.2</v>
      </c>
      <c r="J9" s="4" t="str">
        <f ca="1">VLOOKUP(F9,Lookup!$C$5:$D$110,2, FALSE)</f>
        <v>Travel values</v>
      </c>
      <c r="K9" s="4">
        <f ca="1">VLOOKUP(C9,Default!$B$4:$E$114,4,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IF(OR(G10="alpha",G10="beta",G10="sd",G10="mean"),"--",VLOOKUP(C10,Default!$B$5:$H$114,7,FALSE))</f>
        <v>9.1</v>
      </c>
      <c r="J10" s="4" t="str">
        <f ca="1">VLOOKUP(F10,Lookup!$C$5:$D$110,2, FALSE)</f>
        <v>Travel values</v>
      </c>
      <c r="K10" s="4">
        <f ca="1">VLOOKUP(C10,Default!$B$4:$E$114,4,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IF(OR(G11="alpha",G11="beta",G11="sd",G11="mean"),"--",VLOOKUP(C11,Default!$B$5:$H$114,7,FALSE))</f>
        <v>2.5</v>
      </c>
      <c r="J11" s="4" t="str">
        <f ca="1">VLOOKUP(F11,Lookup!$C$5:$D$110,2, FALSE)</f>
        <v>Travel values</v>
      </c>
      <c r="K11" s="4">
        <f ca="1">VLOOKUP(C11,Default!$B$4:$E$114,4,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IF(OR(G12="alpha",G12="beta",G12="sd",G12="mean"),"--",VLOOKUP(C12,Default!$B$5:$H$114,7,FALSE))</f>
        <v>21.9</v>
      </c>
      <c r="J12" s="4" t="str">
        <f ca="1">VLOOKUP(F12,Lookup!$C$5:$D$110,2, FALSE)</f>
        <v>Travel values</v>
      </c>
      <c r="K12" s="4">
        <f ca="1">VLOOKUP(C12,Default!$B$4:$E$114,4,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IF(OR(G13="alpha",G13="beta",G13="sd",G13="mean"),"--",VLOOKUP(C13,Default!$B$5:$H$114,7,FALSE))</f>
        <v>13.8</v>
      </c>
      <c r="J13" s="4" t="str">
        <f ca="1">VLOOKUP(F13,Lookup!$C$5:$D$110,2, FALSE)</f>
        <v>Travel values</v>
      </c>
      <c r="K13" s="4">
        <f ca="1">VLOOKUP(C13,Default!$B$4:$E$114,4,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IF(OR(G14="alpha",G14="beta",G14="sd",G14="mean"),"--",VLOOKUP(C14,Default!$B$5:$H$114,7,FALSE))</f>
        <v>8.1</v>
      </c>
      <c r="J14" s="4" t="str">
        <f ca="1">VLOOKUP(F14,Lookup!$C$5:$D$110,2, FALSE)</f>
        <v>Travel values</v>
      </c>
      <c r="K14" s="4">
        <f ca="1">VLOOKUP(C14,Default!$B$4:$E$114,4,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IF(OR(G15="alpha",G15="beta",G15="sd",G15="mean"),"--",VLOOKUP(C15,Default!$B$5:$H$114,7,FALSE))</f>
        <v>13.8</v>
      </c>
      <c r="J15" s="4" t="str">
        <f ca="1">VLOOKUP(F15,Lookup!$C$5:$D$110,2, FALSE)</f>
        <v>Travel values</v>
      </c>
      <c r="K15" s="4">
        <f ca="1">VLOOKUP(C15,Default!$B$4:$E$114,4,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IF(OR(G16="alpha",G16="beta",G16="sd",G16="mean"),"--",VLOOKUP(C16,Default!$B$5:$H$114,7,FALSE))</f>
        <v>2.3031654375338189E-3</v>
      </c>
      <c r="J16" s="4" t="str">
        <f ca="1">VLOOKUP(F16,Lookup!$C$5:$D$110,2, FALSE)</f>
        <v>Pollution values</v>
      </c>
      <c r="K16" s="4" t="str">
        <f ca="1">VLOOKUP(C16,Default!$B$4:$E$114,4,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144</v>
      </c>
      <c r="M16" s="34" t="s">
        <v>145</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IF(OR(G17="alpha",G17="beta",G17="sd",G17="mean"),"--",VLOOKUP(C17,Default!$B$5:$H$114,7,FALSE))</f>
        <v>8.1980352806225759E-2</v>
      </c>
      <c r="J17" s="4" t="str">
        <f ca="1">VLOOKUP(F17,Lookup!$C$5:$D$110,2, FALSE)</f>
        <v>Pollution values</v>
      </c>
      <c r="K17" s="4">
        <f ca="1">VLOOKUP(C17,Default!$B$4:$E$114,4,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IF(OR(G18="alpha",G18="beta",G18="sd",G18="mean"),"--",VLOOKUP(C18,Default!$B$5:$H$114,7,FALSE))</f>
        <v>0.12246677425253254</v>
      </c>
      <c r="J18" s="4" t="str">
        <f ca="1">VLOOKUP(F18,Lookup!$C$5:$D$110,2, FALSE)</f>
        <v>Pollution values</v>
      </c>
      <c r="K18" s="4">
        <f ca="1">VLOOKUP(C18,Default!$B$4:$E$114,4,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heavy_truck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heavy_truck</v>
      </c>
      <c r="H19" s="14" cm="1">
        <f t="array" aca="1" ref="H19" ca="1">IF(ISBLANK(INDIRECT(ADDRESS(B19,A19,1,1,"all_city_parameter_inputs"))), "--",INDIRECT(ADDRESS(B19,A19,1,1,"all_city_parameter_inputs")))</f>
        <v>0.45445403783708543</v>
      </c>
      <c r="I19" s="14">
        <f ca="1">IF(OR(G19="alpha",G19="beta",G19="sd",G19="mean"),"--",VLOOKUP(C19,Default!$B$5:$H$114,7,FALSE))</f>
        <v>0.45445403783708543</v>
      </c>
      <c r="J19" s="4" t="str">
        <f ca="1">VLOOKUP(F19,Lookup!$C$5:$D$110,2, FALSE)</f>
        <v>Pollution values</v>
      </c>
      <c r="K19" s="4">
        <f ca="1">VLOOKUP(C19,Default!$B$4:$E$114,4,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IF(OR(G20="alpha",G20="beta",G20="sd",G20="mean"),"--",VLOOKUP(C20,Default!$B$5:$H$114,7,FALSE))</f>
        <v>0.33879566966662278</v>
      </c>
      <c r="J20" s="4" t="str">
        <f ca="1">VLOOKUP(F20,Lookup!$C$5:$D$110,2, FALSE)</f>
        <v>Pollution values</v>
      </c>
      <c r="K20" s="4">
        <f ca="1">VLOOKUP(C20,Default!$B$4:$E$114,4,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IF(OR(G21="alpha",G21="beta",G21="sd",G21="mean"),"--",VLOOKUP(C21,Default!$B$5:$H$114,7,FALSE))</f>
        <v>0</v>
      </c>
      <c r="J21" s="4" t="str">
        <f ca="1">VLOOKUP(F21,Lookup!$C$5:$D$110,2, FALSE)</f>
        <v>Pollution values</v>
      </c>
      <c r="K21" s="4">
        <f ca="1">VLOOKUP(C21,Default!$B$4:$E$114,4,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IF(OR(G22="alpha",G22="beta",G22="sd",G22="mean"),"--",VLOOKUP(C22,Default!$B$5:$H$114,7,FALSE))</f>
        <v>0</v>
      </c>
      <c r="J22" s="4" t="str">
        <f ca="1">VLOOKUP(F22,Lookup!$C$5:$D$110,2, FALSE)</f>
        <v>Pollution values</v>
      </c>
      <c r="K22" s="4">
        <f ca="1">VLOOKUP(C22,Default!$B$4:$E$114,4,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IF(OR(G23="alpha",G23="beta",G23="sd",G23="mean"),"--",VLOOKUP(C23,Default!$B$5:$H$114,7,FALSE))</f>
        <v>0</v>
      </c>
      <c r="J23" s="4" t="str">
        <f ca="1">VLOOKUP(F23,Lookup!$C$5:$D$110,2, FALSE)</f>
        <v>Pollution values</v>
      </c>
      <c r="K23" s="4">
        <f ca="1">VLOOKUP(C23,Default!$B$4:$E$114,4,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IF(OR(G24="alpha",G24="beta",G24="sd",G24="mean"),"--",VLOOKUP(C24,Default!$B$5:$H$114,7,FALSE))</f>
        <v>0</v>
      </c>
      <c r="J24" s="4" t="str">
        <f ca="1">VLOOKUP(F24,Lookup!$C$5:$D$110,2, FALSE)</f>
        <v>Pollution values</v>
      </c>
      <c r="K24" s="4">
        <f ca="1">VLOOKUP(C24,Default!$B$4:$E$114,4,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IF(OR(G25="alpha",G25="beta",G25="sd",G25="mean"),"--",VLOOKUP(C25,Default!$B$5:$H$114,7,FALSE))</f>
        <v>1</v>
      </c>
      <c r="J25" s="4" t="str">
        <f ca="1">VLOOKUP(F25,Lookup!$C$5:$D$110,2, FALSE)</f>
        <v>Injury values</v>
      </c>
      <c r="K25" s="4" t="str">
        <f ca="1">VLOOKUP(C25,Default!$B$4:$E$114,4, FALSE)</f>
        <v>rate at which injuries are reported</v>
      </c>
      <c r="L25" s="35" t="s">
        <v>146</v>
      </c>
      <c r="M25" s="57" t="s">
        <v>147</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IF(OR(G26="alpha",G26="beta",G26="sd",G26="mean"),"--",VLOOKUP(C26,Default!$B$5:$H$114,7,FALSE))</f>
        <v>--</v>
      </c>
      <c r="J26" s="4" t="str">
        <f ca="1">VLOOKUP(F26,Lookup!$C$5:$D$110,2, FALSE)</f>
        <v>Injury values</v>
      </c>
      <c r="K26" s="4" t="str">
        <f ca="1">VLOOKUP(C26,Default!$B$4:$E$114,4,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IF(OR(G27="alpha",G27="beta",G27="sd",G27="mean"),"--",VLOOKUP(C27,Default!$B$5:$H$114,7,FALSE))</f>
        <v>--</v>
      </c>
      <c r="J27" s="4" t="str">
        <f ca="1">VLOOKUP(F27,Lookup!$C$5:$D$110,2, FALSE)</f>
        <v>Injury values</v>
      </c>
      <c r="K27" s="4" t="str">
        <f ca="1">VLOOKUP(C27,Default!$B$4:$E$114,4,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IF(OR(G28="alpha",G28="beta",G28="sd",G28="mean"),"--",VLOOKUP(C28,Default!$B$5:$H$114,7,FALSE))</f>
        <v>1</v>
      </c>
      <c r="J28" s="4" t="str">
        <f ca="1">VLOOKUP(F28,Lookup!$C$5:$D$110,2, FALSE)</f>
        <v>Health values</v>
      </c>
      <c r="K28" s="4" t="str">
        <f ca="1">VLOOKUP(C28,Default!$B$4:$E$114,4, FALSE)</f>
        <v>scalar for GBD data</v>
      </c>
      <c r="L28" s="34" t="s">
        <v>148</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IF(OR(G29="alpha",G29="beta",G29="sd",G29="mean"),"--",VLOOKUP(C29,Default!$B$5:$H$114,7,FALSE))</f>
        <v>--</v>
      </c>
      <c r="J29" s="4" t="str">
        <f ca="1">VLOOKUP(F29,Lookup!$C$5:$D$110,2, FALSE)</f>
        <v>Health values</v>
      </c>
      <c r="K29" s="4" t="str">
        <f ca="1">VLOOKUP(C29,Default!$B$4:$E$114,4,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IF(OR(G30="alpha",G30="beta",G30="sd",G30="mean"),"--",VLOOKUP(C30,Default!$B$5:$H$114,7,FALSE))</f>
        <v>--</v>
      </c>
      <c r="J30" s="4" t="str">
        <f ca="1">VLOOKUP(F30,Lookup!$C$5:$D$110,2, FALSE)</f>
        <v>Health values</v>
      </c>
      <c r="K30" s="4" t="str">
        <f ca="1">VLOOKUP(C30,Default!$B$4:$E$114,4,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f ca="1">IF(OR(G31="alpha",G31="beta",G31="sd",G31="mean"),"--",VLOOKUP(C31,Default!$B$5:$H$114,7,FALSE))</f>
        <v>12.69</v>
      </c>
      <c r="J31" s="4" t="str">
        <f ca="1">VLOOKUP(F31,Lookup!$C$5:$D$110,2, FALSE)</f>
        <v>Pollution values</v>
      </c>
      <c r="K31" s="4" t="str">
        <f ca="1">VLOOKUP(C31,Default!$B$4:$E$114,4, FALSE)</f>
        <v>background PM2.5 concentration</v>
      </c>
      <c r="L31" s="34" t="s">
        <v>149</v>
      </c>
      <c r="M31" s="18" t="s">
        <v>150</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IF(OR(G32="alpha",G32="beta",G32="sd",G32="mean"),"--",VLOOKUP(C32,Default!$B$5:$H$114,7,FALSE))</f>
        <v>--</v>
      </c>
      <c r="J32" s="4" t="str">
        <f ca="1">VLOOKUP(F32,Lookup!$C$5:$D$110,2, FALSE)</f>
        <v>Pollution values</v>
      </c>
      <c r="K32" s="4" t="str">
        <f ca="1">VLOOKUP(C32,Default!$B$4:$E$114,4, FALSE)</f>
        <v>background PM2.5 concentration</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IF(OR(G33="alpha",G33="beta",G33="sd",G33="mean"),"--",VLOOKUP(C33,Default!$B$5:$H$114,7,FALSE))</f>
        <v>--</v>
      </c>
      <c r="J33" s="4" t="str">
        <f ca="1">VLOOKUP(F33,Lookup!$C$5:$D$110,2, FALSE)</f>
        <v>Pollution values</v>
      </c>
      <c r="K33" s="4" t="str">
        <f ca="1">VLOOKUP(C33,Default!$B$4:$E$114,4, FALSE)</f>
        <v>background PM2.5 concentration</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IF(OR(G34="alpha",G34="beta",G34="sd",G34="mean"),"--",VLOOKUP(C34,Default!$B$5:$H$114,7,FALSE))</f>
        <v>0.42</v>
      </c>
      <c r="J34" s="4" t="str">
        <f ca="1">VLOOKUP(F34,Lookup!$C$5:$D$110,2, FALSE)</f>
        <v>Pollution values</v>
      </c>
      <c r="K34" s="4" t="str">
        <f ca="1">VLOOKUP(C34,Default!$B$4:$E$114,4, FALSE)</f>
        <v>proportion of background PM2.5 attributable to transport</v>
      </c>
      <c r="L34" s="34" t="s">
        <v>151</v>
      </c>
      <c r="M34" s="18" t="s">
        <v>152</v>
      </c>
      <c r="N34" s="18" t="s">
        <v>153</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IF(OR(G35="alpha",G35="beta",G35="sd",G35="mean"),"--",VLOOKUP(C35,Default!$B$5:$H$114,7,FALSE))</f>
        <v>--</v>
      </c>
      <c r="J35" s="4" t="str">
        <f ca="1">VLOOKUP(F35,Lookup!$C$5:$D$110,2, FALSE)</f>
        <v>Pollution values</v>
      </c>
      <c r="K35" s="4" t="str">
        <f ca="1">VLOOKUP(C35,Default!$B$4:$E$114,4,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IF(OR(G36="alpha",G36="beta",G36="sd",G36="mean"),"--",VLOOKUP(C36,Default!$B$5:$H$114,7,FALSE))</f>
        <v>--</v>
      </c>
      <c r="J36" s="4" t="str">
        <f ca="1">VLOOKUP(F36,Lookup!$C$5:$D$110,2, FALSE)</f>
        <v>Pollution values</v>
      </c>
      <c r="K36" s="4" t="str">
        <f ca="1">VLOOKUP(C36,Default!$B$4:$E$114,4,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IF(OR(G37="alpha",G37="beta",G37="sd",G37="mean"),"--",VLOOKUP(C37,Default!$B$5:$H$114,7,FALSE))</f>
        <v>1</v>
      </c>
      <c r="J37" s="4" t="str">
        <f ca="1">VLOOKUP(F37,Lookup!$C$5:$D$110,2, FALSE)</f>
        <v>PA values</v>
      </c>
      <c r="K37" s="4" t="str">
        <f ca="1">VLOOKUP(C37,Default!$B$4:$E$114,4, FALSE)</f>
        <v>scalar for physical activity</v>
      </c>
      <c r="L37" s="34" t="s">
        <v>154</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IF(OR(G38="alpha",G38="beta",G38="sd",G38="mean"),"--",VLOOKUP(C38,Default!$B$5:$H$114,7,FALSE))</f>
        <v>--</v>
      </c>
      <c r="J38" s="4" t="str">
        <f ca="1">VLOOKUP(F38,Lookup!$C$5:$D$110,2, FALSE)</f>
        <v>PA values</v>
      </c>
      <c r="K38" s="4" t="str">
        <f ca="1">VLOOKUP(C38,Default!$B$4:$E$114,4,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IF(OR(G39="alpha",G39="beta",G39="sd",G39="mean"),"--",VLOOKUP(C39,Default!$B$5:$H$114,7,FALSE))</f>
        <v>--</v>
      </c>
      <c r="J39" s="4" t="str">
        <f ca="1">VLOOKUP(F39,Lookup!$C$5:$D$110,2, FALSE)</f>
        <v>PA values</v>
      </c>
      <c r="K39" s="4" t="str">
        <f ca="1">VLOOKUP(C39,Default!$B$4:$E$114,4,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IF(OR(G40="alpha",G40="beta",G40="sd",G40="mean"),"--",VLOOKUP(C40,Default!$B$5:$H$114,7,FALSE))</f>
        <v>16</v>
      </c>
      <c r="J40" s="4" t="str">
        <f ca="1">VLOOKUP(F40,Lookup!$C$5:$D$110,2, FALSE)</f>
        <v>Travel values</v>
      </c>
      <c r="K40" s="4" t="str">
        <f ca="1">VLOOKUP(C40,Default!$B$4:$E$114,4, FALSE)</f>
        <v>time taken to walk to bus stop, added to each trip with main mode bus unless there is already a walking component in the travel survey</v>
      </c>
      <c r="L40" s="34" t="s">
        <v>155</v>
      </c>
      <c r="M40" s="18" t="s">
        <v>156</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IF(OR(G41="alpha",G41="beta",G41="sd",G41="mean"),"--",VLOOKUP(C41,Default!$B$5:$H$114,7,FALSE))</f>
        <v>--</v>
      </c>
      <c r="J41" s="4" t="str">
        <f ca="1">VLOOKUP(F41,Lookup!$C$5:$D$110,2, FALSE)</f>
        <v>Travel values</v>
      </c>
      <c r="K41" s="4" t="str">
        <f ca="1">VLOOKUP(C41,Default!$B$4:$E$114,4,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IF(OR(G42="alpha",G42="beta",G42="sd",G42="mean"),"--",VLOOKUP(C42,Default!$B$5:$H$114,7,FALSE))</f>
        <v>--</v>
      </c>
      <c r="J42" s="4" t="str">
        <f ca="1">VLOOKUP(F42,Lookup!$C$5:$D$110,2, FALSE)</f>
        <v>Travel values</v>
      </c>
      <c r="K42" s="4" t="str">
        <f ca="1">VLOOKUP(C42,Default!$B$4:$E$114,4,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IF(OR(G43="alpha",G43="beta",G43="sd",G43="mean"),"--",VLOOKUP(C43,Default!$B$5:$H$114,7,FALSE))</f>
        <v>12.5</v>
      </c>
      <c r="J43" s="4" t="str">
        <f ca="1">VLOOKUP(F43,Lookup!$C$5:$D$110,2, FALSE)</f>
        <v>Travel values</v>
      </c>
      <c r="K43" s="4" t="str">
        <f ca="1">VLOOKUP(C43,Default!$B$4:$E$114,4, FALSE)</f>
        <v>time taken to walk to train station</v>
      </c>
      <c r="L43" s="34" t="s">
        <v>157</v>
      </c>
      <c r="M43" s="18" t="s">
        <v>158</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IF(OR(G44="alpha",G44="beta",G44="sd",G44="mean"),"--",VLOOKUP(C44,Default!$B$5:$H$114,7,FALSE))</f>
        <v>--</v>
      </c>
      <c r="J44" s="4" t="str">
        <f ca="1">VLOOKUP(F44,Lookup!$C$5:$D$110,2, FALSE)</f>
        <v>Travel values</v>
      </c>
      <c r="K44" s="4" t="str">
        <f ca="1">VLOOKUP(C44,Default!$B$4:$E$114,4,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IF(OR(G45="alpha",G45="beta",G45="sd",G45="mean"),"--",VLOOKUP(C45,Default!$B$5:$H$114,7,FALSE))</f>
        <v>--</v>
      </c>
      <c r="J45" s="4" t="str">
        <f ca="1">VLOOKUP(F45,Lookup!$C$5:$D$110,2, FALSE)</f>
        <v>Travel values</v>
      </c>
      <c r="K45" s="4" t="str">
        <f ca="1">VLOOKUP(C45,Default!$B$4:$E$114,4,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IF(OR(G46="alpha",G46="beta",G46="sd",G46="mean"),"--",VLOOKUP(C46,Default!$B$5:$H$114,7,FALSE))</f>
        <v>no</v>
      </c>
      <c r="J46" s="4" t="str">
        <f ca="1">VLOOKUP(F46,Lookup!$C$5:$D$110,2, FALSE)</f>
        <v>Travel values</v>
      </c>
      <c r="K46" s="4" t="str">
        <f ca="1">VLOOKUP(C46,Default!$B$4:$E$114,4, FALSE)</f>
        <v>if set to 'no', does not add any personal journey motorcycle trip. If set to 'Chile' add motorcycle trips based on Chilean data. Used if no motorcycle trips exist in the travel survey at all</v>
      </c>
      <c r="L46" s="34" t="s">
        <v>159</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IF(OR(G47="alpha",G47="beta",G47="sd",G47="mean"),"--",VLOOKUP(C47,Default!$B$5:$H$114,7,FALSE))</f>
        <v>0</v>
      </c>
      <c r="J47" s="4" t="str">
        <f ca="1">VLOOKUP(F47,Lookup!$C$5:$D$110,2, FALSE)</f>
        <v>Travel values</v>
      </c>
      <c r="K47" s="4" t="str">
        <f ca="1">VLOOKUP(C47,Default!$B$4:$E$114,4, FALSE)</f>
        <v>proportion of travel survey trips that should be added as motorcycle trips</v>
      </c>
      <c r="L47" s="34" t="s">
        <v>159</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IF(OR(G48="alpha",G48="beta",G48="sd",G48="mean"),"--",VLOOKUP(C48,Default!$B$5:$H$114,7,FALSE))</f>
        <v>--</v>
      </c>
      <c r="J48" s="4" t="str">
        <f ca="1">VLOOKUP(F48,Lookup!$C$5:$D$110,2, FALSE)</f>
        <v>Travel values</v>
      </c>
      <c r="K48" s="4" t="str">
        <f ca="1">VLOOKUP(C48,Default!$B$4:$E$114,4,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IF(OR(G49="alpha",G49="beta",G49="sd",G49="mean"),"--",VLOOKUP(C49,Default!$B$5:$H$114,7,FALSE))</f>
        <v>--</v>
      </c>
      <c r="J49" s="4" t="str">
        <f ca="1">VLOOKUP(F49,Lookup!$C$5:$D$110,2, FALSE)</f>
        <v>Travel values</v>
      </c>
      <c r="K49" s="4" t="str">
        <f ca="1">VLOOKUP(C49,Default!$B$4:$E$114,4,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IF(OR(G50="alpha",G50="beta",G50="sd",G50="mean"),"--",VLOOKUP(C50,Default!$B$5:$H$114,7,FALSE))</f>
        <v>T</v>
      </c>
      <c r="J50" s="4" t="str">
        <f ca="1">VLOOKUP(F50,Lookup!$C$5:$D$110,2, FALSE)</f>
        <v>Travel values</v>
      </c>
      <c r="K50" s="4" t="str">
        <f ca="1">VLOOKUP(C50,Default!$B$4:$E$114,4, FALSE)</f>
        <v>whether to add motorcylce ghost trips</v>
      </c>
      <c r="L50" s="34" t="s">
        <v>160</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IF(OR(G51="alpha",G51="beta",G51="sd",G51="mean"),"--",VLOOKUP(C51,Default!$B$5:$H$114,7,FALSE))</f>
        <v>0.441176470588235</v>
      </c>
      <c r="J51" s="4" t="str">
        <f ca="1">VLOOKUP(F51,Lookup!$C$5:$D$110,2, FALSE)</f>
        <v>Travel values</v>
      </c>
      <c r="K51" s="4" t="str">
        <f ca="1">VLOOKUP(C51,Default!$B$4:$E$114,4, FALSE)</f>
        <v xml:space="preserve">ratio of missing motorbike trips, e.g. if ratio = 0.6 and total trip distance in survey is 400, then want to add 600 km of motorbike trips. </v>
      </c>
      <c r="L51" s="34" t="s">
        <v>161</v>
      </c>
      <c r="M51" s="18" t="s">
        <v>162</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IF(OR(G52="alpha",G52="beta",G52="sd",G52="mean"),"--",VLOOKUP(C52,Default!$B$5:$H$114,7,FALSE))</f>
        <v>--</v>
      </c>
      <c r="J52" s="4" t="str">
        <f ca="1">VLOOKUP(F52,Lookup!$C$5:$D$110,2, FALSE)</f>
        <v>Travel values</v>
      </c>
      <c r="K52" s="4" t="str">
        <f ca="1">VLOOKUP(C52,Default!$B$4:$E$114,4,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IF(OR(G53="alpha",G53="beta",G53="sd",G53="mean"),"--",VLOOKUP(C53,Default!$B$5:$H$114,7,FALSE))</f>
        <v>--</v>
      </c>
      <c r="J53" s="4" t="str">
        <f ca="1">VLOOKUP(F53,Lookup!$C$5:$D$110,2, FALSE)</f>
        <v>Travel values</v>
      </c>
      <c r="K53" s="4" t="str">
        <f ca="1">VLOOKUP(C53,Default!$B$4:$E$114,4,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IF(OR(G54="alpha",G54="beta",G54="sd",G54="mean"),"--",VLOOKUP(C54,Default!$B$5:$H$114,7,FALSE))</f>
        <v>1</v>
      </c>
      <c r="J54" s="4" t="str">
        <f ca="1">VLOOKUP(F54,Lookup!$C$5:$D$110,2, FALSE)</f>
        <v>PA values</v>
      </c>
      <c r="K54" s="4" t="str">
        <f ca="1">VLOOKUP(C54,Default!$B$4:$E$114,4, FALSE)</f>
        <v>how confident we are in the PA survey (in terms of number of people who report zero PA)</v>
      </c>
      <c r="L54" s="34" t="s">
        <v>163</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IF(OR(G55="alpha",G55="beta",G55="sd",G55="mean"),"--",VLOOKUP(C55,Default!$B$5:$H$114,7,FALSE))</f>
        <v>T</v>
      </c>
      <c r="J55" s="4" t="str">
        <f ca="1">VLOOKUP(F55,Lookup!$C$5:$D$110,2, FALSE)</f>
        <v>Travel values</v>
      </c>
      <c r="K55" s="4" t="str">
        <f ca="1">VLOOKUP(C55,Default!$B$4:$E$114,4, FALSE)</f>
        <v>whether to add walk component to trips with main mode bus</v>
      </c>
      <c r="L55" s="34" t="s">
        <v>164</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IF(OR(G56="alpha",G56="beta",G56="sd",G56="mean"),"--",VLOOKUP(C56,Default!$B$5:$H$114,7,FALSE))</f>
        <v>3.8910505836575897E-2</v>
      </c>
      <c r="J56" s="4" t="str">
        <f ca="1">VLOOKUP(F56,Lookup!$C$5:$D$110,2, FALSE)</f>
        <v>Travel values</v>
      </c>
      <c r="K56" s="4" t="str">
        <f ca="1">VLOOKUP(C56,Default!$B$4:$E$114,4, FALSE)</f>
        <v>number of buses per passenger</v>
      </c>
      <c r="L56" s="34" t="s">
        <v>165</v>
      </c>
      <c r="M56" s="18" t="s">
        <v>166</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IF(OR(G57="alpha",G57="beta",G57="sd",G57="mean"),"--",VLOOKUP(C57,Default!$B$5:$H$114,7,FALSE))</f>
        <v>--</v>
      </c>
      <c r="J57" s="4" t="str">
        <f ca="1">VLOOKUP(F57,Lookup!$C$5:$D$110,2, FALSE)</f>
        <v>Travel values</v>
      </c>
      <c r="K57" s="4" t="str">
        <f ca="1">VLOOKUP(C57,Default!$B$4:$E$114,4,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IF(OR(G58="alpha",G58="beta",G58="sd",G58="mean"),"--",VLOOKUP(C58,Default!$B$5:$H$114,7,FALSE))</f>
        <v>--</v>
      </c>
      <c r="J58" s="4" t="str">
        <f ca="1">VLOOKUP(F58,Lookup!$C$5:$D$110,2, FALSE)</f>
        <v>Travel values</v>
      </c>
      <c r="K58" s="4" t="str">
        <f ca="1">VLOOKUP(C58,Default!$B$4:$E$114,4,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IF(OR(G59="alpha",G59="beta",G59="sd",G59="mean"),"--",VLOOKUP(C59,Default!$B$5:$H$114,7,FALSE))</f>
        <v>0.3</v>
      </c>
      <c r="J59" s="4" t="str">
        <f ca="1">VLOOKUP(F59,Lookup!$C$5:$D$110,2, FALSE)</f>
        <v>Travel values</v>
      </c>
      <c r="K59" s="4" t="str">
        <f ca="1">VLOOKUP(C59,Default!$B$4:$E$114,4, FALSE)</f>
        <v>ratio of truck kilometers to car km travelled, used to add ghost trips that are not changed between the different scenarios</v>
      </c>
      <c r="L59" s="34" t="s">
        <v>167</v>
      </c>
      <c r="M59" s="18" t="s">
        <v>168</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IF(OR(G60="alpha",G60="beta",G60="sd",G60="mean"),"--",VLOOKUP(C60,Default!$B$5:$H$114,7,FALSE))</f>
        <v>--</v>
      </c>
      <c r="J60" s="4" t="str">
        <f ca="1">VLOOKUP(F60,Lookup!$C$5:$D$110,2, FALSE)</f>
        <v>Travel values</v>
      </c>
      <c r="K60" s="4" t="str">
        <f ca="1">VLOOKUP(C60,Default!$B$4:$E$114,4,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IF(OR(G61="alpha",G61="beta",G61="sd",G61="mean"),"--",VLOOKUP(C61,Default!$B$5:$H$114,7,FALSE))</f>
        <v>--</v>
      </c>
      <c r="J61" s="4" t="str">
        <f ca="1">VLOOKUP(F61,Lookup!$C$5:$D$110,2, FALSE)</f>
        <v>Travel values</v>
      </c>
      <c r="K61" s="4" t="str">
        <f ca="1">VLOOKUP(C61,Default!$B$4:$E$114,4,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IF(OR(G62="alpha",G62="beta",G62="sd",G62="mean"),"--",VLOOKUP(C62,Default!$B$5:$H$114,7,FALSE))</f>
        <v>1</v>
      </c>
      <c r="J62" s="4" t="str">
        <f ca="1">VLOOKUP(F62,Lookup!$C$5:$D$110,2, FALSE)</f>
        <v>Pollution values</v>
      </c>
      <c r="K62" s="4" t="str">
        <f ca="1">VLOOKUP(C62,Default!$B$4:$E$114,4,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163</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IF(OR(G63="alpha",G63="beta",G63="sd",G63="mean"),"--",VLOOKUP(C63,Default!$B$5:$H$114,7,FALSE))</f>
        <v>1</v>
      </c>
      <c r="J63" s="4" t="str">
        <f ca="1">VLOOKUP(F63,Lookup!$C$5:$D$110,2, FALSE)</f>
        <v>Travel values</v>
      </c>
      <c r="K63" s="4" t="str">
        <f ca="1">VLOOKUP(C63,Default!$B$4:$E$114,4, FALSE)</f>
        <v>scalar for car/taxi distance, i.e. all car and taxi trips get scaled by this scalar</v>
      </c>
      <c r="L63" s="34" t="s">
        <v>169</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IF(OR(G64="alpha",G64="beta",G64="sd",G64="mean"),"--",VLOOKUP(C64,Default!$B$5:$H$114,7,FALSE))</f>
        <v>--</v>
      </c>
      <c r="J64" s="4" t="str">
        <f ca="1">VLOOKUP(F64,Lookup!$C$5:$D$110,2, FALSE)</f>
        <v>Travel values</v>
      </c>
      <c r="K64" s="4" t="str">
        <f ca="1">VLOOKUP(C64,Default!$B$4:$E$114,4,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IF(OR(G65="alpha",G65="beta",G65="sd",G65="mean"),"--",VLOOKUP(C65,Default!$B$5:$H$114,7,FALSE))</f>
        <v>--</v>
      </c>
      <c r="J65" s="4" t="str">
        <f ca="1">VLOOKUP(F65,Lookup!$C$5:$D$110,2, FALSE)</f>
        <v>Travel values</v>
      </c>
      <c r="K65" s="4" t="str">
        <f ca="1">VLOOKUP(C65,Default!$B$4:$E$114,4,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IF(OR(G66="alpha",G66="beta",G66="sd",G66="mean"),"--",VLOOKUP(C66,Default!$B$5:$H$114,7,FALSE))</f>
        <v>1</v>
      </c>
      <c r="J66" s="4" t="str">
        <f ca="1">VLOOKUP(F66,Lookup!$C$5:$D$110,2, FALSE)</f>
        <v>Travel values</v>
      </c>
      <c r="K66" s="4" t="str">
        <f ca="1">VLOOKUP(C66,Default!$B$4:$E$114,4, FALSE)</f>
        <v>scalar for motorcycle distance, i.e. all motorbike trips are scaled by this scalar</v>
      </c>
      <c r="L66" s="34" t="s">
        <v>169</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IF(OR(G67="alpha",G67="beta",G67="sd",G67="mean"),"--",VLOOKUP(C67,Default!$B$5:$H$114,7,FALSE))</f>
        <v>--</v>
      </c>
      <c r="J67" s="4" t="str">
        <f ca="1">VLOOKUP(F67,Lookup!$C$5:$D$110,2, FALSE)</f>
        <v>Travel values</v>
      </c>
      <c r="K67" s="4" t="str">
        <f ca="1">VLOOKUP(C67,Default!$B$4:$E$114,4,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IF(OR(G68="alpha",G68="beta",G68="sd",G68="mean"),"--",VLOOKUP(C68,Default!$B$5:$H$114,7,FALSE))</f>
        <v>--</v>
      </c>
      <c r="J68" s="4" t="str">
        <f ca="1">VLOOKUP(F68,Lookup!$C$5:$D$110,2, FALSE)</f>
        <v>Travel values</v>
      </c>
      <c r="K68" s="4" t="str">
        <f ca="1">VLOOKUP(C68,Default!$B$4:$E$114,4,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IF(OR(G69="alpha",G69="beta",G69="sd",G69="mean"),"--",VLOOKUP(C69,Default!$B$5:$H$114,7,FALSE))</f>
        <v>1</v>
      </c>
      <c r="J69" s="4" t="str">
        <f ca="1">VLOOKUP(F69,Lookup!$C$5:$D$110,2, FALSE)</f>
        <v>Travel values</v>
      </c>
      <c r="K69" s="4" t="str">
        <f ca="1">VLOOKUP(C69,Default!$B$4:$E$114,4, FALSE)</f>
        <v>scalar for PT distance, i.e. all public transport journey (incl bus driver if added) are scaled by this scalar</v>
      </c>
      <c r="L69" s="34" t="s">
        <v>169</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IF(OR(G70="alpha",G70="beta",G70="sd",G70="mean"),"--",VLOOKUP(C70,Default!$B$5:$H$114,7,FALSE))</f>
        <v>--</v>
      </c>
      <c r="J70" s="4" t="str">
        <f ca="1">VLOOKUP(F70,Lookup!$C$5:$D$110,2, FALSE)</f>
        <v>Travel values</v>
      </c>
      <c r="K70" s="4" t="str">
        <f ca="1">VLOOKUP(C70,Default!$B$4:$E$114,4,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IF(OR(G71="alpha",G71="beta",G71="sd",G71="mean"),"--",VLOOKUP(C71,Default!$B$5:$H$114,7,FALSE))</f>
        <v>--</v>
      </c>
      <c r="J71" s="4" t="str">
        <f ca="1">VLOOKUP(F71,Lookup!$C$5:$D$110,2, FALSE)</f>
        <v>Travel values</v>
      </c>
      <c r="K71" s="4" t="str">
        <f ca="1">VLOOKUP(C71,Default!$B$4:$E$114,4,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IF(OR(G72="alpha",G72="beta",G72="sd",G72="mean"),"--",VLOOKUP(C72,Default!$B$5:$H$114,7,FALSE))</f>
        <v>1</v>
      </c>
      <c r="J72" s="4" t="str">
        <f ca="1">VLOOKUP(F72,Lookup!$C$5:$D$110,2, FALSE)</f>
        <v>Travel values</v>
      </c>
      <c r="K72" s="4" t="str">
        <f ca="1">VLOOKUP(C72,Default!$B$4:$E$114,4, FALSE)</f>
        <v>scalar for walking distance, i.e. all walking trips are scaled by this scalar</v>
      </c>
      <c r="L72" s="34" t="s">
        <v>169</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IF(OR(G73="alpha",G73="beta",G73="sd",G73="mean"),"--",VLOOKUP(C73,Default!$B$5:$H$114,7,FALSE))</f>
        <v>--</v>
      </c>
      <c r="J73" s="4" t="str">
        <f ca="1">VLOOKUP(F73,Lookup!$C$5:$D$110,2, FALSE)</f>
        <v>Travel values</v>
      </c>
      <c r="K73" s="4" t="str">
        <f ca="1">VLOOKUP(C73,Default!$B$4:$E$114,4,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IF(OR(G74="alpha",G74="beta",G74="sd",G74="mean"),"--",VLOOKUP(C74,Default!$B$5:$H$114,7,FALSE))</f>
        <v>--</v>
      </c>
      <c r="J74" s="4" t="str">
        <f ca="1">VLOOKUP(F74,Lookup!$C$5:$D$110,2, FALSE)</f>
        <v>Travel values</v>
      </c>
      <c r="K74" s="4" t="str">
        <f ca="1">VLOOKUP(C74,Default!$B$4:$E$114,4,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IF(OR(G75="alpha",G75="beta",G75="sd",G75="mean"),"--",VLOOKUP(C75,Default!$B$5:$H$114,7,FALSE))</f>
        <v>1</v>
      </c>
      <c r="J75" s="4" t="str">
        <f ca="1">VLOOKUP(F75,Lookup!$C$5:$D$110,2, FALSE)</f>
        <v>Travel values</v>
      </c>
      <c r="K75" s="4" t="str">
        <f ca="1">VLOOKUP(C75,Default!$B$4:$E$114,4, FALSE)</f>
        <v>scalar for cycling distance, i.e. all cycling trips are scaled by this scalar</v>
      </c>
      <c r="L75" s="34" t="s">
        <v>169</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IF(OR(G76="alpha",G76="beta",G76="sd",G76="mean"),"--",VLOOKUP(C76,Default!$B$5:$H$114,7,FALSE))</f>
        <v>--</v>
      </c>
      <c r="J76" s="4" t="str">
        <f ca="1">VLOOKUP(F76,Lookup!$C$5:$D$110,2, FALSE)</f>
        <v>Travel values</v>
      </c>
      <c r="K76" s="4" t="str">
        <f ca="1">VLOOKUP(C76,Default!$B$4:$E$114,4,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IF(OR(G77="alpha",G77="beta",G77="sd",G77="mean"),"--",VLOOKUP(C77,Default!$B$5:$H$114,7,FALSE))</f>
        <v>--</v>
      </c>
      <c r="J77" s="4" t="str">
        <f ca="1">VLOOKUP(F77,Lookup!$C$5:$D$110,2, FALSE)</f>
        <v>Travel values</v>
      </c>
      <c r="K77" s="4" t="str">
        <f ca="1">VLOOKUP(C77,Default!$B$4:$E$114,4,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IF(OR(G78="alpha",G78="beta",G78="sd",G78="mean"),"--",VLOOKUP(C78,Default!$B$5:$H$114,7,FALSE))</f>
        <v>30033.571810000001</v>
      </c>
      <c r="J78" s="4" t="str">
        <f ca="1">VLOOKUP(F78,Lookup!$C$5:$D$110,2, FALSE)</f>
        <v>Pollution values</v>
      </c>
      <c r="K78" s="4" t="str">
        <f ca="1">VLOOKUP(C78,Default!$B$4:$E$114,4, FALSE)</f>
        <v>- used to estimate the CO2 for scenarios (function "scenario_co2_calculations").
- used to create the VEHICLE_INVENTORY, with speeds, PM and CO2 emissions (function "set_vehicle_inventory").</v>
      </c>
      <c r="L78" s="55" t="s">
        <v>144</v>
      </c>
      <c r="M78" s="34" t="s">
        <v>145</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IF(OR(G79="alpha",G79="beta",G79="sd",G79="mean"),"--",VLOOKUP(C79,Default!$B$5:$H$114,7,FALSE))</f>
        <v>1033377.341</v>
      </c>
      <c r="J79" s="4" t="str">
        <f ca="1">VLOOKUP(F79,Lookup!$C$5:$D$110,2, FALSE)</f>
        <v>Pollution values</v>
      </c>
      <c r="K79" s="4">
        <f ca="1">VLOOKUP(C79,Default!$B$4:$E$114,4,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IF(OR(G80="alpha",G80="beta",G80="sd",G80="mean"),"--",VLOOKUP(C80,Default!$B$5:$H$114,7,FALSE))</f>
        <v>100429.7216</v>
      </c>
      <c r="J80" s="4" t="str">
        <f ca="1">VLOOKUP(F80,Lookup!$C$5:$D$110,2, FALSE)</f>
        <v>Pollution values</v>
      </c>
      <c r="K80" s="4">
        <f ca="1">VLOOKUP(C80,Default!$B$4:$E$114,4,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heavy_truck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heavy_truck</v>
      </c>
      <c r="H81" s="14" cm="1">
        <f t="array" aca="1" ref="H81" ca="1">IF(ISBLANK(INDIRECT(ADDRESS(B81,A81,1,1,"all_city_parameter_inputs"))), "--",INDIRECT(ADDRESS(B81,A81,1,1,"all_city_parameter_inputs")))</f>
        <v>1033752.25</v>
      </c>
      <c r="I81" s="14">
        <f ca="1">IF(OR(G81="alpha",G81="beta",G81="sd",G81="mean"),"--",VLOOKUP(C81,Default!$B$5:$H$114,7,FALSE))</f>
        <v>259655.32449999999</v>
      </c>
      <c r="J81" s="4" t="str">
        <f ca="1">VLOOKUP(F81,Lookup!$C$5:$D$110,2, FALSE)</f>
        <v>Pollution values</v>
      </c>
      <c r="K81" s="4">
        <f ca="1">VLOOKUP(C81,Default!$B$4:$E$114,4,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IF(OR(G82="alpha",G82="beta",G82="sd",G82="mean"),"--",VLOOKUP(C82,Default!$B$5:$H$114,7,FALSE))</f>
        <v>163516.11319999999</v>
      </c>
      <c r="J82" s="4" t="str">
        <f ca="1">VLOOKUP(F82,Lookup!$C$5:$D$110,2, FALSE)</f>
        <v>Pollution values</v>
      </c>
      <c r="K82" s="4">
        <f ca="1">VLOOKUP(C82,Default!$B$4:$E$114,4,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IF(OR(G83="alpha",G83="beta",G83="sd",G83="mean"),"--",VLOOKUP(C83,Default!$B$5:$H$114,7,FALSE))</f>
        <v>0</v>
      </c>
      <c r="J83" s="4" t="str">
        <f ca="1">VLOOKUP(F83,Lookup!$C$5:$D$110,2, FALSE)</f>
        <v>Pollution values</v>
      </c>
      <c r="K83" s="4">
        <f ca="1">VLOOKUP(C83,Default!$B$4:$E$114,4,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IF(OR(G84="alpha",G84="beta",G84="sd",G84="mean"),"--",VLOOKUP(C84,Default!$B$5:$H$114,7,FALSE))</f>
        <v>1906.893448</v>
      </c>
      <c r="J84" s="4" t="str">
        <f ca="1">VLOOKUP(F84,Lookup!$C$5:$D$110,2, FALSE)</f>
        <v>Pollution values</v>
      </c>
      <c r="K84" s="4">
        <f ca="1">VLOOKUP(C84,Default!$B$4:$E$114,4,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IF(OR(G85="alpha",G85="beta",G85="sd",G85="mean"),"--",VLOOKUP(C85,Default!$B$5:$H$114,7,FALSE))</f>
        <v>0</v>
      </c>
      <c r="J85" s="4" t="str">
        <f ca="1">VLOOKUP(F85,Lookup!$C$5:$D$110,2, FALSE)</f>
        <v>Pollution values</v>
      </c>
      <c r="K85" s="4">
        <f ca="1">VLOOKUP(C85,Default!$B$4:$E$114,4,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IF(OR(G86="alpha",G86="beta",G86="sd",G86="mean"),"--",VLOOKUP(C86,Default!$B$5:$H$114,7,FALSE))</f>
        <v>0</v>
      </c>
      <c r="J86" s="4" t="str">
        <f ca="1">VLOOKUP(F86,Lookup!$C$5:$D$110,2, FALSE)</f>
        <v>Pollution values</v>
      </c>
      <c r="K86" s="4">
        <f ca="1">VLOOKUP(C86,Default!$B$4:$E$114,4,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IF(OR(G87="alpha",G87="beta",G87="sd",G87="mean"),"--",VLOOKUP(C87,Default!$B$5:$H$114,7,FALSE))</f>
        <v>1</v>
      </c>
      <c r="J87" s="4" t="str">
        <f ca="1">VLOOKUP(F87,Lookup!$C$5:$D$110,2, FALSE)</f>
        <v>Pollution values</v>
      </c>
      <c r="K87" s="4" t="str">
        <f ca="1">VLOOKUP(C87,Default!$B$4:$E$114,4, FALSE)</f>
        <v>how confident we are about the CO2 emissions inventory (equivalent to PM_EMISSION_INVENTORY_CONFIDENCE)</v>
      </c>
      <c r="L87" s="34" t="s">
        <v>163</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IF(OR(G88="alpha",G88="beta",G88="sd",G88="mean"),"--",VLOOKUP(C88,Default!$B$5:$H$114,7,FALSE))</f>
        <v>0.625</v>
      </c>
      <c r="J88" s="4" t="str">
        <f ca="1">VLOOKUP(F88,Lookup!$C$5:$D$110,2, FALSE)</f>
        <v>Travel values</v>
      </c>
      <c r="K88" s="4" t="str">
        <f ca="1">VLOOKUP(C88,Default!$B$4:$E$114,4, FALSE)</f>
        <v>ratio of cars to passengers (incl driver)</v>
      </c>
      <c r="L88" s="34" t="s">
        <v>170</v>
      </c>
      <c r="M88" s="18" t="s">
        <v>171</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IF(OR(G89="alpha",G89="beta",G89="sd",G89="mean"),"--",VLOOKUP(C89,Default!$B$5:$H$114,7,FALSE))</f>
        <v>--</v>
      </c>
      <c r="J89" s="4" t="str">
        <f ca="1">VLOOKUP(F89,Lookup!$C$5:$D$110,2, FALSE)</f>
        <v>Travel values</v>
      </c>
      <c r="K89" s="4" t="str">
        <f ca="1">VLOOKUP(C89,Default!$B$4:$E$114,4,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IF(OR(G90="alpha",G90="beta",G90="sd",G90="mean"),"--",VLOOKUP(C90,Default!$B$5:$H$114,7,FALSE))</f>
        <v>--</v>
      </c>
      <c r="J90" s="4" t="str">
        <f ca="1">VLOOKUP(F90,Lookup!$C$5:$D$110,2, FALSE)</f>
        <v>Travel values</v>
      </c>
      <c r="K90" s="4" t="str">
        <f ca="1">VLOOKUP(C90,Default!$B$4:$E$114,4,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IF(OR(G91="alpha",G91="beta",G91="sd",G91="mean"),"--",VLOOKUP(C91,Default!$B$5:$H$114,7,FALSE))</f>
        <v>Bogota</v>
      </c>
      <c r="J91" s="4" t="str">
        <f ca="1">VLOOKUP(F91,Lookup!$C$5:$D$110,2, FALSE)</f>
        <v>Miscellaneous</v>
      </c>
      <c r="K91" s="4" t="str">
        <f ca="1">VLOOKUP(C91,Default!$B$4:$E$114,4,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IF(OR(G92="alpha",G92="beta",G92="sd",G92="mean"),"--",VLOOKUP(C92,Default!$B$5:$H$114,7,FALSE))</f>
        <v>Latin_America</v>
      </c>
      <c r="J92" s="4" t="str">
        <f ca="1">VLOOKUP(F92,Lookup!$C$5:$D$110,2, FALSE)</f>
        <v>Miscellaneous</v>
      </c>
      <c r="K92" s="4" t="str">
        <f ca="1">VLOOKUP(C92,Default!$B$4:$E$114,4,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IF(OR(G93="alpha",G93="beta",G93="sd",G93="mean"),"--",VLOOKUP(C93,Default!$B$5:$H$114,7,FALSE))</f>
        <v>0.98</v>
      </c>
      <c r="J93" s="4" t="str">
        <f ca="1">VLOOKUP(F93,Lookup!$C$5:$D$110,2, FALSE)</f>
        <v>Travel values</v>
      </c>
      <c r="K93" s="4" t="str">
        <f ca="1">VLOOKUP(C93,Default!$B$4:$E$114,4, FALSE)</f>
        <v>proportion of bus drivers that are male</v>
      </c>
      <c r="L93" s="35" t="s">
        <v>172</v>
      </c>
      <c r="M93" s="18" t="s">
        <v>173</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IF(OR(G94="alpha",G94="beta",G94="sd",G94="mean"),"--",VLOOKUP(C94,Default!$B$5:$H$114,7,FALSE))</f>
        <v>19, 65</v>
      </c>
      <c r="J94" s="4" t="str">
        <f ca="1">VLOOKUP(F94,Lookup!$C$5:$D$110,2, FALSE)</f>
        <v>Travel values</v>
      </c>
      <c r="K94" s="4" t="str">
        <f ca="1">VLOOKUP(C94,Default!$B$4:$E$114,4, FALSE)</f>
        <v>age range of male bus drivers</v>
      </c>
      <c r="L94" s="35" t="s">
        <v>174</v>
      </c>
      <c r="M94" s="18" t="s">
        <v>175</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IF(OR(G95="alpha",G95="beta",G95="sd",G95="mean"),"--",VLOOKUP(C95,Default!$B$5:$H$114,7,FALSE))</f>
        <v>19, 65</v>
      </c>
      <c r="J95" s="4" t="str">
        <f ca="1">VLOOKUP(F95,Lookup!$C$5:$D$110,2, FALSE)</f>
        <v>Travel values</v>
      </c>
      <c r="K95" s="4" t="str">
        <f ca="1">VLOOKUP(C95,Default!$B$4:$E$114,4, FALSE)</f>
        <v>age range of female bus drivers</v>
      </c>
      <c r="L95" s="35" t="s">
        <v>176</v>
      </c>
      <c r="M95" s="18" t="s">
        <v>175</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IF(OR(G96="alpha",G96="beta",G96="sd",G96="mean"),"--",VLOOKUP(C96,Default!$B$5:$H$114,7,FALSE))</f>
        <v>0.98</v>
      </c>
      <c r="J96" s="4" t="str">
        <f ca="1">VLOOKUP(F96,Lookup!$C$5:$D$110,2, FALSE)</f>
        <v>Travel values</v>
      </c>
      <c r="K96" s="4" t="str">
        <f ca="1">VLOOKUP(C96,Default!$B$4:$E$114,4, FALSE)</f>
        <v>proportion of male truck drivers</v>
      </c>
      <c r="L96" s="34" t="s">
        <v>177</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IF(OR(G97="alpha",G97="beta",G97="sd",G97="mean"),"--",VLOOKUP(C97,Default!$B$5:$H$114,7,FALSE))</f>
        <v>18, 65</v>
      </c>
      <c r="J97" s="4" t="str">
        <f ca="1">VLOOKUP(F97,Lookup!$C$5:$D$110,2, FALSE)</f>
        <v>Travel values</v>
      </c>
      <c r="K97" s="4" t="str">
        <f ca="1">VLOOKUP(C97,Default!$B$4:$E$114,4, FALSE)</f>
        <v>age range of male truck drivers</v>
      </c>
      <c r="L97" s="35" t="s">
        <v>178</v>
      </c>
      <c r="M97" s="18" t="s">
        <v>179</v>
      </c>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IF(OR(G98="alpha",G98="beta",G98="sd",G98="mean"),"--",VLOOKUP(C98,Default!$B$5:$H$114,7,FALSE))</f>
        <v>18, 65</v>
      </c>
      <c r="J98" s="4" t="str">
        <f ca="1">VLOOKUP(F98,Lookup!$C$5:$D$110,2, FALSE)</f>
        <v>Travel values</v>
      </c>
      <c r="K98" s="4" t="str">
        <f ca="1">VLOOKUP(C98,Default!$B$4:$E$114,4, FALSE)</f>
        <v>age range of female truck drivers</v>
      </c>
      <c r="L98" s="35" t="s">
        <v>180</v>
      </c>
      <c r="M98" s="18" t="s">
        <v>179</v>
      </c>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IF(OR(G99="alpha",G99="beta",G99="sd",G99="mean"),"--",VLOOKUP(C99,Default!$B$5:$H$114,7,FALSE))</f>
        <v>0.99</v>
      </c>
      <c r="J99" s="4" t="str">
        <f ca="1">VLOOKUP(F99,Lookup!$C$5:$D$110,2, FALSE)</f>
        <v>Travel values</v>
      </c>
      <c r="K99" s="4" t="str">
        <f ca="1">VLOOKUP(C99,Default!$B$4:$E$114,4, FALSE)</f>
        <v>proportion of male commercial motorcycle drivers</v>
      </c>
      <c r="L99" s="68" t="s">
        <v>181</v>
      </c>
      <c r="M99" s="18" t="s">
        <v>162</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IF(OR(G100="alpha",G100="beta",G100="sd",G100="mean"),"--",VLOOKUP(C100,Default!$B$5:$H$114,7,FALSE))</f>
        <v>18, 65</v>
      </c>
      <c r="J100" s="4" t="str">
        <f ca="1">VLOOKUP(F100,Lookup!$C$5:$D$110,2, FALSE)</f>
        <v>Travel values</v>
      </c>
      <c r="K100" s="4" t="str">
        <f ca="1">VLOOKUP(C100,Default!$B$4:$E$114,4, FALSE)</f>
        <v>age range of male commercial motorcycle drivers</v>
      </c>
      <c r="L100" s="68" t="s">
        <v>182</v>
      </c>
      <c r="M100" s="18" t="s">
        <v>183</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IF(OR(G101="alpha",G101="beta",G101="sd",G101="mean"),"--",VLOOKUP(C101,Default!$B$5:$H$114,7,FALSE))</f>
        <v>18, 65</v>
      </c>
      <c r="J101" s="4" t="str">
        <f ca="1">VLOOKUP(F101,Lookup!$C$5:$D$110,2, FALSE)</f>
        <v>Travel values</v>
      </c>
      <c r="K101" s="4" t="str">
        <f ca="1">VLOOKUP(C101,Default!$B$4:$E$114,4, FALSE)</f>
        <v>age range of female commercial motorcycle drivers</v>
      </c>
      <c r="L101" s="68" t="s">
        <v>184</v>
      </c>
      <c r="M101" s="18" t="s">
        <v>183</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IF(OR(G102="alpha",G102="beta",G102="sd",G102="mean"),"--",VLOOKUP(C102,Default!$B$5:$H$114,7,FALSE))</f>
        <v>7</v>
      </c>
      <c r="J102" s="4" t="str">
        <f ca="1">VLOOKUP(F102,Lookup!$C$5:$D$110,2, FALSE)</f>
        <v>Travel values</v>
      </c>
      <c r="K102" s="4" t="str">
        <f ca="1">VLOOKUP(C102,Default!$B$4:$E$114,4, FALSE)</f>
        <v>how daily travel scales to a week</v>
      </c>
      <c r="L102" s="34" t="s">
        <v>185</v>
      </c>
      <c r="M102" s="18"/>
      <c r="N102" s="18"/>
    </row>
    <row r="103" spans="1:14" x14ac:dyDescent="0.25">
      <c r="A103" s="5">
        <v>3</v>
      </c>
      <c r="B103" s="5">
        <v>101</v>
      </c>
      <c r="C103" s="5" t="str">
        <f t="shared" ref="C103" ca="1" si="10">IF(G103 = "",F103,IF(OR(G103="alpha",G103="beta",G103="constant",G103="sd",G103="mean",G103="sample"),F103,F103&amp;" "&amp;G103))</f>
        <v>treat_taxi_as_car</v>
      </c>
      <c r="D103" s="5" t="str">
        <f t="shared" ref="D103" ca="1" si="11">F103&amp;"_"&amp;E103</f>
        <v>treat_taxi_as_car_bogota</v>
      </c>
      <c r="E103" s="4" t="str" cm="1">
        <f t="array" aca="1" ref="E103" ca="1">INDIRECT(ADDRESS(1,A103,1,1,"all_city_parameter_inputs"))</f>
        <v>bogota</v>
      </c>
      <c r="F103" s="6" t="str" cm="1">
        <f t="array" aca="1" ref="F103" ca="1">IF(AND(ISBLANK(INDIRECT(ADDRESS(B103,2,1,1,"all_city_parameter_inputs"))), ISBLANK(INDIRECT(ADDRESS(B103,1,1,1,"all_city_parameter_inputs")))), "", IF(ISBLANK(INDIRECT(ADDRESS(B103,1,1,1,"all_city_parameter_inputs"))), All_city_list!F102,INDIRECT(ADDRESS(B103,1,1,1,"all_city_parameter_inputs"))))</f>
        <v>treat_taxi_as_car</v>
      </c>
      <c r="G103" s="4" t="str" cm="1">
        <f t="array" aca="1" ref="G103" ca="1">IF(AND(ISBLANK(INDIRECT(ADDRESS(B103,3,1,1,"all_city_parameter_inputs"))),ISBLANK(INDIRECT(ADDRESS(B103,2,1,1,"all_city_parameter_inputs")))),"",IF(ISBLANK(INDIRECT(ADDRESS(B103,2,1,1,"all_city_parameter_inputs"))),"",INDIRECT(ADDRESS(B103,2,1,1,"all_city_parameter_inputs"))))</f>
        <v/>
      </c>
      <c r="H103" s="14" t="str" cm="1">
        <f t="array" aca="1" ref="H103" ca="1">IF(ISBLANK(INDIRECT(ADDRESS(B103,A103,1,1,"all_city_parameter_inputs"))), "--",INDIRECT(ADDRESS(B103,A103,1,1,"all_city_parameter_inputs")))</f>
        <v>F</v>
      </c>
      <c r="I103" s="14" t="str">
        <f ca="1">IF(OR(G103="alpha",G103="beta",G103="sd",G103="mean"),"--",VLOOKUP(C103,Default!$B$5:$H$114,7,FALSE))</f>
        <v>F</v>
      </c>
      <c r="J103" s="4" t="str">
        <f ca="1">VLOOKUP(F103,Lookup!$C$5:$D$110,2, FALSE)</f>
        <v>Pollution values</v>
      </c>
      <c r="K103" s="4" t="str">
        <f ca="1">VLOOKUP(C103,Default!$B$4:$E$114,4, FALSE)</f>
        <v>If set to false do not add taxi km when calculating car emission factors</v>
      </c>
      <c r="L103" s="34" t="s">
        <v>570</v>
      </c>
      <c r="M103" s="18"/>
      <c r="N103" s="18"/>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display="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men is 62" xr:uid="{B6D0D9EA-0B4D-483E-BDCB-741CDC7FB0E2}"/>
    <hyperlink ref="L98" r:id="rId8" display="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women is 57"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A2" sqref="A2"/>
    </sheetView>
  </sheetViews>
  <sheetFormatPr defaultRowHeight="15" x14ac:dyDescent="0.25"/>
  <cols>
    <col min="1" max="1" width="29.42578125" style="1" bestFit="1" customWidth="1"/>
    <col min="3" max="3" width="19" bestFit="1" customWidth="1"/>
  </cols>
  <sheetData>
    <row r="1" spans="1:10" x14ac:dyDescent="0.25">
      <c r="A1" s="1" t="s">
        <v>56</v>
      </c>
      <c r="B1" s="1" t="s">
        <v>57</v>
      </c>
      <c r="C1" s="1" t="s">
        <v>186</v>
      </c>
    </row>
    <row r="2" spans="1:10" x14ac:dyDescent="0.25">
      <c r="A2" s="1" t="s">
        <v>578</v>
      </c>
      <c r="B2" t="s">
        <v>76</v>
      </c>
      <c r="C2">
        <v>5.8</v>
      </c>
    </row>
    <row r="3" spans="1:10" x14ac:dyDescent="0.25">
      <c r="B3" t="s">
        <v>80</v>
      </c>
    </row>
    <row r="4" spans="1:10" x14ac:dyDescent="0.25">
      <c r="B4" t="s">
        <v>81</v>
      </c>
    </row>
    <row r="5" spans="1:10" x14ac:dyDescent="0.25">
      <c r="A5" s="1" t="s">
        <v>579</v>
      </c>
      <c r="B5" t="s">
        <v>76</v>
      </c>
      <c r="C5">
        <v>2.5</v>
      </c>
    </row>
    <row r="6" spans="1:10" x14ac:dyDescent="0.25">
      <c r="B6" t="s">
        <v>80</v>
      </c>
      <c r="C6" s="45"/>
      <c r="J6" s="45"/>
    </row>
    <row r="7" spans="1:10" x14ac:dyDescent="0.25">
      <c r="B7" t="s">
        <v>81</v>
      </c>
      <c r="C7" s="45"/>
      <c r="J7" s="45"/>
    </row>
    <row r="8" spans="1:10" x14ac:dyDescent="0.25">
      <c r="A8" s="1" t="s">
        <v>580</v>
      </c>
      <c r="B8" t="s">
        <v>76</v>
      </c>
      <c r="C8" s="45">
        <v>0.3</v>
      </c>
      <c r="J8" s="45"/>
    </row>
    <row r="9" spans="1:10" x14ac:dyDescent="0.25">
      <c r="B9" t="s">
        <v>80</v>
      </c>
      <c r="C9" s="45"/>
      <c r="J9" s="45"/>
    </row>
    <row r="10" spans="1:10" x14ac:dyDescent="0.25">
      <c r="B10" t="s">
        <v>81</v>
      </c>
      <c r="C10" s="45"/>
      <c r="J10" s="45"/>
    </row>
    <row r="11" spans="1:10" x14ac:dyDescent="0.25">
      <c r="A11" s="1" t="s">
        <v>581</v>
      </c>
      <c r="B11" t="s">
        <v>76</v>
      </c>
      <c r="C11" s="45">
        <v>1.5</v>
      </c>
      <c r="J11" s="45"/>
    </row>
    <row r="12" spans="1:10" x14ac:dyDescent="0.25">
      <c r="B12" t="s">
        <v>80</v>
      </c>
      <c r="C12" s="45"/>
    </row>
    <row r="13" spans="1:10" x14ac:dyDescent="0.25">
      <c r="B13" t="s">
        <v>81</v>
      </c>
      <c r="C13" s="45"/>
    </row>
    <row r="14" spans="1:10" x14ac:dyDescent="0.25">
      <c r="A14" s="1" t="s">
        <v>582</v>
      </c>
      <c r="B14" t="s">
        <v>76</v>
      </c>
      <c r="C14" s="45">
        <v>1.8</v>
      </c>
    </row>
    <row r="15" spans="1:10" x14ac:dyDescent="0.25">
      <c r="B15" t="s">
        <v>80</v>
      </c>
      <c r="C15" s="45"/>
    </row>
    <row r="16" spans="1:10" x14ac:dyDescent="0.25">
      <c r="B16" t="s">
        <v>81</v>
      </c>
      <c r="C16" s="45"/>
    </row>
    <row r="17" spans="1:3" x14ac:dyDescent="0.25">
      <c r="A17" s="1" t="s">
        <v>583</v>
      </c>
      <c r="B17" t="s">
        <v>76</v>
      </c>
      <c r="C17" s="45">
        <v>0.3</v>
      </c>
    </row>
    <row r="18" spans="1:3" x14ac:dyDescent="0.25">
      <c r="B18" t="s">
        <v>80</v>
      </c>
      <c r="C18" s="45"/>
    </row>
    <row r="19" spans="1:3" x14ac:dyDescent="0.25">
      <c r="B19" t="s">
        <v>81</v>
      </c>
      <c r="C19" s="45"/>
    </row>
    <row r="20" spans="1:3" x14ac:dyDescent="0.25">
      <c r="A20" s="1" t="s">
        <v>584</v>
      </c>
      <c r="B20" t="s">
        <v>76</v>
      </c>
      <c r="C20" s="45">
        <v>1</v>
      </c>
    </row>
    <row r="21" spans="1:3" x14ac:dyDescent="0.25">
      <c r="B21" t="s">
        <v>80</v>
      </c>
      <c r="C21" s="45"/>
    </row>
    <row r="22" spans="1:3" x14ac:dyDescent="0.25">
      <c r="B22" t="s">
        <v>81</v>
      </c>
      <c r="C22" s="45"/>
    </row>
    <row r="23" spans="1:3" x14ac:dyDescent="0.25">
      <c r="A23" s="1" t="s">
        <v>585</v>
      </c>
      <c r="B23" t="s">
        <v>76</v>
      </c>
      <c r="C23" s="45">
        <v>3</v>
      </c>
    </row>
    <row r="24" spans="1:3" x14ac:dyDescent="0.25">
      <c r="B24" t="s">
        <v>80</v>
      </c>
      <c r="C24" s="45"/>
    </row>
    <row r="25" spans="1:3" x14ac:dyDescent="0.25">
      <c r="B25" t="s">
        <v>81</v>
      </c>
      <c r="C25" s="45"/>
    </row>
    <row r="26" spans="1:3" x14ac:dyDescent="0.25">
      <c r="A26" s="1" t="s">
        <v>586</v>
      </c>
      <c r="B26" t="s">
        <v>76</v>
      </c>
      <c r="C26" s="45">
        <v>7</v>
      </c>
    </row>
    <row r="27" spans="1:3" x14ac:dyDescent="0.25">
      <c r="B27" t="s">
        <v>80</v>
      </c>
      <c r="C27" s="45"/>
    </row>
    <row r="28" spans="1:3" x14ac:dyDescent="0.25">
      <c r="B28" t="s">
        <v>81</v>
      </c>
      <c r="C28" s="45"/>
    </row>
    <row r="29" spans="1:3" x14ac:dyDescent="0.25">
      <c r="A29" s="1" t="s">
        <v>187</v>
      </c>
      <c r="B29" t="s">
        <v>76</v>
      </c>
      <c r="C29">
        <v>1.7</v>
      </c>
    </row>
    <row r="30" spans="1:3" x14ac:dyDescent="0.25">
      <c r="B30" t="s">
        <v>80</v>
      </c>
    </row>
    <row r="31" spans="1:3" x14ac:dyDescent="0.25">
      <c r="B31" t="s">
        <v>81</v>
      </c>
    </row>
    <row r="32" spans="1:3" x14ac:dyDescent="0.25">
      <c r="A32" s="1" t="s">
        <v>188</v>
      </c>
      <c r="B32" t="s">
        <v>76</v>
      </c>
      <c r="C32">
        <v>0.5</v>
      </c>
    </row>
    <row r="33" spans="1:3" x14ac:dyDescent="0.25">
      <c r="B33" t="s">
        <v>77</v>
      </c>
    </row>
    <row r="34" spans="1:3" x14ac:dyDescent="0.25">
      <c r="B34" t="s">
        <v>78</v>
      </c>
    </row>
    <row r="35" spans="1:3" x14ac:dyDescent="0.25">
      <c r="A35" s="1" t="s">
        <v>189</v>
      </c>
      <c r="B35" t="s">
        <v>76</v>
      </c>
      <c r="C35">
        <v>0.8</v>
      </c>
    </row>
    <row r="36" spans="1:3" x14ac:dyDescent="0.25">
      <c r="B36" t="s">
        <v>80</v>
      </c>
    </row>
    <row r="37" spans="1:3" x14ac:dyDescent="0.25">
      <c r="B37" t="s">
        <v>81</v>
      </c>
    </row>
    <row r="38" spans="1:3" x14ac:dyDescent="0.25">
      <c r="A38" s="1" t="s">
        <v>190</v>
      </c>
      <c r="B38" t="s">
        <v>76</v>
      </c>
      <c r="C38">
        <v>0.8</v>
      </c>
    </row>
    <row r="39" spans="1:3" x14ac:dyDescent="0.25">
      <c r="B39" t="s">
        <v>80</v>
      </c>
    </row>
    <row r="40" spans="1:3" x14ac:dyDescent="0.25">
      <c r="B40" t="s">
        <v>81</v>
      </c>
    </row>
    <row r="41" spans="1:3" x14ac:dyDescent="0.25">
      <c r="A41" s="1" t="s">
        <v>191</v>
      </c>
      <c r="B41" t="s">
        <v>76</v>
      </c>
      <c r="C41">
        <v>0.5</v>
      </c>
    </row>
    <row r="42" spans="1:3" x14ac:dyDescent="0.25">
      <c r="B42" t="s">
        <v>77</v>
      </c>
    </row>
    <row r="43" spans="1:3" x14ac:dyDescent="0.25">
      <c r="B43" t="s">
        <v>78</v>
      </c>
    </row>
    <row r="44" spans="1:3" x14ac:dyDescent="0.25">
      <c r="A44" s="1" t="s">
        <v>192</v>
      </c>
      <c r="B44" t="s">
        <v>76</v>
      </c>
      <c r="C44">
        <v>0.85</v>
      </c>
    </row>
    <row r="45" spans="1:3" x14ac:dyDescent="0.25">
      <c r="B45" t="s">
        <v>80</v>
      </c>
    </row>
    <row r="46" spans="1:3" x14ac:dyDescent="0.25">
      <c r="B46" t="s">
        <v>81</v>
      </c>
    </row>
    <row r="47" spans="1:3" x14ac:dyDescent="0.25">
      <c r="A47" s="1" t="s">
        <v>193</v>
      </c>
      <c r="B47" t="s">
        <v>76</v>
      </c>
      <c r="C47">
        <f>0.45/0.85</f>
        <v>0.52941176470588236</v>
      </c>
    </row>
    <row r="48" spans="1:3" x14ac:dyDescent="0.25">
      <c r="B48" t="s">
        <v>77</v>
      </c>
    </row>
    <row r="49" spans="1:3" x14ac:dyDescent="0.25">
      <c r="B49" t="s">
        <v>78</v>
      </c>
    </row>
    <row r="50" spans="1:3" x14ac:dyDescent="0.25">
      <c r="A50" s="1" t="s">
        <v>194</v>
      </c>
      <c r="B50" t="s">
        <v>76</v>
      </c>
      <c r="C50">
        <v>1.05</v>
      </c>
    </row>
    <row r="51" spans="1:3" x14ac:dyDescent="0.25">
      <c r="B51" t="s">
        <v>80</v>
      </c>
    </row>
    <row r="52" spans="1:3" x14ac:dyDescent="0.25">
      <c r="B52" t="s">
        <v>81</v>
      </c>
    </row>
    <row r="53" spans="1:3" x14ac:dyDescent="0.25">
      <c r="A53" s="1" t="s">
        <v>195</v>
      </c>
      <c r="B53" t="s">
        <v>76</v>
      </c>
      <c r="C53">
        <v>0.5</v>
      </c>
    </row>
    <row r="54" spans="1:3" x14ac:dyDescent="0.25">
      <c r="B54" t="s">
        <v>77</v>
      </c>
    </row>
    <row r="55" spans="1:3" x14ac:dyDescent="0.25">
      <c r="B55" t="s">
        <v>78</v>
      </c>
    </row>
    <row r="56" spans="1:3" x14ac:dyDescent="0.25">
      <c r="A56" s="1" t="s">
        <v>196</v>
      </c>
      <c r="C56" t="s">
        <v>91</v>
      </c>
    </row>
    <row r="57" spans="1:3" x14ac:dyDescent="0.25">
      <c r="A57" s="3" t="s">
        <v>197</v>
      </c>
      <c r="C57" t="s">
        <v>91</v>
      </c>
    </row>
    <row r="58" spans="1:3" x14ac:dyDescent="0.25">
      <c r="A58" s="3" t="s">
        <v>198</v>
      </c>
      <c r="C58" t="s">
        <v>91</v>
      </c>
    </row>
    <row r="59" spans="1:3" x14ac:dyDescent="0.25">
      <c r="A59" s="3" t="s">
        <v>199</v>
      </c>
      <c r="C59" t="s">
        <v>91</v>
      </c>
    </row>
    <row r="60" spans="1:3" x14ac:dyDescent="0.25">
      <c r="A60" s="3" t="s">
        <v>200</v>
      </c>
      <c r="C60" t="s">
        <v>91</v>
      </c>
    </row>
    <row r="61" spans="1:3" x14ac:dyDescent="0.25">
      <c r="A61" s="3" t="s">
        <v>201</v>
      </c>
      <c r="C61" t="s">
        <v>91</v>
      </c>
    </row>
    <row r="62" spans="1:3" x14ac:dyDescent="0.25">
      <c r="A62" s="32" t="s">
        <v>202</v>
      </c>
      <c r="B62" s="26"/>
      <c r="C62" s="26">
        <v>15</v>
      </c>
    </row>
    <row r="63" spans="1:3" x14ac:dyDescent="0.25">
      <c r="A63" s="32" t="s">
        <v>203</v>
      </c>
      <c r="B63" s="26"/>
      <c r="C63" s="26">
        <v>69</v>
      </c>
    </row>
    <row r="64" spans="1:3" x14ac:dyDescent="0.25">
      <c r="A64" s="32" t="s">
        <v>204</v>
      </c>
      <c r="B64" s="26"/>
      <c r="C64" s="26" t="s">
        <v>205</v>
      </c>
    </row>
    <row r="65" spans="1:3" x14ac:dyDescent="0.25">
      <c r="A65" s="3" t="s">
        <v>206</v>
      </c>
      <c r="C65" t="s">
        <v>207</v>
      </c>
    </row>
    <row r="66" spans="1:3" x14ac:dyDescent="0.25">
      <c r="A66" s="3" t="s">
        <v>208</v>
      </c>
      <c r="C66" t="s">
        <v>209</v>
      </c>
    </row>
    <row r="67" spans="1:3" x14ac:dyDescent="0.25">
      <c r="A67" s="3" t="s">
        <v>210</v>
      </c>
      <c r="C67" t="s">
        <v>211</v>
      </c>
    </row>
    <row r="68" spans="1:3" x14ac:dyDescent="0.25">
      <c r="A68" s="1" t="s">
        <v>212</v>
      </c>
      <c r="C68">
        <v>5</v>
      </c>
    </row>
    <row r="69" spans="1:3" x14ac:dyDescent="0.25">
      <c r="A69" s="1" t="s">
        <v>213</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abSelected="1" topLeftCell="B1" workbookViewId="0">
      <selection activeCell="C5" sqref="C5"/>
    </sheetView>
  </sheetViews>
  <sheetFormatPr defaultRowHeight="15" x14ac:dyDescent="0.25"/>
  <cols>
    <col min="1" max="1" width="3.85546875" customWidth="1"/>
    <col min="2" max="2" width="29.425781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34.5703125" style="10" customWidth="1"/>
    <col min="9" max="9" width="36.5703125" bestFit="1" customWidth="1"/>
    <col min="10" max="10" width="13.42578125" bestFit="1" customWidth="1"/>
    <col min="11" max="11" width="10.140625" bestFit="1" customWidth="1"/>
  </cols>
  <sheetData>
    <row r="4" spans="2:11" x14ac:dyDescent="0.25">
      <c r="B4" s="17" t="s">
        <v>132</v>
      </c>
      <c r="C4" s="28" t="s">
        <v>135</v>
      </c>
      <c r="D4" s="28" t="s">
        <v>136</v>
      </c>
      <c r="E4" s="28" t="s">
        <v>137</v>
      </c>
      <c r="F4" s="28" t="s">
        <v>138</v>
      </c>
      <c r="G4" s="28" t="s">
        <v>139</v>
      </c>
      <c r="H4" s="28" t="s">
        <v>6</v>
      </c>
      <c r="I4" s="1" t="s">
        <v>140</v>
      </c>
      <c r="J4" s="1" t="s">
        <v>141</v>
      </c>
      <c r="K4" s="1" t="s">
        <v>142</v>
      </c>
    </row>
    <row r="5" spans="2:11" x14ac:dyDescent="0.25">
      <c r="B5" s="15" t="s">
        <v>578</v>
      </c>
      <c r="C5" s="29" t="str">
        <f>IF(all_global_parameter_inputs!A2="",All_global_list!C4,all_global_parameter_inputs!A2)</f>
        <v>cycling_mmet</v>
      </c>
      <c r="D5" s="29" t="str">
        <f>IF(all_global_parameter_inputs!B2="","",all_global_parameter_inputs!B2)</f>
        <v>constant</v>
      </c>
      <c r="E5" s="29">
        <f>all_global_parameter_inputs!C2</f>
        <v>5.8</v>
      </c>
      <c r="F5" s="29">
        <f>IF(OR(D5="alpha",D5="beta",D5="sd",D5="mean"),"--",VLOOKUP(B5,Default!$B:$H,7,FALSE))</f>
        <v>5.8</v>
      </c>
      <c r="G5" s="29" t="str">
        <f>VLOOKUP(B5,Lookup!$C:$D,2, FALSE)</f>
        <v>PA values</v>
      </c>
      <c r="H5" s="29" t="str">
        <f>VLOOKUP(B5,Default!$B:$E,4, FALSE)</f>
        <v>marginal MET value associated with cycling</v>
      </c>
      <c r="I5" t="s">
        <v>214</v>
      </c>
    </row>
    <row r="6" spans="2:11" x14ac:dyDescent="0.25">
      <c r="B6" s="15" t="s">
        <v>578</v>
      </c>
      <c r="C6" s="29" t="str">
        <f>IF(all_global_parameter_inputs!A3="",All_global_list!C5,all_global_parameter_inputs!A3)</f>
        <v>cycling_mmet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marginal MET value associated with cycling</v>
      </c>
      <c r="I6" s="42"/>
    </row>
    <row r="7" spans="2:11" x14ac:dyDescent="0.25">
      <c r="B7" s="15" t="s">
        <v>578</v>
      </c>
      <c r="C7" s="29" t="str">
        <f>IF(all_global_parameter_inputs!A4="",All_global_list!C6,all_global_parameter_inputs!A4)</f>
        <v>cycling_mmet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marginal MET value associated with cycling</v>
      </c>
      <c r="I7" s="42"/>
    </row>
    <row r="8" spans="2:11" x14ac:dyDescent="0.25">
      <c r="B8" s="15" t="s">
        <v>579</v>
      </c>
      <c r="C8" s="29" t="str">
        <f>IF(all_global_parameter_inputs!A5="",All_global_list!C7,all_global_parameter_inputs!A5)</f>
        <v>walking_mmet</v>
      </c>
      <c r="D8" s="29" t="str">
        <f>IF(all_global_parameter_inputs!B5="","",all_global_parameter_inputs!B5)</f>
        <v>constant</v>
      </c>
      <c r="E8" s="29">
        <f>all_global_parameter_inputs!C5</f>
        <v>2.5</v>
      </c>
      <c r="F8" s="29">
        <f>IF(OR(D8="alpha",D8="beta",D8="sd",D8="mean"),"--",VLOOKUP(B8,Default!$B:$H,7,FALSE))</f>
        <v>2.5</v>
      </c>
      <c r="G8" s="29" t="str">
        <f>VLOOKUP(B8,Lookup!$C:$D,2, FALSE)</f>
        <v>PA values</v>
      </c>
      <c r="H8" s="29" t="str">
        <f>VLOOKUP(B8,Default!$B:$E,4, FALSE)</f>
        <v>marginal MET value associated with walking</v>
      </c>
      <c r="I8" t="s">
        <v>215</v>
      </c>
    </row>
    <row r="9" spans="2:11" x14ac:dyDescent="0.25">
      <c r="B9" s="15" t="s">
        <v>579</v>
      </c>
      <c r="C9" s="29" t="str">
        <f>IF(all_global_parameter_inputs!A6="",All_global_list!C8,all_global_parameter_inputs!A6)</f>
        <v>walking_mmet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marginal MET value associated with walking</v>
      </c>
      <c r="I9" s="42"/>
    </row>
    <row r="10" spans="2:11" x14ac:dyDescent="0.25">
      <c r="B10" s="15" t="s">
        <v>579</v>
      </c>
      <c r="C10" s="29" t="str">
        <f>IF(all_global_parameter_inputs!A7="",All_global_list!C9,all_global_parameter_inputs!A7)</f>
        <v>walking_mmet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marginal MET value associated with walking</v>
      </c>
      <c r="I10" s="42"/>
    </row>
    <row r="11" spans="2:11" x14ac:dyDescent="0.25">
      <c r="B11" s="15" t="s">
        <v>580</v>
      </c>
      <c r="C11" s="29" t="str">
        <f>IF(all_global_parameter_inputs!A8="",All_global_list!C10,all_global_parameter_inputs!A8)</f>
        <v>passenger_mmet</v>
      </c>
      <c r="D11" s="29" t="str">
        <f>IF(all_global_parameter_inputs!B8="","",all_global_parameter_inputs!B8)</f>
        <v>constant</v>
      </c>
      <c r="E11" s="29">
        <f>all_global_parameter_inputs!C8</f>
        <v>0.3</v>
      </c>
      <c r="F11" s="29">
        <f>IF(OR(D11="alpha",D11="beta",D11="sd",D11="mean"),"--",VLOOKUP(B11,Default!$B:$H,7,FALSE))</f>
        <v>0.3</v>
      </c>
      <c r="G11" s="29" t="str">
        <f>VLOOKUP(B11,Lookup!$C:$D,2, FALSE)</f>
        <v>PA values</v>
      </c>
      <c r="H11" s="29" t="str">
        <f>VLOOKUP(B11,Default!$B:$E,4, FALSE)</f>
        <v>marginal MET value associated with being a passenger on public transport</v>
      </c>
      <c r="I11" t="s">
        <v>216</v>
      </c>
    </row>
    <row r="12" spans="2:11" x14ac:dyDescent="0.25">
      <c r="B12" s="15" t="s">
        <v>580</v>
      </c>
      <c r="C12" s="29" t="str">
        <f>IF(all_global_parameter_inputs!A9="",All_global_list!C11,all_global_parameter_inputs!A9)</f>
        <v>passenger_mmet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marginal MET value associated with being a passenger on public transport</v>
      </c>
    </row>
    <row r="13" spans="2:11" x14ac:dyDescent="0.25">
      <c r="B13" s="15" t="s">
        <v>580</v>
      </c>
      <c r="C13" s="29" t="str">
        <f>IF(all_global_parameter_inputs!A10="",All_global_list!C12,all_global_parameter_inputs!A10)</f>
        <v>passenger_mmet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marginal MET value associated with being a passenger on public transport</v>
      </c>
    </row>
    <row r="14" spans="2:11" x14ac:dyDescent="0.25">
      <c r="B14" s="15" t="s">
        <v>581</v>
      </c>
      <c r="C14" s="29" t="str">
        <f>IF(all_global_parameter_inputs!A11="",All_global_list!C13,all_global_parameter_inputs!A11)</f>
        <v>car_driver_mmet</v>
      </c>
      <c r="D14" s="29" t="str">
        <f>IF(all_global_parameter_inputs!B11="","",all_global_parameter_inputs!B11)</f>
        <v>constant</v>
      </c>
      <c r="E14" s="29">
        <f>all_global_parameter_inputs!C11</f>
        <v>1.5</v>
      </c>
      <c r="F14" s="29">
        <f>IF(OR(D14="alpha",D14="beta",D14="sd",D14="mean"),"--",VLOOKUP(B14,Default!$B:$H,7,FALSE))</f>
        <v>1.5</v>
      </c>
      <c r="G14" s="29" t="str">
        <f>VLOOKUP(B14,Lookup!$C:$D,2, FALSE)</f>
        <v>PA values</v>
      </c>
      <c r="H14" s="29" t="str">
        <f>VLOOKUP(B14,Default!$B:$E,4, FALSE)</f>
        <v>marginal MET value associated with being a car driver or passenger</v>
      </c>
      <c r="I14" t="s">
        <v>217</v>
      </c>
    </row>
    <row r="15" spans="2:11" x14ac:dyDescent="0.25">
      <c r="B15" s="15" t="s">
        <v>581</v>
      </c>
      <c r="C15" s="29" t="str">
        <f>IF(all_global_parameter_inputs!A12="",All_global_list!C14,all_global_parameter_inputs!A12)</f>
        <v>car_driver_mmet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marginal MET value associated with being a car driver or passenger</v>
      </c>
    </row>
    <row r="16" spans="2:11" x14ac:dyDescent="0.25">
      <c r="B16" s="15" t="s">
        <v>581</v>
      </c>
      <c r="C16" s="29" t="str">
        <f>IF(all_global_parameter_inputs!A13="",All_global_list!C15,all_global_parameter_inputs!A13)</f>
        <v>car_driver_mmet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marginal MET value associated with being a car driver or passenger</v>
      </c>
    </row>
    <row r="17" spans="2:9" x14ac:dyDescent="0.25">
      <c r="B17" s="15" t="s">
        <v>582</v>
      </c>
      <c r="C17" s="29" t="str">
        <f>IF(all_global_parameter_inputs!A14="",All_global_list!C16,all_global_parameter_inputs!A14)</f>
        <v>motorcyclist_mmet</v>
      </c>
      <c r="D17" s="29" t="str">
        <f>IF(all_global_parameter_inputs!B14="","",all_global_parameter_inputs!B14)</f>
        <v>constant</v>
      </c>
      <c r="E17" s="29">
        <f>all_global_parameter_inputs!C14</f>
        <v>1.8</v>
      </c>
      <c r="F17" s="29">
        <f>IF(OR(D17="alpha",D17="beta",D17="sd",D17="mean"),"--",VLOOKUP(B17,Default!$B:$H,7,FALSE))</f>
        <v>1.8</v>
      </c>
      <c r="G17" s="29" t="str">
        <f>VLOOKUP(B17,Lookup!$C:$D,2, FALSE)</f>
        <v>PA values</v>
      </c>
      <c r="H17" s="29" t="str">
        <f>VLOOKUP(B17,Default!$B:$E,4, FALSE)</f>
        <v>marginal MET value associated with being a motorcyclist</v>
      </c>
      <c r="I17" t="s">
        <v>218</v>
      </c>
    </row>
    <row r="18" spans="2:9" x14ac:dyDescent="0.25">
      <c r="B18" s="15" t="s">
        <v>582</v>
      </c>
      <c r="C18" s="29" t="str">
        <f>IF(all_global_parameter_inputs!A15="",All_global_list!C17,all_global_parameter_inputs!A15)</f>
        <v>motorcyclist_mmet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marginal MET value associated with being a motorcyclist</v>
      </c>
    </row>
    <row r="19" spans="2:9" x14ac:dyDescent="0.25">
      <c r="B19" s="15" t="s">
        <v>582</v>
      </c>
      <c r="C19" s="29" t="str">
        <f>IF(all_global_parameter_inputs!A16="",All_global_list!C18,all_global_parameter_inputs!A16)</f>
        <v>motorcyclist_mmet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marginal MET value associated with being a motorcyclist</v>
      </c>
    </row>
    <row r="20" spans="2:9" x14ac:dyDescent="0.25">
      <c r="B20" s="15" t="s">
        <v>583</v>
      </c>
      <c r="C20" s="29" t="str">
        <f>IF(all_global_parameter_inputs!A17="",All_global_list!C19,all_global_parameter_inputs!A17)</f>
        <v>sedentary_activity_mmet</v>
      </c>
      <c r="D20" s="29" t="str">
        <f>IF(all_global_parameter_inputs!B17="","",all_global_parameter_inputs!B17)</f>
        <v>constant</v>
      </c>
      <c r="E20" s="29">
        <f>all_global_parameter_inputs!C17</f>
        <v>0.3</v>
      </c>
      <c r="F20" s="29">
        <f>IF(OR(D20="alpha",D20="beta",D20="sd",D20="mean"),"--",VLOOKUP(B20,Default!$B:$H,7,FALSE))</f>
        <v>0.3</v>
      </c>
      <c r="G20" s="29" t="str">
        <f>VLOOKUP(B20,Lookup!$C:$D,2, FALSE)</f>
        <v>PA values</v>
      </c>
      <c r="H20" s="29" t="str">
        <f>VLOOKUP(B20,Default!$B:$E,4, FALSE)</f>
        <v>marginal MET value associated with sedentary activity</v>
      </c>
      <c r="I20" t="s">
        <v>219</v>
      </c>
    </row>
    <row r="21" spans="2:9" x14ac:dyDescent="0.25">
      <c r="B21" s="15" t="s">
        <v>583</v>
      </c>
      <c r="C21" s="29" t="str">
        <f>IF(all_global_parameter_inputs!A18="",All_global_list!C20,all_global_parameter_inputs!A18)</f>
        <v>sedentary_activity_mmet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marginal MET value associated with sedentary activity</v>
      </c>
      <c r="I21" s="42"/>
    </row>
    <row r="22" spans="2:9" x14ac:dyDescent="0.25">
      <c r="B22" s="15" t="s">
        <v>583</v>
      </c>
      <c r="C22" s="29" t="str">
        <f>IF(all_global_parameter_inputs!A19="",All_global_list!C21,all_global_parameter_inputs!A19)</f>
        <v>sedentary_activity_mmet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marginal MET value associated with sedentary activity</v>
      </c>
      <c r="I22" s="42"/>
    </row>
    <row r="23" spans="2:9" x14ac:dyDescent="0.25">
      <c r="B23" s="15" t="s">
        <v>584</v>
      </c>
      <c r="C23" s="29" t="str">
        <f>IF(all_global_parameter_inputs!A20="",All_global_list!C22,all_global_parameter_inputs!A20)</f>
        <v>light_activity_mmet</v>
      </c>
      <c r="D23" s="29" t="str">
        <f>IF(all_global_parameter_inputs!B20="","",all_global_parameter_inputs!B20)</f>
        <v>constant</v>
      </c>
      <c r="E23" s="29">
        <f>all_global_parameter_inputs!C20</f>
        <v>1</v>
      </c>
      <c r="F23" s="29">
        <f>IF(OR(D23="alpha",D23="beta",D23="sd",D23="mean"),"--",VLOOKUP(B23,Default!$B:$H,7,FALSE))</f>
        <v>1</v>
      </c>
      <c r="G23" s="29" t="str">
        <f>VLOOKUP(B23,Lookup!$C:$D,2, FALSE)</f>
        <v>PA values</v>
      </c>
      <c r="H23" s="29" t="str">
        <f>VLOOKUP(B23,Default!$B:$E,4, FALSE)</f>
        <v>marginal MET value associated with light activity</v>
      </c>
      <c r="I23" t="s">
        <v>220</v>
      </c>
    </row>
    <row r="24" spans="2:9" x14ac:dyDescent="0.25">
      <c r="B24" s="15" t="s">
        <v>584</v>
      </c>
      <c r="C24" s="29" t="str">
        <f>IF(all_global_parameter_inputs!A21="",All_global_list!C23,all_global_parameter_inputs!A21)</f>
        <v>light_activity_mmet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marginal MET value associated with light activity</v>
      </c>
      <c r="I24" s="42"/>
    </row>
    <row r="25" spans="2:9" x14ac:dyDescent="0.25">
      <c r="B25" s="15" t="s">
        <v>584</v>
      </c>
      <c r="C25" s="29" t="str">
        <f>IF(all_global_parameter_inputs!A22="",All_global_list!C24,all_global_parameter_inputs!A22)</f>
        <v>light_activity_mmet</v>
      </c>
      <c r="D25" s="29" t="str">
        <f>IF(all_global_parameter_inputs!B22="","",all_global_parameter_inputs!B22)</f>
        <v>sd</v>
      </c>
      <c r="E25" s="29">
        <f>all_global_parameter_inputs!C22</f>
        <v>0</v>
      </c>
      <c r="F25" s="69" t="s">
        <v>221</v>
      </c>
      <c r="G25" s="29" t="str">
        <f>VLOOKUP(B25,Lookup!$C:$D,2, FALSE)</f>
        <v>PA values</v>
      </c>
      <c r="H25" s="29" t="str">
        <f>VLOOKUP(B25,Default!$B:$E,4, FALSE)</f>
        <v>marginal MET value associated with light activity</v>
      </c>
      <c r="I25" s="42"/>
    </row>
    <row r="26" spans="2:9" x14ac:dyDescent="0.25">
      <c r="B26" s="15" t="s">
        <v>585</v>
      </c>
      <c r="C26" s="29" t="str">
        <f>IF(all_global_parameter_inputs!A23="",All_global_list!C25,all_global_parameter_inputs!A23)</f>
        <v>moderate_pa_mmet</v>
      </c>
      <c r="D26" s="29" t="str">
        <f>IF(all_global_parameter_inputs!B23="","",all_global_parameter_inputs!B23)</f>
        <v>constant</v>
      </c>
      <c r="E26" s="29">
        <f>all_global_parameter_inputs!C23</f>
        <v>3</v>
      </c>
      <c r="F26" s="29">
        <f>IF(OR(D26="alpha",D26="beta",D26="sd",D26="mean"),"--",VLOOKUP(B26,Default!$B:$H,7,FALSE))</f>
        <v>3</v>
      </c>
      <c r="G26" s="29" t="str">
        <f>VLOOKUP(B26,Lookup!$C:$D,2, FALSE)</f>
        <v>PA values</v>
      </c>
      <c r="H26" s="29" t="str">
        <f>VLOOKUP(B26,Default!$B:$E,4, FALSE)</f>
        <v>marginal MET value associated with moderate activity</v>
      </c>
      <c r="I26" t="s">
        <v>222</v>
      </c>
    </row>
    <row r="27" spans="2:9" x14ac:dyDescent="0.25">
      <c r="B27" s="15" t="s">
        <v>585</v>
      </c>
      <c r="C27" s="29" t="str">
        <f>IF(all_global_parameter_inputs!A24="",All_global_list!C26,all_global_parameter_inputs!A24)</f>
        <v>moderate_pa_mmet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marginal MET value associated with moderate activity</v>
      </c>
      <c r="I27" s="42"/>
    </row>
    <row r="28" spans="2:9" x14ac:dyDescent="0.25">
      <c r="B28" s="15" t="s">
        <v>585</v>
      </c>
      <c r="C28" s="29" t="str">
        <f>IF(all_global_parameter_inputs!A25="",All_global_list!C27,all_global_parameter_inputs!A25)</f>
        <v>moderate_pa_mmet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marginal MET value associated with moderate activity</v>
      </c>
      <c r="I28" s="42"/>
    </row>
    <row r="29" spans="2:9" x14ac:dyDescent="0.25">
      <c r="B29" s="15" t="s">
        <v>586</v>
      </c>
      <c r="C29" s="29" t="str">
        <f>IF(all_global_parameter_inputs!A26="",All_global_list!C28,all_global_parameter_inputs!A26)</f>
        <v>vigorous_pa_mmet</v>
      </c>
      <c r="D29" s="29" t="str">
        <f>IF(all_global_parameter_inputs!B26="","",all_global_parameter_inputs!B26)</f>
        <v>constant</v>
      </c>
      <c r="E29" s="29">
        <f>all_global_parameter_inputs!C26</f>
        <v>7</v>
      </c>
      <c r="F29" s="29">
        <f>IF(OR(D29="alpha",D29="beta",D29="sd",D29="mean"),"--",VLOOKUP(B29,Default!$B:$H,7,FALSE))</f>
        <v>7</v>
      </c>
      <c r="G29" s="29" t="str">
        <f>VLOOKUP(B29,Lookup!$C:$D,2, FALSE)</f>
        <v>PA values</v>
      </c>
      <c r="H29" s="29" t="str">
        <f>VLOOKUP(B29,Default!$B:$E,4, FALSE)</f>
        <v>marginal MET value associated with vigorous activity</v>
      </c>
      <c r="I29" t="s">
        <v>222</v>
      </c>
    </row>
    <row r="30" spans="2:9" x14ac:dyDescent="0.25">
      <c r="B30" s="15" t="s">
        <v>586</v>
      </c>
      <c r="C30" s="29" t="str">
        <f>IF(all_global_parameter_inputs!A27="",All_global_list!C29,all_global_parameter_inputs!A27)</f>
        <v>vigorous_pa_mmet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marginal MET value associated with vigorous activity</v>
      </c>
      <c r="I30" s="42"/>
    </row>
    <row r="31" spans="2:9" x14ac:dyDescent="0.25">
      <c r="B31" s="15" t="s">
        <v>586</v>
      </c>
      <c r="C31" s="29" t="str">
        <f>IF(all_global_parameter_inputs!A28="",All_global_list!C30,all_global_parameter_inputs!A28)</f>
        <v>vigorous_pa_mmet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marginal MET value associated with vigorous activity</v>
      </c>
      <c r="I31" s="42"/>
    </row>
    <row r="32" spans="2:9" x14ac:dyDescent="0.25">
      <c r="B32" s="15" t="s">
        <v>187</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223</v>
      </c>
    </row>
    <row r="33" spans="2:9" x14ac:dyDescent="0.25">
      <c r="B33" s="15" t="s">
        <v>187</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187</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188</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223</v>
      </c>
    </row>
    <row r="36" spans="2:9" x14ac:dyDescent="0.25">
      <c r="B36" s="15" t="s">
        <v>188</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188</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189</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223</v>
      </c>
    </row>
    <row r="39" spans="2:9" x14ac:dyDescent="0.25">
      <c r="B39" s="15" t="s">
        <v>189</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189</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190</v>
      </c>
      <c r="C41" s="29" t="str">
        <f>IF(all_global_parameter_inputs!A38="",All_global_list!#REF!,all_global_parameter_inputs!A38)</f>
        <v>sin_exponent_sum_cycle</v>
      </c>
      <c r="D41" s="29" t="str">
        <f>IF(all_global_parameter_inputs!B38="","",all_global_parameter_inputs!B38)</f>
        <v>constant</v>
      </c>
      <c r="E41" s="29">
        <f>all_global_parameter_inputs!C38</f>
        <v>0.8</v>
      </c>
      <c r="F41" s="29">
        <f>IF(OR(D41="alpha",D41="beta",D41="sd",D41="mean"),"--",VLOOKUP(B41,Default!$B:$H,7,FALSE))</f>
        <v>2</v>
      </c>
      <c r="G41" s="29" t="str">
        <f>VLOOKUP(B41,Lookup!$C:$D,2, FALSE)</f>
        <v>Injury values</v>
      </c>
      <c r="H41" s="29" t="str">
        <f>VLOOKUP(B41,Default!$B:$E,4, FALSE)</f>
        <v>same as global SIN_EXPONENT_SUM but only applies to cycle fatalities</v>
      </c>
      <c r="I41" t="s">
        <v>223</v>
      </c>
    </row>
    <row r="42" spans="2:9" x14ac:dyDescent="0.25">
      <c r="B42" s="15" t="s">
        <v>190</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190</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191</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0.5</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223</v>
      </c>
    </row>
    <row r="45" spans="2:9" x14ac:dyDescent="0.25">
      <c r="B45" s="15" t="s">
        <v>191</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191</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192</v>
      </c>
      <c r="C47" s="29" t="str">
        <f>IF(all_global_parameter_inputs!A44="",All_global_list!C46,all_global_parameter_inputs!A44)</f>
        <v>sin_exponent_sum_ped</v>
      </c>
      <c r="D47" s="29" t="str">
        <f>IF(all_global_parameter_inputs!B44="","",all_global_parameter_inputs!B44)</f>
        <v>constant</v>
      </c>
      <c r="E47" s="29">
        <f>all_global_parameter_inputs!C44</f>
        <v>0.85</v>
      </c>
      <c r="F47" s="29">
        <f>IF(OR(D47="alpha",D47="beta",D47="sd",D47="mean"),"--",VLOOKUP(B47,Default!$B:$H,7,FALSE))</f>
        <v>2</v>
      </c>
      <c r="G47" s="29" t="str">
        <f>VLOOKUP(B47,Lookup!$C:$D,2, FALSE)</f>
        <v>Injury values</v>
      </c>
      <c r="H47" s="29" t="str">
        <f>VLOOKUP(B47,Default!$B:$E,4, FALSE)</f>
        <v>same as global SIN_EXPONENT_SUM but only applies to pedestrian fatalities</v>
      </c>
      <c r="I47" t="s">
        <v>223</v>
      </c>
    </row>
    <row r="48" spans="2:9" x14ac:dyDescent="0.25">
      <c r="B48" s="15" t="s">
        <v>192</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192</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193</v>
      </c>
      <c r="C50" s="29" t="str">
        <f>IF(all_global_parameter_inputs!A47="",All_global_list!C49,all_global_parameter_inputs!A47)</f>
        <v>casualty_exponent_fraction_ped</v>
      </c>
      <c r="D50" s="29" t="str">
        <f>IF(all_global_parameter_inputs!B47="","",all_global_parameter_inputs!B47)</f>
        <v>constant</v>
      </c>
      <c r="E50" s="29">
        <f>all_global_parameter_inputs!C47</f>
        <v>0.52941176470588236</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223</v>
      </c>
    </row>
    <row r="51" spans="2:9" x14ac:dyDescent="0.25">
      <c r="B51" s="15" t="s">
        <v>193</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193</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194</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223</v>
      </c>
    </row>
    <row r="54" spans="2:9" x14ac:dyDescent="0.25">
      <c r="B54" s="15" t="s">
        <v>194</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194</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195</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223</v>
      </c>
    </row>
    <row r="57" spans="2:9" x14ac:dyDescent="0.25">
      <c r="B57" s="15" t="s">
        <v>195</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195</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196</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224</v>
      </c>
    </row>
    <row r="60" spans="2:9" x14ac:dyDescent="0.25">
      <c r="B60" s="15" t="s">
        <v>197</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225</v>
      </c>
    </row>
    <row r="61" spans="2:9" x14ac:dyDescent="0.25">
      <c r="B61" s="15" t="s">
        <v>198</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225</v>
      </c>
    </row>
    <row r="62" spans="2:9" x14ac:dyDescent="0.25">
      <c r="B62" s="15" t="s">
        <v>199</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225</v>
      </c>
    </row>
    <row r="63" spans="2:9" x14ac:dyDescent="0.25">
      <c r="B63" s="15" t="s">
        <v>226</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227</v>
      </c>
      <c r="I63" t="s">
        <v>228</v>
      </c>
    </row>
    <row r="64" spans="2:9" x14ac:dyDescent="0.25">
      <c r="B64" s="15" t="s">
        <v>229</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228</v>
      </c>
    </row>
    <row r="65" spans="2:9" ht="14.85" customHeight="1" x14ac:dyDescent="0.25">
      <c r="B65" s="15" t="s">
        <v>230</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231</v>
      </c>
    </row>
    <row r="66" spans="2:9" x14ac:dyDescent="0.25">
      <c r="B66" s="15" t="s">
        <v>230</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231</v>
      </c>
    </row>
    <row r="67" spans="2:9" x14ac:dyDescent="0.25">
      <c r="B67" s="15" t="s">
        <v>204</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232</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233</v>
      </c>
      <c r="G68" s="30" t="s">
        <v>234</v>
      </c>
      <c r="H68" s="30" t="s">
        <v>235</v>
      </c>
      <c r="I68" t="s">
        <v>232</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233</v>
      </c>
      <c r="G69" s="30" t="s">
        <v>234</v>
      </c>
      <c r="H69" s="30" t="s">
        <v>235</v>
      </c>
      <c r="I69" t="s">
        <v>232</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233</v>
      </c>
      <c r="G70" s="30" t="s">
        <v>234</v>
      </c>
      <c r="H70" s="30" t="s">
        <v>235</v>
      </c>
      <c r="I70" t="s">
        <v>232</v>
      </c>
    </row>
    <row r="71" spans="2:9" x14ac:dyDescent="0.25">
      <c r="B71" s="15" t="s">
        <v>212</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232</v>
      </c>
    </row>
    <row r="72" spans="2:9" x14ac:dyDescent="0.25">
      <c r="B72" s="15" t="s">
        <v>213</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232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8"/>
  <sheetViews>
    <sheetView topLeftCell="A17" zoomScale="80" zoomScaleNormal="80" workbookViewId="0">
      <selection activeCell="J39" sqref="J39"/>
    </sheetView>
  </sheetViews>
  <sheetFormatPr defaultRowHeight="15" x14ac:dyDescent="0.25"/>
  <cols>
    <col min="1" max="1" width="4.42578125" customWidth="1"/>
    <col min="2" max="2" width="13.5703125" style="15" customWidth="1"/>
    <col min="4" max="4" width="36.42578125" bestFit="1" customWidth="1"/>
    <col min="5" max="5" width="12.42578125" style="23" customWidth="1"/>
    <col min="6" max="6" width="16.42578125" customWidth="1"/>
    <col min="7" max="7" width="11.42578125" customWidth="1"/>
    <col min="8" max="8" width="7.42578125" customWidth="1"/>
    <col min="9" max="9" width="18" bestFit="1" customWidth="1"/>
  </cols>
  <sheetData>
    <row r="2" spans="2:16" x14ac:dyDescent="0.25">
      <c r="F2" s="25" t="s">
        <v>236</v>
      </c>
      <c r="G2" s="26"/>
      <c r="H2" s="26"/>
      <c r="I2" s="26"/>
      <c r="J2" s="26"/>
      <c r="K2" s="26"/>
      <c r="L2" s="26"/>
      <c r="M2" s="26"/>
      <c r="N2" s="26"/>
      <c r="O2" s="26"/>
      <c r="P2" s="26"/>
    </row>
    <row r="3" spans="2:16" x14ac:dyDescent="0.25">
      <c r="B3" s="15" t="s">
        <v>237</v>
      </c>
    </row>
    <row r="4" spans="2:16" x14ac:dyDescent="0.25">
      <c r="B4" s="1" t="s">
        <v>238</v>
      </c>
      <c r="C4" s="3" t="s">
        <v>139</v>
      </c>
      <c r="D4" s="1" t="s">
        <v>135</v>
      </c>
      <c r="E4" s="24" t="s">
        <v>6</v>
      </c>
      <c r="F4" s="1" t="s">
        <v>239</v>
      </c>
      <c r="G4" s="1" t="s">
        <v>240</v>
      </c>
      <c r="H4" s="1" t="s">
        <v>241</v>
      </c>
      <c r="I4" s="1" t="s">
        <v>242</v>
      </c>
      <c r="J4" s="1" t="s">
        <v>140</v>
      </c>
      <c r="K4" s="1" t="s">
        <v>141</v>
      </c>
      <c r="L4" s="1" t="s">
        <v>142</v>
      </c>
    </row>
    <row r="5" spans="2:16" ht="27" customHeight="1" x14ac:dyDescent="0.25">
      <c r="B5" s="16" t="str">
        <f>VLOOKUP(D5,Lookup!$B$5:$C$78,2,FALSE)</f>
        <v>pm_conc_base</v>
      </c>
      <c r="C5" s="75" t="s">
        <v>243</v>
      </c>
      <c r="D5" s="2" t="s">
        <v>244</v>
      </c>
      <c r="E5" s="23" t="s">
        <v>245</v>
      </c>
      <c r="F5" t="s">
        <v>246</v>
      </c>
      <c r="G5" t="s">
        <v>247</v>
      </c>
      <c r="H5" s="44">
        <v>12.69</v>
      </c>
      <c r="I5" t="s">
        <v>248</v>
      </c>
      <c r="J5" s="47" t="s">
        <v>149</v>
      </c>
      <c r="K5" s="18" t="s">
        <v>150</v>
      </c>
      <c r="L5" s="18" t="s">
        <v>249</v>
      </c>
    </row>
    <row r="6" spans="2:16" ht="44.1" customHeight="1" x14ac:dyDescent="0.25">
      <c r="B6" s="16" t="str">
        <f>VLOOKUP(D6,Lookup!$B$5:$C$78,2,FALSE)</f>
        <v>pm_trans_share</v>
      </c>
      <c r="C6" s="75"/>
      <c r="D6" s="2" t="s">
        <v>250</v>
      </c>
      <c r="E6" s="23" t="s">
        <v>251</v>
      </c>
      <c r="F6" t="s">
        <v>246</v>
      </c>
      <c r="G6" t="s">
        <v>252</v>
      </c>
      <c r="H6" s="41">
        <v>0.42</v>
      </c>
      <c r="I6" t="s">
        <v>253</v>
      </c>
      <c r="J6" s="48" t="s">
        <v>254</v>
      </c>
      <c r="K6" s="18" t="s">
        <v>255</v>
      </c>
      <c r="L6" s="18" t="s">
        <v>249</v>
      </c>
    </row>
    <row r="7" spans="2:16" ht="43.35" customHeight="1" x14ac:dyDescent="0.25">
      <c r="B7" s="16" t="str">
        <f>VLOOKUP(D7,Lookup!$B$5:$C$78,2,FALSE)</f>
        <v>PM_emission_confidence</v>
      </c>
      <c r="C7" s="75"/>
      <c r="D7" t="s">
        <v>256</v>
      </c>
      <c r="E7" s="23" t="s">
        <v>257</v>
      </c>
      <c r="F7" t="s">
        <v>246</v>
      </c>
      <c r="G7" t="s">
        <v>258</v>
      </c>
      <c r="H7">
        <v>1</v>
      </c>
      <c r="I7" t="s">
        <v>253</v>
      </c>
      <c r="J7" s="18" t="s">
        <v>259</v>
      </c>
      <c r="K7" s="19"/>
      <c r="L7" s="18"/>
    </row>
    <row r="8" spans="2:16" x14ac:dyDescent="0.25">
      <c r="B8" s="15" t="s">
        <v>260</v>
      </c>
      <c r="C8" s="75"/>
      <c r="D8" t="s">
        <v>261</v>
      </c>
      <c r="E8" s="76" t="s">
        <v>262</v>
      </c>
      <c r="F8" s="73" t="s">
        <v>263</v>
      </c>
      <c r="G8" t="s">
        <v>258</v>
      </c>
      <c r="H8" s="41">
        <v>2.3031654375338189E-3</v>
      </c>
      <c r="I8" t="s">
        <v>253</v>
      </c>
      <c r="J8" s="49" t="s">
        <v>144</v>
      </c>
      <c r="K8" s="18" t="s">
        <v>145</v>
      </c>
      <c r="L8" s="18" t="s">
        <v>249</v>
      </c>
    </row>
    <row r="9" spans="2:16" x14ac:dyDescent="0.25">
      <c r="B9" s="15" t="s">
        <v>264</v>
      </c>
      <c r="C9" s="75"/>
      <c r="D9" t="s">
        <v>265</v>
      </c>
      <c r="E9" s="76"/>
      <c r="F9" s="73"/>
      <c r="G9" t="s">
        <v>258</v>
      </c>
      <c r="H9" s="41">
        <v>8.1980352806225759E-2</v>
      </c>
      <c r="I9" t="s">
        <v>253</v>
      </c>
      <c r="J9" s="49" t="s">
        <v>144</v>
      </c>
      <c r="K9" s="18" t="s">
        <v>266</v>
      </c>
      <c r="L9" s="18" t="s">
        <v>249</v>
      </c>
    </row>
    <row r="10" spans="2:16" x14ac:dyDescent="0.25">
      <c r="B10" s="15" t="s">
        <v>267</v>
      </c>
      <c r="C10" s="75"/>
      <c r="D10" t="s">
        <v>268</v>
      </c>
      <c r="E10" s="76"/>
      <c r="F10" s="73"/>
      <c r="G10" t="s">
        <v>258</v>
      </c>
      <c r="H10" s="41">
        <v>0.12246677425253254</v>
      </c>
      <c r="I10" t="s">
        <v>253</v>
      </c>
      <c r="J10" s="49" t="s">
        <v>144</v>
      </c>
      <c r="K10" s="18" t="s">
        <v>269</v>
      </c>
      <c r="L10" s="18" t="s">
        <v>249</v>
      </c>
    </row>
    <row r="11" spans="2:16" x14ac:dyDescent="0.25">
      <c r="B11" s="15" t="s">
        <v>270</v>
      </c>
      <c r="C11" s="75"/>
      <c r="D11" t="s">
        <v>271</v>
      </c>
      <c r="E11" s="76"/>
      <c r="F11" s="73"/>
      <c r="G11" t="s">
        <v>258</v>
      </c>
      <c r="H11" s="41">
        <v>0.45445403783708543</v>
      </c>
      <c r="I11" t="s">
        <v>253</v>
      </c>
      <c r="J11" s="49" t="s">
        <v>144</v>
      </c>
      <c r="K11" s="18" t="s">
        <v>272</v>
      </c>
      <c r="L11" s="18" t="s">
        <v>249</v>
      </c>
    </row>
    <row r="12" spans="2:16" x14ac:dyDescent="0.25">
      <c r="B12" s="15" t="s">
        <v>273</v>
      </c>
      <c r="C12" s="75"/>
      <c r="D12" t="s">
        <v>274</v>
      </c>
      <c r="E12" s="76"/>
      <c r="F12" s="73"/>
      <c r="G12" t="s">
        <v>258</v>
      </c>
      <c r="H12" s="41">
        <v>0.33879566966662278</v>
      </c>
      <c r="I12" t="s">
        <v>253</v>
      </c>
      <c r="J12" s="49" t="s">
        <v>144</v>
      </c>
      <c r="K12" s="18" t="s">
        <v>275</v>
      </c>
      <c r="L12" s="18" t="s">
        <v>249</v>
      </c>
    </row>
    <row r="13" spans="2:16" x14ac:dyDescent="0.25">
      <c r="B13" s="15" t="s">
        <v>276</v>
      </c>
      <c r="C13" s="75"/>
      <c r="D13" t="s">
        <v>277</v>
      </c>
      <c r="E13" s="76"/>
      <c r="F13" s="73"/>
      <c r="G13" t="s">
        <v>258</v>
      </c>
      <c r="H13" s="41">
        <v>0</v>
      </c>
      <c r="I13" t="s">
        <v>253</v>
      </c>
      <c r="J13" s="49" t="s">
        <v>144</v>
      </c>
      <c r="K13" s="18" t="s">
        <v>278</v>
      </c>
      <c r="L13" s="18" t="s">
        <v>249</v>
      </c>
    </row>
    <row r="14" spans="2:16" x14ac:dyDescent="0.25">
      <c r="B14" s="15" t="s">
        <v>279</v>
      </c>
      <c r="C14" s="75"/>
      <c r="D14" t="s">
        <v>280</v>
      </c>
      <c r="E14" s="76"/>
      <c r="F14" s="73"/>
      <c r="G14" t="s">
        <v>258</v>
      </c>
      <c r="H14" s="41">
        <v>0</v>
      </c>
      <c r="I14" t="s">
        <v>253</v>
      </c>
      <c r="J14" s="49" t="s">
        <v>144</v>
      </c>
      <c r="K14" s="18" t="s">
        <v>281</v>
      </c>
      <c r="L14" s="18" t="s">
        <v>249</v>
      </c>
    </row>
    <row r="15" spans="2:16" x14ac:dyDescent="0.25">
      <c r="B15" s="15" t="s">
        <v>282</v>
      </c>
      <c r="C15" s="75"/>
      <c r="D15" t="s">
        <v>283</v>
      </c>
      <c r="E15" s="76"/>
      <c r="F15" s="73"/>
      <c r="G15" t="s">
        <v>258</v>
      </c>
      <c r="H15" s="41">
        <v>0</v>
      </c>
      <c r="I15" t="s">
        <v>253</v>
      </c>
      <c r="J15" s="49" t="s">
        <v>144</v>
      </c>
      <c r="K15" s="18" t="s">
        <v>284</v>
      </c>
      <c r="L15" s="18" t="s">
        <v>249</v>
      </c>
    </row>
    <row r="16" spans="2:16" x14ac:dyDescent="0.25">
      <c r="B16" s="15" t="s">
        <v>285</v>
      </c>
      <c r="C16" s="75"/>
      <c r="D16" t="s">
        <v>286</v>
      </c>
      <c r="E16" s="76"/>
      <c r="F16" s="73"/>
      <c r="G16" t="s">
        <v>258</v>
      </c>
      <c r="H16" s="41">
        <v>0</v>
      </c>
      <c r="I16" t="s">
        <v>253</v>
      </c>
      <c r="J16" s="49" t="s">
        <v>144</v>
      </c>
      <c r="K16" s="18" t="s">
        <v>287</v>
      </c>
      <c r="L16" s="18" t="s">
        <v>249</v>
      </c>
    </row>
    <row r="17" spans="2:12" ht="52.35" customHeight="1" x14ac:dyDescent="0.25">
      <c r="B17" s="16" t="str">
        <f>VLOOKUP(D17,Lookup!$B$5:$C$78,2,FALSE)</f>
        <v>CO2_emission_confidence</v>
      </c>
      <c r="C17" s="75"/>
      <c r="D17" t="s">
        <v>288</v>
      </c>
      <c r="E17" s="23" t="s">
        <v>289</v>
      </c>
      <c r="F17" t="s">
        <v>246</v>
      </c>
      <c r="G17" t="s">
        <v>258</v>
      </c>
      <c r="H17">
        <v>1</v>
      </c>
      <c r="I17" t="s">
        <v>253</v>
      </c>
      <c r="J17" s="18" t="s">
        <v>259</v>
      </c>
      <c r="K17" s="19"/>
      <c r="L17" s="18"/>
    </row>
    <row r="18" spans="2:12" x14ac:dyDescent="0.25">
      <c r="B18" s="15" t="s">
        <v>290</v>
      </c>
      <c r="C18" s="75"/>
      <c r="D18" t="s">
        <v>291</v>
      </c>
      <c r="E18" s="76" t="s">
        <v>292</v>
      </c>
      <c r="F18" s="73" t="s">
        <v>263</v>
      </c>
      <c r="G18" t="s">
        <v>258</v>
      </c>
      <c r="H18" s="41">
        <v>30033.571810000001</v>
      </c>
      <c r="I18" t="s">
        <v>253</v>
      </c>
      <c r="J18" s="49" t="s">
        <v>144</v>
      </c>
      <c r="K18" s="18" t="s">
        <v>145</v>
      </c>
      <c r="L18" s="18" t="s">
        <v>249</v>
      </c>
    </row>
    <row r="19" spans="2:12" x14ac:dyDescent="0.25">
      <c r="B19" s="15" t="s">
        <v>293</v>
      </c>
      <c r="C19" s="75"/>
      <c r="D19" t="s">
        <v>294</v>
      </c>
      <c r="E19" s="76"/>
      <c r="F19" s="73"/>
      <c r="G19" t="s">
        <v>258</v>
      </c>
      <c r="H19" s="41">
        <v>1033377.341</v>
      </c>
      <c r="I19" t="s">
        <v>253</v>
      </c>
      <c r="J19" s="49" t="s">
        <v>144</v>
      </c>
      <c r="K19" s="18" t="s">
        <v>266</v>
      </c>
      <c r="L19" s="18" t="s">
        <v>249</v>
      </c>
    </row>
    <row r="20" spans="2:12" x14ac:dyDescent="0.25">
      <c r="B20" s="15" t="s">
        <v>295</v>
      </c>
      <c r="C20" s="75"/>
      <c r="D20" t="s">
        <v>296</v>
      </c>
      <c r="E20" s="76"/>
      <c r="F20" s="73"/>
      <c r="G20" t="s">
        <v>258</v>
      </c>
      <c r="H20" s="41">
        <v>100429.7216</v>
      </c>
      <c r="I20" t="s">
        <v>253</v>
      </c>
      <c r="J20" s="49" t="s">
        <v>144</v>
      </c>
      <c r="K20" s="18" t="s">
        <v>269</v>
      </c>
      <c r="L20" s="18" t="s">
        <v>249</v>
      </c>
    </row>
    <row r="21" spans="2:12" x14ac:dyDescent="0.25">
      <c r="B21" s="15" t="s">
        <v>297</v>
      </c>
      <c r="C21" s="75"/>
      <c r="D21" t="s">
        <v>298</v>
      </c>
      <c r="E21" s="76"/>
      <c r="F21" s="73"/>
      <c r="G21" t="s">
        <v>258</v>
      </c>
      <c r="H21" s="41">
        <v>259655.32449999999</v>
      </c>
      <c r="I21" t="s">
        <v>253</v>
      </c>
      <c r="J21" s="49" t="s">
        <v>144</v>
      </c>
      <c r="K21" s="18" t="s">
        <v>272</v>
      </c>
      <c r="L21" s="18" t="s">
        <v>249</v>
      </c>
    </row>
    <row r="22" spans="2:12" x14ac:dyDescent="0.25">
      <c r="B22" s="15" t="s">
        <v>299</v>
      </c>
      <c r="C22" s="75"/>
      <c r="D22" t="s">
        <v>300</v>
      </c>
      <c r="E22" s="76"/>
      <c r="F22" s="73"/>
      <c r="G22" t="s">
        <v>258</v>
      </c>
      <c r="H22" s="41">
        <v>163516.11319999999</v>
      </c>
      <c r="I22" t="s">
        <v>253</v>
      </c>
      <c r="J22" s="49" t="s">
        <v>144</v>
      </c>
      <c r="K22" s="18" t="s">
        <v>275</v>
      </c>
      <c r="L22" s="18" t="s">
        <v>249</v>
      </c>
    </row>
    <row r="23" spans="2:12" x14ac:dyDescent="0.25">
      <c r="B23" s="15" t="s">
        <v>301</v>
      </c>
      <c r="C23" s="75"/>
      <c r="D23" t="s">
        <v>302</v>
      </c>
      <c r="E23" s="76"/>
      <c r="F23" s="73"/>
      <c r="G23" t="s">
        <v>258</v>
      </c>
      <c r="H23" s="41">
        <v>0</v>
      </c>
      <c r="I23" t="s">
        <v>253</v>
      </c>
      <c r="J23" s="49" t="s">
        <v>144</v>
      </c>
      <c r="K23" s="18" t="s">
        <v>278</v>
      </c>
      <c r="L23" s="18" t="s">
        <v>249</v>
      </c>
    </row>
    <row r="24" spans="2:12" x14ac:dyDescent="0.25">
      <c r="B24" s="15" t="s">
        <v>303</v>
      </c>
      <c r="C24" s="75"/>
      <c r="D24" t="s">
        <v>304</v>
      </c>
      <c r="E24" s="76"/>
      <c r="F24" s="73"/>
      <c r="G24" t="s">
        <v>258</v>
      </c>
      <c r="H24" s="41">
        <v>1906.893448</v>
      </c>
      <c r="I24" t="s">
        <v>253</v>
      </c>
      <c r="J24" s="49" t="s">
        <v>144</v>
      </c>
      <c r="K24" s="18" t="s">
        <v>281</v>
      </c>
      <c r="L24" s="18" t="s">
        <v>249</v>
      </c>
    </row>
    <row r="25" spans="2:12" x14ac:dyDescent="0.25">
      <c r="B25" s="15" t="s">
        <v>305</v>
      </c>
      <c r="C25" s="75"/>
      <c r="D25" t="s">
        <v>306</v>
      </c>
      <c r="E25" s="76"/>
      <c r="F25" s="73"/>
      <c r="G25" t="s">
        <v>258</v>
      </c>
      <c r="H25" s="41">
        <v>0</v>
      </c>
      <c r="I25" t="s">
        <v>253</v>
      </c>
      <c r="J25" s="49" t="s">
        <v>144</v>
      </c>
      <c r="K25" s="18" t="s">
        <v>284</v>
      </c>
      <c r="L25" s="18" t="s">
        <v>249</v>
      </c>
    </row>
    <row r="26" spans="2:12" x14ac:dyDescent="0.25">
      <c r="B26" s="15" t="s">
        <v>307</v>
      </c>
      <c r="C26" s="75"/>
      <c r="D26" t="s">
        <v>308</v>
      </c>
      <c r="E26" s="76"/>
      <c r="F26" s="73"/>
      <c r="G26" t="s">
        <v>258</v>
      </c>
      <c r="H26" s="41">
        <v>0</v>
      </c>
      <c r="I26" t="s">
        <v>253</v>
      </c>
      <c r="J26" s="49" t="s">
        <v>144</v>
      </c>
      <c r="K26" s="18" t="s">
        <v>287</v>
      </c>
      <c r="L26" s="18"/>
    </row>
    <row r="27" spans="2:12" ht="105" x14ac:dyDescent="0.25">
      <c r="B27" s="16" t="str">
        <f>VLOOKUP(D27,Lookup!$B$5:$C$78,2,FALSE)</f>
        <v>treat_taxi_as_car</v>
      </c>
      <c r="C27" s="75"/>
      <c r="D27" t="s">
        <v>573</v>
      </c>
      <c r="E27" s="71" t="s">
        <v>574</v>
      </c>
      <c r="F27" s="72" t="s">
        <v>575</v>
      </c>
      <c r="G27" t="s">
        <v>367</v>
      </c>
      <c r="H27" s="41" t="s">
        <v>126</v>
      </c>
      <c r="I27" t="s">
        <v>253</v>
      </c>
      <c r="J27" s="49"/>
      <c r="K27" s="18"/>
      <c r="L27" s="18"/>
    </row>
    <row r="28" spans="2:12" x14ac:dyDescent="0.25">
      <c r="C28" s="2"/>
      <c r="J28" s="18"/>
      <c r="K28" s="18"/>
      <c r="L28" s="18"/>
    </row>
    <row r="29" spans="2:12" ht="37.35" customHeight="1" x14ac:dyDescent="0.25">
      <c r="B29" s="16" t="str">
        <f>VLOOKUP(D29,Lookup!$B$5:$C$78,2,FALSE)</f>
        <v>background_pa_confidence</v>
      </c>
      <c r="C29" s="75" t="s">
        <v>309</v>
      </c>
      <c r="D29" s="2" t="s">
        <v>310</v>
      </c>
      <c r="E29" s="23" t="s">
        <v>311</v>
      </c>
      <c r="F29" t="s">
        <v>263</v>
      </c>
      <c r="G29" t="s">
        <v>312</v>
      </c>
      <c r="H29">
        <v>1</v>
      </c>
      <c r="I29" t="s">
        <v>253</v>
      </c>
      <c r="J29" s="18" t="s">
        <v>313</v>
      </c>
      <c r="K29" s="18"/>
      <c r="L29" s="18"/>
    </row>
    <row r="30" spans="2:12" ht="23.1" customHeight="1" x14ac:dyDescent="0.25">
      <c r="B30" s="16" t="str">
        <f>VLOOKUP(D30,Lookup!$B$5:$C$78,2,FALSE)</f>
        <v>background_pa_scalar</v>
      </c>
      <c r="C30" s="75"/>
      <c r="D30" s="2" t="s">
        <v>314</v>
      </c>
      <c r="E30" s="23" t="s">
        <v>315</v>
      </c>
      <c r="F30" t="s">
        <v>263</v>
      </c>
      <c r="G30" t="s">
        <v>247</v>
      </c>
      <c r="H30">
        <v>1</v>
      </c>
      <c r="I30" t="s">
        <v>253</v>
      </c>
      <c r="J30" s="18" t="s">
        <v>316</v>
      </c>
      <c r="K30" s="18"/>
      <c r="L30" s="18"/>
    </row>
    <row r="31" spans="2:12" ht="30" customHeight="1" x14ac:dyDescent="0.25">
      <c r="B31" s="16" t="str">
        <f>VLOOKUP(D31,Lookup!$B$5:$C$78,2,FALSE)</f>
        <v>cycling_mmet</v>
      </c>
      <c r="C31" s="75"/>
      <c r="D31" s="2" t="s">
        <v>587</v>
      </c>
      <c r="E31" s="23" t="s">
        <v>596</v>
      </c>
      <c r="F31" t="s">
        <v>317</v>
      </c>
      <c r="G31" t="s">
        <v>247</v>
      </c>
      <c r="H31">
        <v>5.8</v>
      </c>
      <c r="I31" t="s">
        <v>318</v>
      </c>
      <c r="J31" s="18" t="s">
        <v>319</v>
      </c>
      <c r="K31" s="18" t="s">
        <v>320</v>
      </c>
      <c r="L31" s="18"/>
    </row>
    <row r="32" spans="2:12" ht="17.100000000000001" customHeight="1" x14ac:dyDescent="0.25">
      <c r="B32" s="16" t="str">
        <f>VLOOKUP(D32,Lookup!$B$5:$C$78,2,FALSE)</f>
        <v>walking_mmet</v>
      </c>
      <c r="C32" s="75"/>
      <c r="D32" s="2" t="s">
        <v>588</v>
      </c>
      <c r="E32" s="23" t="s">
        <v>597</v>
      </c>
      <c r="F32" t="s">
        <v>317</v>
      </c>
      <c r="G32" t="s">
        <v>247</v>
      </c>
      <c r="H32">
        <v>2.5</v>
      </c>
      <c r="I32" t="s">
        <v>318</v>
      </c>
      <c r="J32" s="18" t="s">
        <v>321</v>
      </c>
      <c r="K32" s="18" t="s">
        <v>322</v>
      </c>
      <c r="L32" s="18"/>
    </row>
    <row r="33" spans="2:12" ht="17.100000000000001" customHeight="1" x14ac:dyDescent="0.25">
      <c r="B33" s="16" t="str">
        <f>VLOOKUP(D33,Lookup!$B$5:$C$78,2,FALSE)</f>
        <v>passenger_mmet</v>
      </c>
      <c r="C33" s="75"/>
      <c r="D33" s="2" t="s">
        <v>589</v>
      </c>
      <c r="E33" s="23" t="s">
        <v>598</v>
      </c>
      <c r="F33" t="s">
        <v>317</v>
      </c>
      <c r="G33" t="s">
        <v>247</v>
      </c>
      <c r="H33">
        <v>0.3</v>
      </c>
      <c r="I33" t="s">
        <v>318</v>
      </c>
      <c r="J33" s="18" t="s">
        <v>323</v>
      </c>
      <c r="K33" s="18" t="s">
        <v>324</v>
      </c>
      <c r="L33" s="18"/>
    </row>
    <row r="34" spans="2:12" ht="17.100000000000001" customHeight="1" x14ac:dyDescent="0.25">
      <c r="B34" s="16" t="str">
        <f>VLOOKUP(D34,Lookup!$B$5:$C$78,2,FALSE)</f>
        <v>car_driver_mmet</v>
      </c>
      <c r="C34" s="75"/>
      <c r="D34" s="2" t="s">
        <v>590</v>
      </c>
      <c r="E34" s="23" t="s">
        <v>599</v>
      </c>
      <c r="F34" t="s">
        <v>317</v>
      </c>
      <c r="G34" t="s">
        <v>247</v>
      </c>
      <c r="H34">
        <v>1.5</v>
      </c>
      <c r="I34" t="s">
        <v>318</v>
      </c>
      <c r="J34" s="18" t="s">
        <v>325</v>
      </c>
      <c r="K34" s="18" t="s">
        <v>326</v>
      </c>
      <c r="L34" s="18"/>
    </row>
    <row r="35" spans="2:12" ht="17.100000000000001" customHeight="1" x14ac:dyDescent="0.25">
      <c r="B35" s="16" t="str">
        <f>VLOOKUP(D35,Lookup!$B$5:$C$78,2,FALSE)</f>
        <v>motorcyclist_mmet</v>
      </c>
      <c r="C35" s="75"/>
      <c r="D35" s="2" t="s">
        <v>591</v>
      </c>
      <c r="E35" s="23" t="s">
        <v>600</v>
      </c>
      <c r="F35" t="s">
        <v>317</v>
      </c>
      <c r="G35" t="s">
        <v>247</v>
      </c>
      <c r="H35">
        <v>1.8</v>
      </c>
      <c r="I35" t="s">
        <v>318</v>
      </c>
      <c r="J35" s="18" t="s">
        <v>327</v>
      </c>
      <c r="K35" s="18" t="s">
        <v>328</v>
      </c>
      <c r="L35" s="18"/>
    </row>
    <row r="36" spans="2:12" ht="17.100000000000001" customHeight="1" x14ac:dyDescent="0.25">
      <c r="B36" s="16" t="str">
        <f>VLOOKUP(D36,Lookup!$B$5:$C$78,2,FALSE)</f>
        <v>sedentary_activity_mmet</v>
      </c>
      <c r="C36" s="75"/>
      <c r="D36" s="2" t="s">
        <v>592</v>
      </c>
      <c r="E36" s="23" t="s">
        <v>601</v>
      </c>
      <c r="F36" t="s">
        <v>317</v>
      </c>
      <c r="G36" t="s">
        <v>247</v>
      </c>
      <c r="H36">
        <v>0.3</v>
      </c>
      <c r="I36" t="s">
        <v>318</v>
      </c>
      <c r="J36" s="18" t="s">
        <v>329</v>
      </c>
      <c r="K36" s="18" t="s">
        <v>330</v>
      </c>
      <c r="L36" s="18"/>
    </row>
    <row r="37" spans="2:12" ht="17.100000000000001" customHeight="1" x14ac:dyDescent="0.25">
      <c r="B37" s="16" t="str">
        <f>VLOOKUP(D37,Lookup!$B$5:$C$78,2,FALSE)</f>
        <v>light_activity_mmet</v>
      </c>
      <c r="C37" s="75"/>
      <c r="D37" s="2" t="s">
        <v>593</v>
      </c>
      <c r="E37" s="23" t="s">
        <v>602</v>
      </c>
      <c r="F37" t="s">
        <v>317</v>
      </c>
      <c r="G37" t="s">
        <v>247</v>
      </c>
      <c r="H37">
        <v>1</v>
      </c>
      <c r="I37" t="s">
        <v>318</v>
      </c>
      <c r="J37" s="18" t="s">
        <v>331</v>
      </c>
      <c r="K37" s="18" t="s">
        <v>330</v>
      </c>
      <c r="L37" s="18"/>
    </row>
    <row r="38" spans="2:12" ht="17.100000000000001" customHeight="1" x14ac:dyDescent="0.25">
      <c r="B38" s="16" t="str">
        <f>VLOOKUP(D38,Lookup!$B$5:$C$78,2,FALSE)</f>
        <v>moderate_pa_mmet</v>
      </c>
      <c r="C38" s="75"/>
      <c r="D38" s="2" t="s">
        <v>594</v>
      </c>
      <c r="E38" s="23" t="s">
        <v>603</v>
      </c>
      <c r="F38" t="s">
        <v>317</v>
      </c>
      <c r="G38" t="s">
        <v>247</v>
      </c>
      <c r="H38">
        <v>3</v>
      </c>
      <c r="I38" t="s">
        <v>318</v>
      </c>
      <c r="J38" s="18" t="s">
        <v>332</v>
      </c>
      <c r="K38" s="18" t="s">
        <v>333</v>
      </c>
      <c r="L38" s="18"/>
    </row>
    <row r="39" spans="2:12" ht="17.100000000000001" customHeight="1" x14ac:dyDescent="0.25">
      <c r="B39" s="16" t="str">
        <f>VLOOKUP(D39,Lookup!$B$5:$C$78,2,FALSE)</f>
        <v>vigorous_pa_mmet</v>
      </c>
      <c r="C39" s="75"/>
      <c r="D39" s="2" t="s">
        <v>595</v>
      </c>
      <c r="E39" s="23" t="s">
        <v>604</v>
      </c>
      <c r="F39" t="s">
        <v>317</v>
      </c>
      <c r="G39" t="s">
        <v>247</v>
      </c>
      <c r="H39">
        <v>7</v>
      </c>
      <c r="I39" t="s">
        <v>318</v>
      </c>
      <c r="J39" s="18" t="s">
        <v>332</v>
      </c>
      <c r="K39" s="18" t="s">
        <v>333</v>
      </c>
      <c r="L39" s="18"/>
    </row>
    <row r="40" spans="2:12" ht="17.100000000000001" customHeight="1" x14ac:dyDescent="0.25">
      <c r="B40" s="16" t="str">
        <f>VLOOKUP(D40,Lookup!$B$5:$C$78,2,FALSE)</f>
        <v>moderate_pa_contribution</v>
      </c>
      <c r="C40" s="75"/>
      <c r="D40" t="s">
        <v>334</v>
      </c>
      <c r="E40" s="45" t="s">
        <v>335</v>
      </c>
      <c r="F40" t="s">
        <v>317</v>
      </c>
      <c r="G40" t="s">
        <v>336</v>
      </c>
      <c r="H40">
        <v>0.5</v>
      </c>
      <c r="I40" t="s">
        <v>186</v>
      </c>
      <c r="J40" s="18" t="s">
        <v>337</v>
      </c>
      <c r="K40" s="18"/>
      <c r="L40" s="18" t="s">
        <v>338</v>
      </c>
    </row>
    <row r="41" spans="2:12" ht="17.100000000000001" customHeight="1" x14ac:dyDescent="0.25">
      <c r="B41" s="16"/>
      <c r="C41" s="46"/>
      <c r="D41" s="2"/>
      <c r="J41" s="18"/>
      <c r="K41" s="18"/>
      <c r="L41" s="18"/>
    </row>
    <row r="42" spans="2:12" ht="47.85" customHeight="1" x14ac:dyDescent="0.25">
      <c r="B42" s="16" t="str">
        <f>VLOOKUP(D42,Lookup!$B$5:$C$78,2,FALSE)</f>
        <v>bus_walk_time</v>
      </c>
      <c r="C42" s="75" t="s">
        <v>339</v>
      </c>
      <c r="D42" s="2" t="s">
        <v>340</v>
      </c>
      <c r="E42" s="23" t="s">
        <v>341</v>
      </c>
      <c r="F42" t="s">
        <v>342</v>
      </c>
      <c r="G42" t="s">
        <v>247</v>
      </c>
      <c r="H42">
        <v>16</v>
      </c>
      <c r="I42" t="s">
        <v>253</v>
      </c>
      <c r="J42" s="18" t="s">
        <v>155</v>
      </c>
      <c r="K42" s="18" t="s">
        <v>156</v>
      </c>
      <c r="L42" s="18" t="s">
        <v>249</v>
      </c>
    </row>
    <row r="43" spans="2:12" ht="22.35" customHeight="1" x14ac:dyDescent="0.25">
      <c r="B43" s="16" t="str">
        <f>VLOOKUP(D43,Lookup!$B$5:$C$78,2,FALSE)</f>
        <v>rail_walk_time</v>
      </c>
      <c r="C43" s="75"/>
      <c r="D43" t="s">
        <v>343</v>
      </c>
      <c r="E43" s="23" t="s">
        <v>344</v>
      </c>
      <c r="F43" t="s">
        <v>342</v>
      </c>
      <c r="G43" t="s">
        <v>247</v>
      </c>
      <c r="H43">
        <v>12.5</v>
      </c>
      <c r="I43" t="s">
        <v>253</v>
      </c>
      <c r="J43" s="50" t="s">
        <v>157</v>
      </c>
      <c r="K43" s="18" t="s">
        <v>158</v>
      </c>
      <c r="L43" s="18" t="s">
        <v>249</v>
      </c>
    </row>
    <row r="44" spans="2:12" ht="23.85" customHeight="1" x14ac:dyDescent="0.25">
      <c r="B44" s="16" t="str">
        <f>VLOOKUP(D44,Lookup!$B$5:$C$78,2,FALSE)</f>
        <v>day_to_week_scalar</v>
      </c>
      <c r="C44" s="75"/>
      <c r="D44" t="s">
        <v>345</v>
      </c>
      <c r="E44" s="23" t="s">
        <v>346</v>
      </c>
      <c r="F44" t="s">
        <v>317</v>
      </c>
      <c r="G44" t="s">
        <v>258</v>
      </c>
      <c r="H44">
        <v>7</v>
      </c>
      <c r="I44" t="s">
        <v>253</v>
      </c>
      <c r="J44" s="18" t="s">
        <v>347</v>
      </c>
      <c r="K44" s="18"/>
      <c r="L44" s="18"/>
    </row>
    <row r="45" spans="2:12" ht="23.85" customHeight="1" x14ac:dyDescent="0.25">
      <c r="B45" s="16" t="str">
        <f>VLOOKUP(D45,Lookup!$B$5:$C$78,2,FALSE)</f>
        <v>bus_to_passenger_ratio</v>
      </c>
      <c r="C45" s="75"/>
      <c r="D45" s="2" t="s">
        <v>348</v>
      </c>
      <c r="E45" s="23" t="s">
        <v>349</v>
      </c>
      <c r="F45" t="s">
        <v>263</v>
      </c>
      <c r="G45" t="s">
        <v>252</v>
      </c>
      <c r="H45" s="41">
        <v>3.8910505836575897E-2</v>
      </c>
      <c r="I45" t="s">
        <v>253</v>
      </c>
      <c r="J45" s="50" t="s">
        <v>165</v>
      </c>
      <c r="K45" s="51" t="s">
        <v>166</v>
      </c>
      <c r="L45" s="18" t="s">
        <v>249</v>
      </c>
    </row>
    <row r="46" spans="2:12" ht="24" customHeight="1" x14ac:dyDescent="0.25">
      <c r="B46" s="16" t="s">
        <v>106</v>
      </c>
      <c r="C46" s="75"/>
      <c r="D46" s="2" t="s">
        <v>350</v>
      </c>
      <c r="E46" s="23" t="s">
        <v>351</v>
      </c>
      <c r="F46" t="s">
        <v>263</v>
      </c>
      <c r="G46" t="s">
        <v>252</v>
      </c>
      <c r="H46" s="41">
        <v>0.625</v>
      </c>
      <c r="I46" t="s">
        <v>253</v>
      </c>
      <c r="J46" s="47" t="s">
        <v>170</v>
      </c>
      <c r="K46" s="18" t="s">
        <v>171</v>
      </c>
      <c r="L46" s="18" t="s">
        <v>249</v>
      </c>
    </row>
    <row r="47" spans="2:12" ht="29.1" customHeight="1" x14ac:dyDescent="0.25">
      <c r="B47" s="16" t="str">
        <f>VLOOKUP(D47,Lookup!$B$5:$C$78,2,FALSE)</f>
        <v>truck_to_car_ratio</v>
      </c>
      <c r="C47" s="75"/>
      <c r="D47" s="2" t="s">
        <v>352</v>
      </c>
      <c r="E47" s="23" t="s">
        <v>353</v>
      </c>
      <c r="F47" t="s">
        <v>263</v>
      </c>
      <c r="G47" t="s">
        <v>252</v>
      </c>
      <c r="H47">
        <v>0.3</v>
      </c>
      <c r="I47" t="s">
        <v>253</v>
      </c>
      <c r="J47" s="50" t="s">
        <v>167</v>
      </c>
      <c r="K47" s="18" t="s">
        <v>168</v>
      </c>
      <c r="L47" s="18" t="s">
        <v>249</v>
      </c>
    </row>
    <row r="48" spans="2:12" ht="26.85" customHeight="1" x14ac:dyDescent="0.25">
      <c r="B48" s="16" t="str">
        <f>VLOOKUP(D48,Lookup!$B$5:$C$78,2,FALSE)</f>
        <v>distance_scalar_car_taxi</v>
      </c>
      <c r="C48" s="75"/>
      <c r="D48" s="2" t="s">
        <v>354</v>
      </c>
      <c r="E48" s="23" t="s">
        <v>355</v>
      </c>
      <c r="F48" t="s">
        <v>263</v>
      </c>
      <c r="G48" t="s">
        <v>247</v>
      </c>
      <c r="H48">
        <v>1</v>
      </c>
      <c r="I48" t="s">
        <v>253</v>
      </c>
      <c r="J48" s="18" t="s">
        <v>356</v>
      </c>
      <c r="K48" s="19"/>
      <c r="L48" s="18"/>
    </row>
    <row r="49" spans="2:12" ht="27.6" customHeight="1" x14ac:dyDescent="0.25">
      <c r="B49" s="16" t="str">
        <f>VLOOKUP(D49,Lookup!$B$5:$C$78,2,FALSE)</f>
        <v>distance_scalar_walking</v>
      </c>
      <c r="C49" s="75"/>
      <c r="D49" s="2" t="s">
        <v>357</v>
      </c>
      <c r="E49" s="23" t="s">
        <v>358</v>
      </c>
      <c r="F49" t="s">
        <v>263</v>
      </c>
      <c r="G49" t="s">
        <v>247</v>
      </c>
      <c r="H49">
        <v>1</v>
      </c>
      <c r="I49" t="s">
        <v>253</v>
      </c>
      <c r="J49" s="18" t="s">
        <v>356</v>
      </c>
      <c r="K49" s="18"/>
      <c r="L49" s="18"/>
    </row>
    <row r="50" spans="2:12" ht="23.85" customHeight="1" x14ac:dyDescent="0.25">
      <c r="B50" s="16" t="str">
        <f>VLOOKUP(D50,Lookup!$B$5:$C$78,2,FALSE)</f>
        <v>distance_scalar_pt</v>
      </c>
      <c r="C50" s="75"/>
      <c r="D50" s="2" t="s">
        <v>359</v>
      </c>
      <c r="E50" s="23" t="s">
        <v>360</v>
      </c>
      <c r="F50" t="s">
        <v>263</v>
      </c>
      <c r="G50" t="s">
        <v>247</v>
      </c>
      <c r="H50">
        <v>1</v>
      </c>
      <c r="I50" t="s">
        <v>253</v>
      </c>
      <c r="J50" s="18" t="s">
        <v>356</v>
      </c>
      <c r="K50" s="18"/>
      <c r="L50" s="18"/>
    </row>
    <row r="51" spans="2:12" ht="27" customHeight="1" x14ac:dyDescent="0.25">
      <c r="B51" s="16" t="str">
        <f>VLOOKUP(D51,Lookup!$B$5:$C$78,2,FALSE)</f>
        <v>distance_scalar_cycling</v>
      </c>
      <c r="C51" s="75"/>
      <c r="D51" s="2" t="s">
        <v>361</v>
      </c>
      <c r="E51" s="23" t="s">
        <v>362</v>
      </c>
      <c r="F51" t="s">
        <v>263</v>
      </c>
      <c r="G51" t="s">
        <v>247</v>
      </c>
      <c r="H51">
        <v>1</v>
      </c>
      <c r="I51" t="s">
        <v>253</v>
      </c>
      <c r="J51" s="18" t="s">
        <v>356</v>
      </c>
      <c r="K51" s="18"/>
      <c r="L51" s="18"/>
    </row>
    <row r="52" spans="2:12" ht="23.85" customHeight="1" x14ac:dyDescent="0.25">
      <c r="B52" s="16" t="str">
        <f>VLOOKUP(D52,Lookup!$B$5:$C$78,2,FALSE)</f>
        <v>distance_scalar_motorcycle</v>
      </c>
      <c r="C52" s="75"/>
      <c r="D52" s="2" t="s">
        <v>363</v>
      </c>
      <c r="E52" s="23" t="s">
        <v>364</v>
      </c>
      <c r="F52" t="s">
        <v>263</v>
      </c>
      <c r="G52" t="s">
        <v>247</v>
      </c>
      <c r="H52">
        <v>1</v>
      </c>
      <c r="I52" t="s">
        <v>253</v>
      </c>
      <c r="J52" s="18" t="s">
        <v>356</v>
      </c>
      <c r="K52" s="18"/>
      <c r="L52" s="18"/>
    </row>
    <row r="53" spans="2:12" ht="24.6" customHeight="1" x14ac:dyDescent="0.25">
      <c r="B53" s="16" t="str">
        <f>VLOOKUP(D53,Lookup!$B$5:$C$78,2,FALSE)</f>
        <v>add_truck_drivers</v>
      </c>
      <c r="C53" s="75"/>
      <c r="D53" s="2" t="s">
        <v>365</v>
      </c>
      <c r="E53" s="23" t="s">
        <v>366</v>
      </c>
      <c r="F53" t="s">
        <v>317</v>
      </c>
      <c r="G53" t="s">
        <v>367</v>
      </c>
      <c r="H53" t="s">
        <v>91</v>
      </c>
      <c r="I53" t="s">
        <v>318</v>
      </c>
      <c r="J53" s="20" t="s">
        <v>368</v>
      </c>
      <c r="K53" s="18"/>
      <c r="L53" s="18"/>
    </row>
    <row r="54" spans="2:12" ht="19.350000000000001" customHeight="1" x14ac:dyDescent="0.25">
      <c r="B54" s="16" t="str">
        <f>VLOOKUP(D54,Lookup!$B$5:$C$78,2,FALSE)</f>
        <v>add_bus_drivers</v>
      </c>
      <c r="C54" s="75"/>
      <c r="D54" s="2" t="s">
        <v>369</v>
      </c>
      <c r="E54" s="23" t="s">
        <v>370</v>
      </c>
      <c r="F54" t="s">
        <v>317</v>
      </c>
      <c r="G54" t="s">
        <v>367</v>
      </c>
      <c r="H54" t="s">
        <v>91</v>
      </c>
      <c r="I54" t="s">
        <v>318</v>
      </c>
      <c r="J54" s="20" t="s">
        <v>368</v>
      </c>
      <c r="K54" s="18"/>
      <c r="L54" s="18"/>
    </row>
    <row r="55" spans="2:12" ht="22.35" customHeight="1" x14ac:dyDescent="0.25">
      <c r="B55" s="16" t="str">
        <f>VLOOKUP(D55,Lookup!$B$5:$C$78,2,FALSE)</f>
        <v>add_car_drivers</v>
      </c>
      <c r="C55" s="75"/>
      <c r="D55" s="2" t="s">
        <v>371</v>
      </c>
      <c r="E55" s="23" t="s">
        <v>372</v>
      </c>
      <c r="F55" t="s">
        <v>317</v>
      </c>
      <c r="G55" t="s">
        <v>367</v>
      </c>
      <c r="H55" t="s">
        <v>91</v>
      </c>
      <c r="I55" t="s">
        <v>318</v>
      </c>
      <c r="J55" s="20" t="s">
        <v>373</v>
      </c>
      <c r="K55" s="18"/>
      <c r="L55" s="18"/>
    </row>
    <row r="56" spans="2:12" ht="32.85" customHeight="1" x14ac:dyDescent="0.25">
      <c r="B56" s="16" t="str">
        <f>VLOOKUP(D56,Lookup!$B$5:$C$78,2,FALSE)</f>
        <v>add_walk_to_pt_trips</v>
      </c>
      <c r="C56" s="75"/>
      <c r="D56" s="2" t="s">
        <v>374</v>
      </c>
      <c r="E56" s="23" t="s">
        <v>375</v>
      </c>
      <c r="F56" t="s">
        <v>263</v>
      </c>
      <c r="G56" t="s">
        <v>376</v>
      </c>
      <c r="H56" t="s">
        <v>91</v>
      </c>
      <c r="I56" t="s">
        <v>253</v>
      </c>
      <c r="J56" s="18" t="s">
        <v>377</v>
      </c>
      <c r="K56" s="18"/>
      <c r="L56" s="18"/>
    </row>
    <row r="57" spans="2:12" ht="50.1" customHeight="1" x14ac:dyDescent="0.25">
      <c r="B57" s="16" t="str">
        <f>VLOOKUP(D57,Lookup!$B$5:$C$78,2,FALSE)</f>
        <v>add_personal_motorcycle_trips</v>
      </c>
      <c r="C57" s="75"/>
      <c r="D57" s="2" t="s">
        <v>378</v>
      </c>
      <c r="E57" s="23" t="s">
        <v>379</v>
      </c>
      <c r="G57" t="s">
        <v>380</v>
      </c>
      <c r="H57" t="s">
        <v>88</v>
      </c>
      <c r="I57" t="s">
        <v>253</v>
      </c>
      <c r="J57" s="18" t="s">
        <v>381</v>
      </c>
      <c r="K57" s="18"/>
      <c r="L57" s="18"/>
    </row>
    <row r="58" spans="2:12" ht="32.1" customHeight="1" x14ac:dyDescent="0.25">
      <c r="B58" s="16" t="str">
        <f>VLOOKUP(D58,Lookup!$B$5:$C$78,2,FALSE)</f>
        <v>proportion_motorcycle_trips</v>
      </c>
      <c r="C58" s="75"/>
      <c r="D58" s="2" t="s">
        <v>382</v>
      </c>
      <c r="E58" s="23" t="s">
        <v>383</v>
      </c>
      <c r="G58" t="s">
        <v>252</v>
      </c>
      <c r="H58">
        <v>0</v>
      </c>
      <c r="I58" t="s">
        <v>253</v>
      </c>
      <c r="J58" s="18" t="s">
        <v>384</v>
      </c>
      <c r="K58" s="18"/>
      <c r="L58" s="18"/>
    </row>
    <row r="59" spans="2:12" ht="30" customHeight="1" x14ac:dyDescent="0.25">
      <c r="B59" s="16" t="str">
        <f>VLOOKUP(D59,Lookup!$B$5:$C$78,2,FALSE)</f>
        <v>add_motorcycle_fleet</v>
      </c>
      <c r="C59" s="75"/>
      <c r="D59" s="2" t="s">
        <v>385</v>
      </c>
      <c r="E59" s="23" t="s">
        <v>386</v>
      </c>
      <c r="F59" t="s">
        <v>263</v>
      </c>
      <c r="G59" t="s">
        <v>367</v>
      </c>
      <c r="H59" t="s">
        <v>91</v>
      </c>
      <c r="I59" t="s">
        <v>253</v>
      </c>
      <c r="J59" s="18" t="s">
        <v>387</v>
      </c>
      <c r="K59" s="18"/>
      <c r="L59" s="18"/>
    </row>
    <row r="60" spans="2:12" ht="38.85" customHeight="1" x14ac:dyDescent="0.25">
      <c r="B60" s="16" t="str">
        <f>VLOOKUP(D60,Lookup!$B$5:$C$78,2,FALSE)</f>
        <v>fleet_to_motorcycle_ratio</v>
      </c>
      <c r="C60" s="75"/>
      <c r="D60" s="2" t="s">
        <v>388</v>
      </c>
      <c r="E60" s="23" t="s">
        <v>389</v>
      </c>
      <c r="F60" t="s">
        <v>263</v>
      </c>
      <c r="G60" t="s">
        <v>252</v>
      </c>
      <c r="H60" s="41">
        <v>0.441176470588235</v>
      </c>
      <c r="I60" t="s">
        <v>253</v>
      </c>
      <c r="J60" s="47" t="s">
        <v>161</v>
      </c>
      <c r="K60" s="18" t="s">
        <v>162</v>
      </c>
      <c r="L60" s="18" t="s">
        <v>249</v>
      </c>
    </row>
    <row r="61" spans="2:12" ht="38.85" customHeight="1" x14ac:dyDescent="0.25">
      <c r="B61" s="16" t="s">
        <v>111</v>
      </c>
      <c r="C61" s="75"/>
      <c r="D61" s="2" t="s">
        <v>390</v>
      </c>
      <c r="E61" s="23" t="s">
        <v>391</v>
      </c>
      <c r="F61" t="s">
        <v>263</v>
      </c>
      <c r="G61" t="s">
        <v>392</v>
      </c>
      <c r="H61">
        <v>0.98</v>
      </c>
      <c r="I61" t="s">
        <v>253</v>
      </c>
      <c r="J61" s="47" t="s">
        <v>393</v>
      </c>
      <c r="K61" s="51" t="s">
        <v>173</v>
      </c>
      <c r="L61" s="18" t="s">
        <v>249</v>
      </c>
    </row>
    <row r="62" spans="2:12" ht="38.85" customHeight="1" x14ac:dyDescent="0.25">
      <c r="B62" s="16" t="s">
        <v>112</v>
      </c>
      <c r="C62" s="75"/>
      <c r="D62" s="2" t="s">
        <v>394</v>
      </c>
      <c r="E62" s="23" t="s">
        <v>395</v>
      </c>
      <c r="F62" t="s">
        <v>263</v>
      </c>
      <c r="G62" t="s">
        <v>380</v>
      </c>
      <c r="H62" t="s">
        <v>396</v>
      </c>
      <c r="I62" t="s">
        <v>253</v>
      </c>
      <c r="J62" s="47" t="s">
        <v>397</v>
      </c>
      <c r="K62" s="51" t="s">
        <v>398</v>
      </c>
      <c r="L62" s="18" t="s">
        <v>249</v>
      </c>
    </row>
    <row r="63" spans="2:12" ht="38.85" customHeight="1" x14ac:dyDescent="0.25">
      <c r="B63" s="16" t="s">
        <v>114</v>
      </c>
      <c r="C63" s="75"/>
      <c r="D63" s="2" t="s">
        <v>399</v>
      </c>
      <c r="E63" s="23" t="s">
        <v>400</v>
      </c>
      <c r="F63" t="s">
        <v>263</v>
      </c>
      <c r="G63" t="s">
        <v>380</v>
      </c>
      <c r="H63" t="s">
        <v>396</v>
      </c>
      <c r="I63" t="s">
        <v>253</v>
      </c>
      <c r="J63" s="47" t="s">
        <v>397</v>
      </c>
      <c r="K63" s="51" t="s">
        <v>398</v>
      </c>
      <c r="L63" s="18" t="s">
        <v>249</v>
      </c>
    </row>
    <row r="64" spans="2:12" ht="38.85" customHeight="1" x14ac:dyDescent="0.25">
      <c r="B64" s="16" t="s">
        <v>116</v>
      </c>
      <c r="C64" s="75"/>
      <c r="D64" s="2" t="s">
        <v>401</v>
      </c>
      <c r="E64" s="23" t="s">
        <v>402</v>
      </c>
      <c r="F64" t="s">
        <v>263</v>
      </c>
      <c r="G64" t="s">
        <v>392</v>
      </c>
      <c r="H64">
        <v>0.98</v>
      </c>
      <c r="I64" t="s">
        <v>253</v>
      </c>
      <c r="J64" s="18" t="s">
        <v>403</v>
      </c>
      <c r="K64" s="18"/>
      <c r="L64" s="18" t="s">
        <v>249</v>
      </c>
    </row>
    <row r="65" spans="2:14" ht="38.85" customHeight="1" x14ac:dyDescent="0.25">
      <c r="B65" s="16" t="s">
        <v>117</v>
      </c>
      <c r="C65" s="75"/>
      <c r="D65" s="2" t="s">
        <v>404</v>
      </c>
      <c r="E65" s="23" t="s">
        <v>405</v>
      </c>
      <c r="F65" t="s">
        <v>263</v>
      </c>
      <c r="G65" t="s">
        <v>380</v>
      </c>
      <c r="H65" t="s">
        <v>406</v>
      </c>
      <c r="I65" t="s">
        <v>253</v>
      </c>
      <c r="J65" s="18" t="s">
        <v>407</v>
      </c>
      <c r="K65" s="18"/>
      <c r="L65" s="18" t="s">
        <v>249</v>
      </c>
    </row>
    <row r="66" spans="2:14" ht="38.85" customHeight="1" x14ac:dyDescent="0.25">
      <c r="B66" s="16" t="s">
        <v>119</v>
      </c>
      <c r="C66" s="75"/>
      <c r="D66" s="2" t="s">
        <v>408</v>
      </c>
      <c r="E66" s="23" t="s">
        <v>409</v>
      </c>
      <c r="F66" t="s">
        <v>263</v>
      </c>
      <c r="G66" t="s">
        <v>380</v>
      </c>
      <c r="H66" t="s">
        <v>406</v>
      </c>
      <c r="I66" t="s">
        <v>253</v>
      </c>
      <c r="J66" s="18" t="s">
        <v>410</v>
      </c>
      <c r="K66" s="18"/>
      <c r="L66" s="18" t="s">
        <v>249</v>
      </c>
    </row>
    <row r="67" spans="2:14" ht="38.85" customHeight="1" x14ac:dyDescent="0.25">
      <c r="B67" s="16" t="s">
        <v>121</v>
      </c>
      <c r="C67" s="75"/>
      <c r="D67" s="2" t="s">
        <v>411</v>
      </c>
      <c r="E67" s="23" t="s">
        <v>412</v>
      </c>
      <c r="F67" t="s">
        <v>263</v>
      </c>
      <c r="G67" t="s">
        <v>392</v>
      </c>
      <c r="H67">
        <v>0.99</v>
      </c>
      <c r="I67" t="s">
        <v>253</v>
      </c>
      <c r="J67" s="47" t="s">
        <v>161</v>
      </c>
      <c r="K67" s="18" t="s">
        <v>162</v>
      </c>
      <c r="L67" s="18" t="s">
        <v>249</v>
      </c>
    </row>
    <row r="68" spans="2:14" ht="38.85" customHeight="1" x14ac:dyDescent="0.25">
      <c r="B68" s="16" t="s">
        <v>122</v>
      </c>
      <c r="C68" s="75"/>
      <c r="D68" s="2" t="s">
        <v>413</v>
      </c>
      <c r="E68" s="23" t="s">
        <v>414</v>
      </c>
      <c r="F68" t="s">
        <v>263</v>
      </c>
      <c r="G68" t="s">
        <v>380</v>
      </c>
      <c r="H68" t="s">
        <v>406</v>
      </c>
      <c r="I68" t="s">
        <v>253</v>
      </c>
      <c r="J68" s="47" t="s">
        <v>161</v>
      </c>
      <c r="K68" s="18" t="s">
        <v>415</v>
      </c>
      <c r="L68" s="18" t="s">
        <v>249</v>
      </c>
    </row>
    <row r="69" spans="2:14" ht="38.85" customHeight="1" x14ac:dyDescent="0.25">
      <c r="B69" s="16" t="s">
        <v>123</v>
      </c>
      <c r="C69" s="75"/>
      <c r="D69" s="2" t="s">
        <v>416</v>
      </c>
      <c r="E69" s="23" t="s">
        <v>417</v>
      </c>
      <c r="F69" t="s">
        <v>263</v>
      </c>
      <c r="G69" t="s">
        <v>380</v>
      </c>
      <c r="H69" t="s">
        <v>406</v>
      </c>
      <c r="I69" t="s">
        <v>253</v>
      </c>
      <c r="J69" s="47" t="s">
        <v>161</v>
      </c>
      <c r="K69" s="18" t="s">
        <v>418</v>
      </c>
      <c r="L69" s="18" t="s">
        <v>249</v>
      </c>
    </row>
    <row r="70" spans="2:14" ht="38.85" customHeight="1" x14ac:dyDescent="0.25">
      <c r="B70" s="16" t="s">
        <v>212</v>
      </c>
      <c r="C70" s="75"/>
      <c r="D70" s="2" t="s">
        <v>419</v>
      </c>
      <c r="E70" s="23" t="s">
        <v>420</v>
      </c>
      <c r="F70" t="s">
        <v>317</v>
      </c>
      <c r="G70" t="s">
        <v>392</v>
      </c>
      <c r="H70">
        <v>3</v>
      </c>
      <c r="I70" t="s">
        <v>318</v>
      </c>
      <c r="J70" s="18" t="s">
        <v>421</v>
      </c>
      <c r="K70" s="18"/>
      <c r="L70" s="18"/>
    </row>
    <row r="71" spans="2:14" x14ac:dyDescent="0.25">
      <c r="B71" s="16" t="s">
        <v>422</v>
      </c>
      <c r="C71" s="75"/>
      <c r="D71" s="2" t="s">
        <v>422</v>
      </c>
      <c r="E71" s="76" t="s">
        <v>423</v>
      </c>
      <c r="F71" s="74" t="s">
        <v>263</v>
      </c>
      <c r="G71" t="s">
        <v>258</v>
      </c>
      <c r="H71" s="41">
        <v>8.1</v>
      </c>
      <c r="I71" s="74" t="s">
        <v>253</v>
      </c>
      <c r="J71" s="26"/>
      <c r="K71" s="20" t="s">
        <v>143</v>
      </c>
      <c r="L71" s="18" t="s">
        <v>249</v>
      </c>
      <c r="N71" s="41"/>
    </row>
    <row r="72" spans="2:14" x14ac:dyDescent="0.25">
      <c r="B72" s="16" t="s">
        <v>424</v>
      </c>
      <c r="C72" s="75"/>
      <c r="D72" s="2" t="s">
        <v>424</v>
      </c>
      <c r="E72" s="77"/>
      <c r="F72" s="74"/>
      <c r="G72" t="s">
        <v>258</v>
      </c>
      <c r="H72" s="41">
        <v>8.1</v>
      </c>
      <c r="I72" s="74"/>
      <c r="J72" s="18"/>
      <c r="K72" s="18"/>
      <c r="L72" s="18" t="s">
        <v>425</v>
      </c>
      <c r="N72" s="41"/>
    </row>
    <row r="73" spans="2:14" x14ac:dyDescent="0.25">
      <c r="B73" s="16" t="s">
        <v>426</v>
      </c>
      <c r="C73" s="75"/>
      <c r="D73" s="2" t="s">
        <v>426</v>
      </c>
      <c r="E73" s="77"/>
      <c r="F73" s="74"/>
      <c r="G73" t="s">
        <v>258</v>
      </c>
      <c r="H73" s="41">
        <v>8.1</v>
      </c>
      <c r="I73" s="74"/>
      <c r="J73" s="18"/>
      <c r="K73" s="18"/>
      <c r="L73" s="18" t="s">
        <v>425</v>
      </c>
      <c r="N73" s="41"/>
    </row>
    <row r="74" spans="2:14" x14ac:dyDescent="0.25">
      <c r="B74" s="16" t="s">
        <v>427</v>
      </c>
      <c r="C74" s="75"/>
      <c r="D74" s="2" t="s">
        <v>427</v>
      </c>
      <c r="E74" s="77"/>
      <c r="F74" s="74"/>
      <c r="G74" t="s">
        <v>258</v>
      </c>
      <c r="H74" s="41">
        <v>8.1</v>
      </c>
      <c r="I74" s="74"/>
      <c r="J74" s="18"/>
      <c r="K74" s="18"/>
      <c r="L74" s="18" t="s">
        <v>425</v>
      </c>
      <c r="N74" s="41"/>
    </row>
    <row r="75" spans="2:14" x14ac:dyDescent="0.25">
      <c r="B75" s="16" t="s">
        <v>428</v>
      </c>
      <c r="C75" s="75"/>
      <c r="D75" s="2" t="s">
        <v>428</v>
      </c>
      <c r="E75" s="77"/>
      <c r="F75" s="74"/>
      <c r="G75" t="s">
        <v>258</v>
      </c>
      <c r="H75" s="41">
        <v>13.8</v>
      </c>
      <c r="I75" s="74"/>
      <c r="J75" s="26"/>
      <c r="K75" s="20" t="s">
        <v>143</v>
      </c>
      <c r="L75" s="18" t="s">
        <v>249</v>
      </c>
      <c r="N75" s="41"/>
    </row>
    <row r="76" spans="2:14" x14ac:dyDescent="0.25">
      <c r="B76" s="16" t="s">
        <v>429</v>
      </c>
      <c r="C76" s="75"/>
      <c r="D76" s="2" t="s">
        <v>429</v>
      </c>
      <c r="E76" s="77"/>
      <c r="F76" s="74"/>
      <c r="G76" t="s">
        <v>258</v>
      </c>
      <c r="H76" s="41">
        <v>13.8</v>
      </c>
      <c r="I76" s="74"/>
      <c r="J76" s="18"/>
      <c r="K76" s="18"/>
      <c r="L76" s="18" t="s">
        <v>430</v>
      </c>
      <c r="N76" s="41"/>
    </row>
    <row r="77" spans="2:14" x14ac:dyDescent="0.25">
      <c r="B77" s="16" t="s">
        <v>431</v>
      </c>
      <c r="C77" s="75"/>
      <c r="D77" s="2" t="s">
        <v>431</v>
      </c>
      <c r="E77" s="77"/>
      <c r="F77" s="74"/>
      <c r="G77" t="s">
        <v>258</v>
      </c>
      <c r="H77" s="41">
        <v>13.8</v>
      </c>
      <c r="I77" s="74"/>
      <c r="J77" s="18"/>
      <c r="K77" s="18"/>
      <c r="L77" s="18" t="s">
        <v>430</v>
      </c>
      <c r="N77" s="41"/>
    </row>
    <row r="78" spans="2:14" x14ac:dyDescent="0.25">
      <c r="B78" s="16" t="s">
        <v>432</v>
      </c>
      <c r="C78" s="75"/>
      <c r="D78" s="2" t="s">
        <v>432</v>
      </c>
      <c r="E78" s="77"/>
      <c r="F78" s="74"/>
      <c r="G78" t="s">
        <v>258</v>
      </c>
      <c r="H78" s="2">
        <v>2.5</v>
      </c>
      <c r="I78" s="74"/>
      <c r="J78" s="26"/>
      <c r="K78" s="20" t="s">
        <v>143</v>
      </c>
      <c r="L78" s="18" t="s">
        <v>249</v>
      </c>
      <c r="N78" s="41"/>
    </row>
    <row r="79" spans="2:14" x14ac:dyDescent="0.25">
      <c r="B79" s="16" t="s">
        <v>433</v>
      </c>
      <c r="C79" s="75"/>
      <c r="D79" s="2" t="s">
        <v>433</v>
      </c>
      <c r="E79" s="77"/>
      <c r="F79" s="74"/>
      <c r="G79" t="s">
        <v>258</v>
      </c>
      <c r="H79" s="2">
        <v>2.5</v>
      </c>
      <c r="I79" s="74"/>
      <c r="J79" s="18"/>
      <c r="K79" s="18"/>
      <c r="L79" s="18" t="s">
        <v>434</v>
      </c>
      <c r="N79" s="41"/>
    </row>
    <row r="80" spans="2:14" x14ac:dyDescent="0.25">
      <c r="B80" s="16" t="s">
        <v>435</v>
      </c>
      <c r="C80" s="75"/>
      <c r="D80" s="2" t="s">
        <v>435</v>
      </c>
      <c r="E80" s="77"/>
      <c r="F80" s="74"/>
      <c r="G80" t="s">
        <v>258</v>
      </c>
      <c r="H80" s="41">
        <v>7.2</v>
      </c>
      <c r="I80" s="74"/>
      <c r="J80" s="26"/>
      <c r="K80" s="20" t="s">
        <v>143</v>
      </c>
      <c r="L80" s="18" t="s">
        <v>436</v>
      </c>
      <c r="N80" s="41"/>
    </row>
    <row r="81" spans="2:14" x14ac:dyDescent="0.25">
      <c r="B81" s="16" t="s">
        <v>437</v>
      </c>
      <c r="C81" s="75"/>
      <c r="D81" s="2" t="s">
        <v>437</v>
      </c>
      <c r="E81" s="77"/>
      <c r="F81" s="74"/>
      <c r="G81" t="s">
        <v>258</v>
      </c>
      <c r="H81" s="41">
        <v>15.2</v>
      </c>
      <c r="I81" s="74"/>
      <c r="J81" s="26"/>
      <c r="K81" s="20" t="s">
        <v>143</v>
      </c>
      <c r="L81" s="18" t="s">
        <v>436</v>
      </c>
      <c r="N81" s="41"/>
    </row>
    <row r="82" spans="2:14" x14ac:dyDescent="0.25">
      <c r="B82" s="16" t="s">
        <v>438</v>
      </c>
      <c r="C82" s="75"/>
      <c r="D82" s="2" t="s">
        <v>438</v>
      </c>
      <c r="E82" s="77"/>
      <c r="F82" s="74"/>
      <c r="G82" t="s">
        <v>258</v>
      </c>
      <c r="H82" s="41">
        <v>8.1</v>
      </c>
      <c r="I82" s="74"/>
      <c r="J82" s="18"/>
      <c r="K82" s="18"/>
      <c r="L82" s="18" t="s">
        <v>425</v>
      </c>
      <c r="N82" s="41"/>
    </row>
    <row r="83" spans="2:14" x14ac:dyDescent="0.25">
      <c r="B83" s="16" t="s">
        <v>439</v>
      </c>
      <c r="C83" s="75"/>
      <c r="D83" s="2" t="s">
        <v>439</v>
      </c>
      <c r="E83" s="77"/>
      <c r="F83" s="74"/>
      <c r="G83" t="s">
        <v>258</v>
      </c>
      <c r="H83" s="2">
        <v>13.8</v>
      </c>
      <c r="I83" s="74"/>
      <c r="J83" s="18"/>
      <c r="K83" s="18"/>
      <c r="L83" s="18" t="s">
        <v>430</v>
      </c>
    </row>
    <row r="84" spans="2:14" x14ac:dyDescent="0.25">
      <c r="B84" s="16" t="s">
        <v>440</v>
      </c>
      <c r="C84" s="75"/>
      <c r="D84" s="2" t="s">
        <v>440</v>
      </c>
      <c r="E84" s="77"/>
      <c r="F84" s="74"/>
      <c r="G84" t="s">
        <v>258</v>
      </c>
      <c r="H84" s="41">
        <v>18.100000000000001</v>
      </c>
      <c r="I84" s="74"/>
      <c r="J84" s="26"/>
      <c r="K84" s="20" t="s">
        <v>143</v>
      </c>
      <c r="L84" s="18" t="s">
        <v>249</v>
      </c>
    </row>
    <row r="85" spans="2:14" x14ac:dyDescent="0.25">
      <c r="B85" s="16" t="s">
        <v>441</v>
      </c>
      <c r="C85" s="75"/>
      <c r="D85" s="2" t="s">
        <v>441</v>
      </c>
      <c r="E85" s="77"/>
      <c r="F85" s="74"/>
      <c r="G85" t="s">
        <v>258</v>
      </c>
      <c r="H85" s="41">
        <v>21.9</v>
      </c>
      <c r="I85" s="74"/>
      <c r="J85" s="26"/>
      <c r="K85" s="20" t="s">
        <v>143</v>
      </c>
      <c r="L85" s="18" t="s">
        <v>249</v>
      </c>
    </row>
    <row r="86" spans="2:14" x14ac:dyDescent="0.25">
      <c r="B86" s="16" t="s">
        <v>442</v>
      </c>
      <c r="C86" s="75"/>
      <c r="D86" s="2" t="s">
        <v>442</v>
      </c>
      <c r="E86" s="77"/>
      <c r="F86" s="74"/>
      <c r="G86" t="s">
        <v>258</v>
      </c>
      <c r="H86" s="2">
        <v>4</v>
      </c>
      <c r="I86" s="74"/>
      <c r="J86" s="26"/>
      <c r="K86" s="20" t="s">
        <v>443</v>
      </c>
      <c r="L86" s="18" t="s">
        <v>444</v>
      </c>
    </row>
    <row r="87" spans="2:14" x14ac:dyDescent="0.25">
      <c r="B87" s="16" t="s">
        <v>445</v>
      </c>
      <c r="C87" s="75"/>
      <c r="D87" s="2" t="s">
        <v>445</v>
      </c>
      <c r="E87" s="77"/>
      <c r="F87" s="74"/>
      <c r="G87" t="s">
        <v>258</v>
      </c>
      <c r="H87" s="41">
        <v>13.8</v>
      </c>
      <c r="I87" s="74"/>
      <c r="J87" s="18"/>
      <c r="K87" s="18"/>
      <c r="L87" s="18" t="s">
        <v>430</v>
      </c>
    </row>
    <row r="88" spans="2:14" x14ac:dyDescent="0.25">
      <c r="B88" s="16" t="s">
        <v>446</v>
      </c>
      <c r="C88" s="75"/>
      <c r="D88" s="2" t="s">
        <v>446</v>
      </c>
      <c r="E88" s="77"/>
      <c r="F88" s="74"/>
      <c r="G88" t="s">
        <v>258</v>
      </c>
      <c r="H88" s="41">
        <v>13.8</v>
      </c>
      <c r="I88" s="74"/>
      <c r="J88" s="18"/>
      <c r="K88" s="18"/>
      <c r="L88" s="18" t="s">
        <v>430</v>
      </c>
    </row>
    <row r="89" spans="2:14" x14ac:dyDescent="0.25">
      <c r="B89" s="16" t="s">
        <v>447</v>
      </c>
      <c r="C89" s="75"/>
      <c r="D89" s="2" t="s">
        <v>447</v>
      </c>
      <c r="E89" s="77"/>
      <c r="F89" s="74"/>
      <c r="G89" t="s">
        <v>258</v>
      </c>
      <c r="H89" s="2">
        <v>4</v>
      </c>
      <c r="I89" s="74"/>
      <c r="J89" s="26"/>
      <c r="K89" s="20"/>
      <c r="L89" s="18" t="s">
        <v>448</v>
      </c>
    </row>
    <row r="90" spans="2:14" x14ac:dyDescent="0.25">
      <c r="B90" s="16" t="s">
        <v>449</v>
      </c>
      <c r="C90" s="75"/>
      <c r="D90" s="2" t="s">
        <v>449</v>
      </c>
      <c r="E90" s="77"/>
      <c r="F90" s="74"/>
      <c r="G90" t="s">
        <v>258</v>
      </c>
      <c r="H90" s="41">
        <v>9.1</v>
      </c>
      <c r="J90" s="26"/>
      <c r="K90" s="20" t="s">
        <v>143</v>
      </c>
      <c r="L90" s="18" t="s">
        <v>249</v>
      </c>
    </row>
    <row r="91" spans="2:14" x14ac:dyDescent="0.25">
      <c r="B91" s="17"/>
      <c r="C91" s="3"/>
      <c r="D91" s="1"/>
      <c r="E91" s="24"/>
      <c r="F91" s="1"/>
      <c r="G91" s="1"/>
      <c r="I91" s="1"/>
      <c r="J91" s="18"/>
      <c r="K91" s="19"/>
      <c r="L91" s="18"/>
    </row>
    <row r="92" spans="2:14" ht="90" x14ac:dyDescent="0.25">
      <c r="B92" s="16" t="str">
        <f>VLOOKUP(D92,Lookup!$B$5:$C$78,2,FALSE)</f>
        <v>pa_dose_response_quantile</v>
      </c>
      <c r="C92" s="75" t="s">
        <v>450</v>
      </c>
      <c r="D92" s="2" t="s">
        <v>451</v>
      </c>
      <c r="E92" s="23" t="s">
        <v>452</v>
      </c>
      <c r="F92" t="s">
        <v>317</v>
      </c>
      <c r="G92" t="s">
        <v>376</v>
      </c>
      <c r="H92" t="s">
        <v>126</v>
      </c>
      <c r="I92" t="s">
        <v>318</v>
      </c>
      <c r="J92" s="18" t="s">
        <v>453</v>
      </c>
      <c r="K92" s="19"/>
      <c r="L92" s="18"/>
    </row>
    <row r="93" spans="2:14" ht="90" x14ac:dyDescent="0.25">
      <c r="B93" s="16" t="str">
        <f>VLOOKUP(D93,Lookup!$B$5:$C$78,2,FALSE)</f>
        <v>ap_dose_response_quantile</v>
      </c>
      <c r="C93" s="75"/>
      <c r="D93" s="2" t="s">
        <v>454</v>
      </c>
      <c r="E93" s="23" t="s">
        <v>452</v>
      </c>
      <c r="F93" t="s">
        <v>317</v>
      </c>
      <c r="G93" t="s">
        <v>376</v>
      </c>
      <c r="H93" t="s">
        <v>126</v>
      </c>
      <c r="I93" t="s">
        <v>318</v>
      </c>
      <c r="J93" s="18" t="s">
        <v>453</v>
      </c>
      <c r="K93" s="18"/>
      <c r="L93" s="18"/>
    </row>
    <row r="94" spans="2:14" ht="30" x14ac:dyDescent="0.25">
      <c r="B94" s="16" t="str">
        <f>VLOOKUP(D94,Lookup!$B$5:$C$78,2,FALSE)</f>
        <v>chronic_disease_scalar</v>
      </c>
      <c r="C94" s="75"/>
      <c r="D94" s="2" t="s">
        <v>455</v>
      </c>
      <c r="E94" s="23" t="s">
        <v>456</v>
      </c>
      <c r="F94" t="s">
        <v>263</v>
      </c>
      <c r="G94" t="s">
        <v>247</v>
      </c>
      <c r="H94">
        <v>1</v>
      </c>
      <c r="I94" t="s">
        <v>253</v>
      </c>
      <c r="J94" s="20" t="s">
        <v>457</v>
      </c>
      <c r="K94" s="18"/>
      <c r="L94" s="18"/>
    </row>
    <row r="95" spans="2:14" x14ac:dyDescent="0.25">
      <c r="B95" s="16"/>
      <c r="C95" s="3"/>
      <c r="D95" s="1"/>
      <c r="E95" s="24"/>
      <c r="F95" s="1"/>
      <c r="G95" s="1"/>
      <c r="I95" s="1"/>
      <c r="J95" s="20"/>
      <c r="K95" s="18"/>
      <c r="L95" s="18"/>
    </row>
    <row r="96" spans="2:14" ht="60" x14ac:dyDescent="0.25">
      <c r="B96" s="16" t="str">
        <f>VLOOKUP(D96,Lookup!$B$5:$C$78,2,FALSE)</f>
        <v>injury_reporting_rate</v>
      </c>
      <c r="C96" s="75" t="s">
        <v>458</v>
      </c>
      <c r="D96" s="2" t="s">
        <v>459</v>
      </c>
      <c r="E96" s="23" t="s">
        <v>460</v>
      </c>
      <c r="F96" t="s">
        <v>263</v>
      </c>
      <c r="G96" t="s">
        <v>252</v>
      </c>
      <c r="H96">
        <v>1</v>
      </c>
      <c r="I96" t="s">
        <v>253</v>
      </c>
      <c r="J96" s="20" t="s">
        <v>461</v>
      </c>
      <c r="K96" s="18"/>
      <c r="L96" s="18"/>
    </row>
    <row r="97" spans="2:12" ht="150" x14ac:dyDescent="0.25">
      <c r="B97" s="16" t="str">
        <f>VLOOKUP(D97,Lookup!$B$5:$C$78,2,FALSE)</f>
        <v>sin_exponent_sum</v>
      </c>
      <c r="C97" s="75"/>
      <c r="D97" s="2" t="s">
        <v>462</v>
      </c>
      <c r="E97" s="23" t="s">
        <v>463</v>
      </c>
      <c r="F97" t="s">
        <v>317</v>
      </c>
      <c r="G97" t="s">
        <v>247</v>
      </c>
      <c r="H97">
        <v>2</v>
      </c>
      <c r="I97" t="s">
        <v>318</v>
      </c>
      <c r="J97" s="20" t="s">
        <v>464</v>
      </c>
      <c r="K97" s="20"/>
      <c r="L97" s="18"/>
    </row>
    <row r="98" spans="2:12" ht="90" x14ac:dyDescent="0.25">
      <c r="B98" s="16" t="str">
        <f>VLOOKUP(D98,Lookup!$B$5:$C$78,2,FALSE)</f>
        <v>casualty_exponent_fraction</v>
      </c>
      <c r="C98" s="75"/>
      <c r="D98" s="2" t="s">
        <v>465</v>
      </c>
      <c r="E98" s="23" t="s">
        <v>466</v>
      </c>
      <c r="F98" t="s">
        <v>317</v>
      </c>
      <c r="G98" t="s">
        <v>252</v>
      </c>
      <c r="H98">
        <v>0.5</v>
      </c>
      <c r="I98" t="s">
        <v>318</v>
      </c>
      <c r="J98" s="20" t="s">
        <v>467</v>
      </c>
      <c r="K98" s="18"/>
      <c r="L98" s="18"/>
    </row>
    <row r="99" spans="2:12" ht="48" customHeight="1" x14ac:dyDescent="0.25">
      <c r="B99" s="16" t="str">
        <f>VLOOKUP(D99,Lookup!$B$5:$C$78,2,FALSE)</f>
        <v>sin_exponent_sum_nov</v>
      </c>
      <c r="C99" s="75"/>
      <c r="D99" s="2" t="s">
        <v>468</v>
      </c>
      <c r="E99" s="23" t="s">
        <v>469</v>
      </c>
      <c r="F99" t="s">
        <v>317</v>
      </c>
      <c r="G99" t="s">
        <v>247</v>
      </c>
      <c r="H99">
        <v>1</v>
      </c>
      <c r="I99" t="s">
        <v>318</v>
      </c>
      <c r="J99" s="20" t="s">
        <v>470</v>
      </c>
      <c r="K99" s="18"/>
      <c r="L99" s="18"/>
    </row>
    <row r="100" spans="2:12" ht="44.85" customHeight="1" x14ac:dyDescent="0.25">
      <c r="B100" s="16" t="str">
        <f>VLOOKUP(D100,Lookup!$B$5:$C$78,2,FALSE)</f>
        <v>sin_exponent_sum_cycle</v>
      </c>
      <c r="C100" s="75"/>
      <c r="D100" s="2" t="s">
        <v>471</v>
      </c>
      <c r="E100" s="23" t="s">
        <v>472</v>
      </c>
      <c r="F100" t="s">
        <v>317</v>
      </c>
      <c r="G100" t="s">
        <v>247</v>
      </c>
      <c r="H100">
        <v>2</v>
      </c>
      <c r="I100" t="s">
        <v>318</v>
      </c>
      <c r="J100" s="20" t="s">
        <v>464</v>
      </c>
      <c r="K100" s="18"/>
      <c r="L100" s="18"/>
    </row>
    <row r="101" spans="2:12" ht="39" customHeight="1" x14ac:dyDescent="0.25">
      <c r="B101" s="16" t="str">
        <f>VLOOKUP(D101,Lookup!$B$5:$C$78,2,FALSE)</f>
        <v>casualty_exponent_fraction_cycle</v>
      </c>
      <c r="C101" s="75"/>
      <c r="D101" s="2" t="s">
        <v>473</v>
      </c>
      <c r="E101" s="23" t="s">
        <v>474</v>
      </c>
      <c r="F101" t="s">
        <v>317</v>
      </c>
      <c r="G101" t="s">
        <v>252</v>
      </c>
      <c r="H101">
        <v>0.5</v>
      </c>
      <c r="I101" t="s">
        <v>318</v>
      </c>
      <c r="J101" s="20" t="s">
        <v>467</v>
      </c>
      <c r="K101" s="18"/>
      <c r="L101" s="18"/>
    </row>
    <row r="102" spans="2:12" ht="30" customHeight="1" x14ac:dyDescent="0.25">
      <c r="B102" s="16" t="str">
        <f>VLOOKUP(D102,Lookup!$B$5:$C$78,2,FALSE)</f>
        <v>sin_exponent_sum_ped</v>
      </c>
      <c r="C102" s="75"/>
      <c r="D102" s="2" t="s">
        <v>475</v>
      </c>
      <c r="E102" s="23" t="s">
        <v>476</v>
      </c>
      <c r="F102" t="s">
        <v>317</v>
      </c>
      <c r="G102" t="s">
        <v>247</v>
      </c>
      <c r="H102">
        <v>2</v>
      </c>
      <c r="I102" t="s">
        <v>318</v>
      </c>
      <c r="J102" s="20" t="s">
        <v>464</v>
      </c>
      <c r="K102" s="18"/>
      <c r="L102" s="18"/>
    </row>
    <row r="103" spans="2:12" ht="39.6" customHeight="1" x14ac:dyDescent="0.25">
      <c r="B103" s="16" t="str">
        <f>VLOOKUP(D103,Lookup!$B$5:$C$78,2,FALSE)</f>
        <v>casualty_exponent_fraction_ped</v>
      </c>
      <c r="C103" s="75"/>
      <c r="D103" s="2" t="s">
        <v>477</v>
      </c>
      <c r="E103" s="23" t="s">
        <v>478</v>
      </c>
      <c r="F103" t="s">
        <v>317</v>
      </c>
      <c r="G103" t="s">
        <v>252</v>
      </c>
      <c r="H103">
        <v>0.5</v>
      </c>
      <c r="I103" t="s">
        <v>318</v>
      </c>
      <c r="J103" s="20" t="s">
        <v>467</v>
      </c>
      <c r="K103" s="18"/>
      <c r="L103" s="18"/>
    </row>
    <row r="104" spans="2:12" ht="32.85" customHeight="1" x14ac:dyDescent="0.25">
      <c r="B104" s="16" t="str">
        <f>VLOOKUP(D104,Lookup!$B$5:$C$78,2,FALSE)</f>
        <v>sin_exponent_sum_veh</v>
      </c>
      <c r="C104" s="75"/>
      <c r="D104" s="2" t="s">
        <v>479</v>
      </c>
      <c r="E104" s="23" t="s">
        <v>480</v>
      </c>
      <c r="F104" t="s">
        <v>317</v>
      </c>
      <c r="G104" t="s">
        <v>247</v>
      </c>
      <c r="H104">
        <v>2</v>
      </c>
      <c r="I104" t="s">
        <v>318</v>
      </c>
      <c r="J104" s="20" t="s">
        <v>464</v>
      </c>
      <c r="K104" s="18"/>
      <c r="L104" s="18"/>
    </row>
    <row r="105" spans="2:12" ht="31.35" customHeight="1" x14ac:dyDescent="0.25">
      <c r="B105" s="16" t="str">
        <f>VLOOKUP(D105,Lookup!$B$5:$C$78,2,FALSE)</f>
        <v>casualty_exponent_fraction_veh</v>
      </c>
      <c r="C105" s="75"/>
      <c r="D105" s="2" t="s">
        <v>481</v>
      </c>
      <c r="E105" s="23" t="s">
        <v>482</v>
      </c>
      <c r="F105" t="s">
        <v>317</v>
      </c>
      <c r="G105" t="s">
        <v>252</v>
      </c>
      <c r="H105">
        <v>0.5</v>
      </c>
      <c r="I105" t="s">
        <v>318</v>
      </c>
      <c r="J105" s="20" t="s">
        <v>467</v>
      </c>
      <c r="K105" s="18"/>
      <c r="L105" s="18"/>
    </row>
    <row r="106" spans="2:12" ht="31.35" customHeight="1" x14ac:dyDescent="0.25">
      <c r="B106" s="16" t="str">
        <f>VLOOKUP(D106,Lookup!$B$5:$C$78,2,FALSE)</f>
        <v>call_individual_sin</v>
      </c>
      <c r="C106" s="75"/>
      <c r="D106" s="2" t="s">
        <v>483</v>
      </c>
      <c r="E106" s="23" t="s">
        <v>484</v>
      </c>
      <c r="F106" t="s">
        <v>317</v>
      </c>
      <c r="G106" t="s">
        <v>376</v>
      </c>
      <c r="H106" t="s">
        <v>126</v>
      </c>
      <c r="I106" t="s">
        <v>318</v>
      </c>
      <c r="J106" s="18" t="s">
        <v>485</v>
      </c>
      <c r="K106" s="18"/>
      <c r="L106" s="18"/>
    </row>
    <row r="107" spans="2:12" x14ac:dyDescent="0.25">
      <c r="C107" s="3"/>
      <c r="D107" s="1"/>
      <c r="E107" s="24"/>
      <c r="F107" s="1"/>
      <c r="G107" s="1"/>
      <c r="I107" s="1"/>
      <c r="J107" s="18"/>
      <c r="K107" s="18"/>
      <c r="L107" s="18"/>
    </row>
    <row r="108" spans="2:12" ht="66.599999999999994" customHeight="1" x14ac:dyDescent="0.25">
      <c r="B108" s="16" t="str">
        <f>VLOOKUP(D108,Lookup!$B$5:$C$78,2,FALSE)</f>
        <v>scenario_name</v>
      </c>
      <c r="C108" s="75" t="s">
        <v>486</v>
      </c>
      <c r="D108" s="2" t="s">
        <v>487</v>
      </c>
      <c r="E108" s="23" t="s">
        <v>488</v>
      </c>
      <c r="F108" t="s">
        <v>489</v>
      </c>
      <c r="G108" t="s">
        <v>376</v>
      </c>
      <c r="H108" t="s">
        <v>490</v>
      </c>
      <c r="I108" t="s">
        <v>318</v>
      </c>
      <c r="J108" s="18" t="s">
        <v>491</v>
      </c>
      <c r="K108" s="18"/>
      <c r="L108" s="18"/>
    </row>
    <row r="109" spans="2:12" ht="240" x14ac:dyDescent="0.25">
      <c r="B109" s="16" t="str">
        <f>VLOOKUP(D109,Lookup!$B$5:$C$78,2,FALSE)</f>
        <v>reference_scenario</v>
      </c>
      <c r="C109" s="75"/>
      <c r="D109" s="2" t="s">
        <v>492</v>
      </c>
      <c r="E109" s="23" t="s">
        <v>493</v>
      </c>
      <c r="F109" t="s">
        <v>494</v>
      </c>
      <c r="G109" t="s">
        <v>495</v>
      </c>
      <c r="H109" s="7" t="s">
        <v>496</v>
      </c>
      <c r="I109" t="s">
        <v>318</v>
      </c>
      <c r="J109" s="18" t="s">
        <v>497</v>
      </c>
      <c r="K109" s="18"/>
      <c r="L109" s="18"/>
    </row>
    <row r="110" spans="2:12" x14ac:dyDescent="0.25">
      <c r="C110" s="3"/>
      <c r="D110" s="1"/>
      <c r="E110" s="24"/>
      <c r="F110" s="1"/>
      <c r="G110" s="1"/>
      <c r="I110" s="1"/>
      <c r="J110" s="18"/>
      <c r="K110" s="18"/>
      <c r="L110" s="18"/>
    </row>
    <row r="111" spans="2:12" ht="30" customHeight="1" x14ac:dyDescent="0.25">
      <c r="B111" s="16" t="str">
        <f>VLOOKUP(D111,Lookup!$B$5:$C$78,2,FALSE)</f>
        <v>country</v>
      </c>
      <c r="C111" s="75" t="s">
        <v>498</v>
      </c>
      <c r="D111" s="2" t="s">
        <v>499</v>
      </c>
      <c r="E111" s="23" t="s">
        <v>500</v>
      </c>
      <c r="F111" t="s">
        <v>501</v>
      </c>
      <c r="G111" t="s">
        <v>495</v>
      </c>
      <c r="H111" s="7" t="s">
        <v>502</v>
      </c>
      <c r="I111" t="s">
        <v>503</v>
      </c>
      <c r="J111" s="18" t="s">
        <v>504</v>
      </c>
      <c r="K111" s="18"/>
      <c r="L111" s="18"/>
    </row>
    <row r="112" spans="2:12" x14ac:dyDescent="0.25">
      <c r="B112" s="16" t="str">
        <f>VLOOKUP(D112,Lookup!$B$5:$C$78,2,FALSE)</f>
        <v>continent</v>
      </c>
      <c r="C112" s="75"/>
      <c r="D112" s="2" t="s">
        <v>505</v>
      </c>
      <c r="E112" s="23" t="s">
        <v>109</v>
      </c>
      <c r="F112" t="s">
        <v>501</v>
      </c>
      <c r="G112" t="s">
        <v>495</v>
      </c>
      <c r="H112" s="41" t="s">
        <v>110</v>
      </c>
      <c r="I112" t="s">
        <v>503</v>
      </c>
      <c r="J112" s="18" t="s">
        <v>504</v>
      </c>
      <c r="K112" s="18"/>
      <c r="L112" s="18"/>
    </row>
    <row r="113" spans="2:12" ht="60" x14ac:dyDescent="0.25">
      <c r="B113" s="16" t="str">
        <f>VLOOKUP(D113,Lookup!$B$5:$C$78,2,FALSE)</f>
        <v>dist_cat</v>
      </c>
      <c r="C113" s="75"/>
      <c r="D113" s="2" t="s">
        <v>506</v>
      </c>
      <c r="E113" s="23" t="s">
        <v>507</v>
      </c>
      <c r="F113" t="s">
        <v>317</v>
      </c>
      <c r="G113" t="s">
        <v>508</v>
      </c>
      <c r="H113" s="2" t="s">
        <v>509</v>
      </c>
      <c r="I113" t="s">
        <v>318</v>
      </c>
      <c r="J113" s="18" t="s">
        <v>510</v>
      </c>
      <c r="K113" s="18"/>
      <c r="L113" s="18"/>
    </row>
    <row r="114" spans="2:12" ht="30" x14ac:dyDescent="0.25">
      <c r="B114" s="16" t="str">
        <f>VLOOKUP(D114,Lookup!$B$5:$C$78,2,FALSE)</f>
        <v>age_range</v>
      </c>
      <c r="C114" s="75"/>
      <c r="D114" s="2" t="s">
        <v>511</v>
      </c>
      <c r="E114" s="23" t="s">
        <v>512</v>
      </c>
      <c r="F114" t="s">
        <v>317</v>
      </c>
      <c r="G114" t="s">
        <v>508</v>
      </c>
      <c r="H114" t="s">
        <v>513</v>
      </c>
      <c r="I114" t="s">
        <v>318</v>
      </c>
      <c r="J114" s="18" t="s">
        <v>514</v>
      </c>
      <c r="K114" s="18"/>
      <c r="L114" s="18"/>
    </row>
    <row r="115" spans="2:12" x14ac:dyDescent="0.25">
      <c r="C115" s="2"/>
      <c r="D115" s="2"/>
      <c r="F115" s="2"/>
    </row>
    <row r="116" spans="2:12" x14ac:dyDescent="0.25">
      <c r="B116"/>
      <c r="C116" s="2"/>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27" spans="2:12" x14ac:dyDescent="0.25">
      <c r="B127"/>
    </row>
    <row r="135" spans="2:2" x14ac:dyDescent="0.25">
      <c r="B135"/>
    </row>
    <row r="136" spans="2:2" x14ac:dyDescent="0.25">
      <c r="B136"/>
    </row>
    <row r="137" spans="2:2" x14ac:dyDescent="0.25">
      <c r="B137"/>
    </row>
    <row r="138" spans="2:2" x14ac:dyDescent="0.25">
      <c r="B138"/>
    </row>
  </sheetData>
  <mergeCells count="14">
    <mergeCell ref="C111:C114"/>
    <mergeCell ref="C108:C109"/>
    <mergeCell ref="E71:E90"/>
    <mergeCell ref="E8:E16"/>
    <mergeCell ref="E18:E26"/>
    <mergeCell ref="C42:C90"/>
    <mergeCell ref="C92:C94"/>
    <mergeCell ref="C5:C27"/>
    <mergeCell ref="F8:F16"/>
    <mergeCell ref="F18:F26"/>
    <mergeCell ref="F71:F90"/>
    <mergeCell ref="I71:I89"/>
    <mergeCell ref="C96:C106"/>
    <mergeCell ref="C29:C40"/>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6" r:id="rId6" display="https://www.autofact.com.co/blog/mi-carro/actividades/carpooling-colombia" xr:uid="{0FA2DE4C-DCAC-487D-8470-D0FD5229C31F}"/>
    <hyperlink ref="J60" r:id="rId7" display="https://scioteca.caf.com/bitstream/handle/123456789/754/CAF LIBRO motos digital.pdf?sequence=1&amp;isAllowed=y" xr:uid="{0002A529-A4FC-4368-8ACE-B3637613E243}"/>
    <hyperlink ref="J67" r:id="rId8" display="https://scioteca.caf.com/bitstream/handle/123456789/754/CAF LIBRO motos digital.pdf?sequence=1&amp;isAllowed=y" xr:uid="{BF8E8939-F8AB-4EA2-A50D-94BEA3DCA361}"/>
    <hyperlink ref="J68" r:id="rId9" display="https://scioteca.caf.com/bitstream/handle/123456789/754/CAF LIBRO motos digital.pdf?sequence=1&amp;isAllowed=y" xr:uid="{FABBC8DB-66A5-41C6-95D2-F4CCBE562462}"/>
    <hyperlink ref="J69" r:id="rId10" display="https://scioteca.caf.com/bitstream/handle/123456789/754/CAF LIBRO motos digital.pdf?sequence=1&amp;isAllowed=y" xr:uid="{257937B7-F74E-4B5C-A9A3-487A2841D523}"/>
    <hyperlink ref="J61" r:id="rId11" display="http://www.despacio.org/hacemos" xr:uid="{207D3284-89F0-482A-B3FE-8AB549511AE2}"/>
    <hyperlink ref="J62" r:id="rId12" xr:uid="{C9E250C3-846D-4C5F-B558-3EDB4F55655A}"/>
    <hyperlink ref="J63"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515</v>
      </c>
    </row>
    <row r="7" spans="2:12" x14ac:dyDescent="0.25">
      <c r="B7" t="s">
        <v>516</v>
      </c>
      <c r="L7" s="31" t="s">
        <v>517</v>
      </c>
    </row>
    <row r="11" spans="2:12" x14ac:dyDescent="0.25">
      <c r="B11" s="1" t="s">
        <v>318</v>
      </c>
    </row>
    <row r="13" spans="2:12" x14ac:dyDescent="0.25">
      <c r="B13" t="s">
        <v>518</v>
      </c>
      <c r="E13" t="s">
        <v>519</v>
      </c>
      <c r="K13" t="s">
        <v>520</v>
      </c>
    </row>
    <row r="16" spans="2:12" x14ac:dyDescent="0.25">
      <c r="B16" s="1" t="s">
        <v>521</v>
      </c>
    </row>
    <row r="18" spans="2:11" x14ac:dyDescent="0.25">
      <c r="B18" t="s">
        <v>522</v>
      </c>
      <c r="E18" t="s">
        <v>523</v>
      </c>
      <c r="K18" t="s">
        <v>524</v>
      </c>
    </row>
    <row r="20" spans="2:11" x14ac:dyDescent="0.25">
      <c r="B20" t="s">
        <v>525</v>
      </c>
      <c r="E20" t="s">
        <v>526</v>
      </c>
    </row>
    <row r="22" spans="2:11" x14ac:dyDescent="0.25">
      <c r="B22" t="s">
        <v>527</v>
      </c>
      <c r="E22" t="s">
        <v>528</v>
      </c>
    </row>
    <row r="24" spans="2:11" x14ac:dyDescent="0.25">
      <c r="B24" t="s">
        <v>529</v>
      </c>
      <c r="E24" t="s">
        <v>530</v>
      </c>
    </row>
    <row r="26" spans="2:11" x14ac:dyDescent="0.25">
      <c r="B26" t="s">
        <v>531</v>
      </c>
      <c r="E26" t="s">
        <v>532</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42578125" customWidth="1"/>
    <col min="6" max="6" width="4.42578125" customWidth="1"/>
    <col min="7" max="7" width="17.42578125" customWidth="1"/>
    <col min="8" max="8" width="16.42578125" bestFit="1" customWidth="1"/>
  </cols>
  <sheetData>
    <row r="2" spans="2:9" x14ac:dyDescent="0.25">
      <c r="B2" t="s">
        <v>533</v>
      </c>
    </row>
    <row r="3" spans="2:9" x14ac:dyDescent="0.25">
      <c r="B3" t="s">
        <v>534</v>
      </c>
    </row>
    <row r="4" spans="2:9" x14ac:dyDescent="0.25">
      <c r="B4" t="s">
        <v>535</v>
      </c>
    </row>
    <row r="5" spans="2:9" x14ac:dyDescent="0.25">
      <c r="E5" s="1"/>
      <c r="F5" s="1"/>
    </row>
    <row r="6" spans="2:9" x14ac:dyDescent="0.25">
      <c r="C6" s="1" t="s">
        <v>536</v>
      </c>
      <c r="D6" s="1" t="s">
        <v>135</v>
      </c>
      <c r="E6" s="1" t="s">
        <v>503</v>
      </c>
      <c r="F6" s="1" t="s">
        <v>537</v>
      </c>
      <c r="G6" s="1" t="s">
        <v>538</v>
      </c>
    </row>
    <row r="7" spans="2:9" x14ac:dyDescent="0.25">
      <c r="C7" s="5" t="str">
        <f t="shared" ref="C7:C12" si="0">D7&amp;"_"&amp;E7</f>
        <v>PM_emission_inventories_bogota</v>
      </c>
      <c r="D7" s="33" t="s">
        <v>72</v>
      </c>
      <c r="E7" s="25" t="s">
        <v>58</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72</v>
      </c>
      <c r="E8" t="s">
        <v>539</v>
      </c>
      <c r="G8" t="str">
        <f ca="1">G7</f>
        <v>All_city_list!L16</v>
      </c>
      <c r="H8" t="str">
        <f t="shared" ref="H8:I8" ca="1" si="1">H7</f>
        <v>All_city_list!M16</v>
      </c>
      <c r="I8" t="str">
        <f t="shared" ca="1" si="1"/>
        <v>All_city_list!N16</v>
      </c>
    </row>
    <row r="9" spans="2:9" x14ac:dyDescent="0.25">
      <c r="C9" s="5" t="str">
        <f t="shared" si="0"/>
        <v>chronic_disease_scalar_bogota</v>
      </c>
      <c r="D9" s="25" t="s">
        <v>79</v>
      </c>
      <c r="E9" s="25" t="s">
        <v>58</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79</v>
      </c>
      <c r="E10" t="s">
        <v>539</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82</v>
      </c>
      <c r="E11" s="25" t="s">
        <v>58</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82</v>
      </c>
      <c r="E12" t="s">
        <v>539</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83</v>
      </c>
      <c r="E13" s="25" t="s">
        <v>58</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83</v>
      </c>
      <c r="E14" t="s">
        <v>539</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84</v>
      </c>
      <c r="E15" s="25" t="s">
        <v>58</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84</v>
      </c>
      <c r="E16" t="s">
        <v>539</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96</v>
      </c>
      <c r="E17" s="25" t="s">
        <v>58</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96</v>
      </c>
      <c r="E18" t="s">
        <v>539</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97</v>
      </c>
      <c r="E19" s="25" t="s">
        <v>58</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97</v>
      </c>
      <c r="E20" t="s">
        <v>539</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99</v>
      </c>
      <c r="E21" s="25" t="s">
        <v>58</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99</v>
      </c>
      <c r="E22" t="s">
        <v>539</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100</v>
      </c>
      <c r="E23" s="25" t="s">
        <v>58</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100</v>
      </c>
      <c r="E24" t="s">
        <v>539</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101</v>
      </c>
      <c r="E25" s="25" t="s">
        <v>58</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101</v>
      </c>
      <c r="E26" t="s">
        <v>539</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102</v>
      </c>
      <c r="E27" s="25" t="s">
        <v>58</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102</v>
      </c>
      <c r="E28" t="s">
        <v>539</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103</v>
      </c>
      <c r="E29" s="25" t="s">
        <v>58</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103</v>
      </c>
      <c r="E30" t="s">
        <v>539</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75</v>
      </c>
      <c r="E31" s="25" t="s">
        <v>58</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75</v>
      </c>
      <c r="E32" t="s">
        <v>539</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106</v>
      </c>
      <c r="E33" s="25" t="s">
        <v>58</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106</v>
      </c>
      <c r="E34" t="s">
        <v>539</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85</v>
      </c>
      <c r="E35" s="25" t="s">
        <v>58</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85</v>
      </c>
      <c r="E36" t="s">
        <v>539</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86</v>
      </c>
      <c r="E37" s="25" t="s">
        <v>58</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86</v>
      </c>
      <c r="E38" t="s">
        <v>539</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90</v>
      </c>
      <c r="E39" s="25" t="s">
        <v>58</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90</v>
      </c>
      <c r="E40" t="s">
        <v>539</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92</v>
      </c>
      <c r="E41" s="25" t="s">
        <v>58</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92</v>
      </c>
      <c r="E42" t="s">
        <v>539</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87</v>
      </c>
      <c r="E43" s="25" t="s">
        <v>58</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87</v>
      </c>
      <c r="E44" t="s">
        <v>539</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89</v>
      </c>
      <c r="E45" s="25" t="s">
        <v>58</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89</v>
      </c>
      <c r="E46" t="s">
        <v>539</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59</v>
      </c>
      <c r="E47" s="25" t="s">
        <v>58</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59</v>
      </c>
      <c r="E48" t="s">
        <v>539</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111</v>
      </c>
      <c r="E49" s="25" t="s">
        <v>58</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111</v>
      </c>
      <c r="E50" t="s">
        <v>539</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112</v>
      </c>
      <c r="E51" s="25" t="s">
        <v>58</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112</v>
      </c>
      <c r="E52" t="s">
        <v>539</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114</v>
      </c>
      <c r="E53" s="25" t="s">
        <v>58</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114</v>
      </c>
      <c r="E54" t="s">
        <v>539</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116</v>
      </c>
      <c r="E55" s="25" t="s">
        <v>58</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116</v>
      </c>
      <c r="E56" t="s">
        <v>539</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117</v>
      </c>
      <c r="E57" s="25" t="s">
        <v>58</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117</v>
      </c>
      <c r="E58" t="s">
        <v>539</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119</v>
      </c>
      <c r="E59" s="25" t="s">
        <v>58</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119</v>
      </c>
      <c r="E60" t="s">
        <v>539</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121</v>
      </c>
      <c r="E61" s="25" t="s">
        <v>58</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121</v>
      </c>
      <c r="E62" t="s">
        <v>539</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122</v>
      </c>
      <c r="E63" s="25" t="s">
        <v>58</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122</v>
      </c>
      <c r="E64" t="s">
        <v>539</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123</v>
      </c>
      <c r="E65" s="25" t="s">
        <v>58</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123</v>
      </c>
      <c r="E66" t="s">
        <v>539</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95</v>
      </c>
      <c r="E67" s="25" t="s">
        <v>58</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95</v>
      </c>
      <c r="E68" t="s">
        <v>539</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104</v>
      </c>
      <c r="E69" s="25" t="s">
        <v>58</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104</v>
      </c>
      <c r="E70" t="s">
        <v>539</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3"/>
  <sheetViews>
    <sheetView topLeftCell="B4" workbookViewId="0">
      <selection activeCell="B14" sqref="B14:B22"/>
    </sheetView>
  </sheetViews>
  <sheetFormatPr defaultRowHeight="15" x14ac:dyDescent="0.25"/>
  <cols>
    <col min="2" max="2" width="36.42578125" bestFit="1" customWidth="1"/>
    <col min="3" max="3" width="36.42578125" customWidth="1"/>
    <col min="4" max="4" width="18" bestFit="1" customWidth="1"/>
    <col min="6" max="6" width="24.140625" bestFit="1" customWidth="1"/>
  </cols>
  <sheetData>
    <row r="2" spans="2:8" x14ac:dyDescent="0.25">
      <c r="B2" t="s">
        <v>540</v>
      </c>
    </row>
    <row r="4" spans="2:8" ht="45" x14ac:dyDescent="0.25">
      <c r="B4" s="1" t="s">
        <v>135</v>
      </c>
      <c r="C4" s="27" t="s">
        <v>541</v>
      </c>
      <c r="D4" s="1" t="s">
        <v>139</v>
      </c>
      <c r="G4" s="15"/>
    </row>
    <row r="5" spans="2:8" x14ac:dyDescent="0.25">
      <c r="B5" s="2" t="s">
        <v>244</v>
      </c>
      <c r="C5" t="s">
        <v>82</v>
      </c>
      <c r="D5" s="8" t="s">
        <v>243</v>
      </c>
      <c r="G5" s="15"/>
      <c r="H5" s="8"/>
    </row>
    <row r="6" spans="2:8" x14ac:dyDescent="0.25">
      <c r="B6" s="2" t="s">
        <v>250</v>
      </c>
      <c r="C6" t="s">
        <v>83</v>
      </c>
      <c r="D6" s="8" t="s">
        <v>243</v>
      </c>
      <c r="G6" s="15"/>
      <c r="H6" s="8"/>
    </row>
    <row r="7" spans="2:8" x14ac:dyDescent="0.25">
      <c r="B7" t="s">
        <v>256</v>
      </c>
      <c r="C7" t="s">
        <v>98</v>
      </c>
      <c r="D7" s="8" t="s">
        <v>243</v>
      </c>
      <c r="G7" s="15"/>
      <c r="H7" s="8"/>
    </row>
    <row r="8" spans="2:8" x14ac:dyDescent="0.25">
      <c r="B8" t="s">
        <v>288</v>
      </c>
      <c r="C8" t="s">
        <v>105</v>
      </c>
      <c r="D8" s="8" t="s">
        <v>243</v>
      </c>
      <c r="G8" s="15"/>
      <c r="H8" s="8"/>
    </row>
    <row r="9" spans="2:8" x14ac:dyDescent="0.25">
      <c r="B9" t="s">
        <v>542</v>
      </c>
      <c r="C9" t="s">
        <v>72</v>
      </c>
      <c r="D9" s="8" t="s">
        <v>243</v>
      </c>
      <c r="G9" s="15"/>
      <c r="H9" s="8"/>
    </row>
    <row r="10" spans="2:8" x14ac:dyDescent="0.25">
      <c r="B10" t="s">
        <v>543</v>
      </c>
      <c r="C10" t="s">
        <v>104</v>
      </c>
      <c r="D10" s="8" t="s">
        <v>243</v>
      </c>
      <c r="G10" s="15"/>
      <c r="H10" s="8"/>
    </row>
    <row r="11" spans="2:8" x14ac:dyDescent="0.25">
      <c r="B11" t="s">
        <v>573</v>
      </c>
      <c r="C11" t="s">
        <v>125</v>
      </c>
      <c r="D11" s="8" t="s">
        <v>243</v>
      </c>
      <c r="G11" s="15"/>
      <c r="H11" s="8"/>
    </row>
    <row r="12" spans="2:8" x14ac:dyDescent="0.25">
      <c r="B12" s="2" t="s">
        <v>310</v>
      </c>
      <c r="C12" t="s">
        <v>93</v>
      </c>
      <c r="D12" s="8" t="s">
        <v>309</v>
      </c>
      <c r="G12" s="15"/>
      <c r="H12" s="8"/>
    </row>
    <row r="13" spans="2:8" x14ac:dyDescent="0.25">
      <c r="B13" s="2" t="s">
        <v>314</v>
      </c>
      <c r="C13" t="s">
        <v>84</v>
      </c>
      <c r="D13" s="8" t="s">
        <v>309</v>
      </c>
      <c r="G13" s="15"/>
      <c r="H13" s="8"/>
    </row>
    <row r="14" spans="2:8" x14ac:dyDescent="0.25">
      <c r="B14" s="2" t="s">
        <v>587</v>
      </c>
      <c r="C14" s="9" t="s">
        <v>578</v>
      </c>
      <c r="D14" s="8" t="s">
        <v>309</v>
      </c>
      <c r="H14" s="8"/>
    </row>
    <row r="15" spans="2:8" x14ac:dyDescent="0.25">
      <c r="B15" s="2" t="s">
        <v>588</v>
      </c>
      <c r="C15" s="9" t="s">
        <v>579</v>
      </c>
      <c r="D15" s="8" t="s">
        <v>309</v>
      </c>
      <c r="H15" s="8"/>
    </row>
    <row r="16" spans="2:8" x14ac:dyDescent="0.25">
      <c r="B16" s="2" t="s">
        <v>589</v>
      </c>
      <c r="C16" s="9" t="s">
        <v>580</v>
      </c>
      <c r="D16" s="8" t="s">
        <v>309</v>
      </c>
      <c r="H16" s="8"/>
    </row>
    <row r="17" spans="2:8" x14ac:dyDescent="0.25">
      <c r="B17" s="2" t="s">
        <v>590</v>
      </c>
      <c r="C17" s="9" t="s">
        <v>581</v>
      </c>
      <c r="D17" s="8" t="s">
        <v>309</v>
      </c>
      <c r="H17" s="8"/>
    </row>
    <row r="18" spans="2:8" x14ac:dyDescent="0.25">
      <c r="B18" s="2" t="s">
        <v>591</v>
      </c>
      <c r="C18" s="9" t="s">
        <v>582</v>
      </c>
      <c r="D18" s="8" t="s">
        <v>309</v>
      </c>
      <c r="H18" s="8"/>
    </row>
    <row r="19" spans="2:8" x14ac:dyDescent="0.25">
      <c r="B19" s="2" t="s">
        <v>592</v>
      </c>
      <c r="C19" s="9" t="s">
        <v>583</v>
      </c>
      <c r="D19" s="8" t="s">
        <v>309</v>
      </c>
      <c r="H19" s="8"/>
    </row>
    <row r="20" spans="2:8" x14ac:dyDescent="0.25">
      <c r="B20" s="2" t="s">
        <v>593</v>
      </c>
      <c r="C20" s="9" t="s">
        <v>584</v>
      </c>
      <c r="D20" s="8" t="s">
        <v>309</v>
      </c>
      <c r="H20" s="8"/>
    </row>
    <row r="21" spans="2:8" x14ac:dyDescent="0.25">
      <c r="B21" s="2" t="s">
        <v>594</v>
      </c>
      <c r="C21" s="9" t="s">
        <v>585</v>
      </c>
      <c r="D21" s="8" t="s">
        <v>309</v>
      </c>
      <c r="H21" s="8"/>
    </row>
    <row r="22" spans="2:8" x14ac:dyDescent="0.25">
      <c r="B22" s="2" t="s">
        <v>595</v>
      </c>
      <c r="C22" s="9" t="s">
        <v>586</v>
      </c>
      <c r="D22" s="8" t="s">
        <v>309</v>
      </c>
      <c r="H22" s="8"/>
    </row>
    <row r="23" spans="2:8" x14ac:dyDescent="0.25">
      <c r="B23" s="2" t="s">
        <v>340</v>
      </c>
      <c r="C23" t="s">
        <v>85</v>
      </c>
      <c r="D23" s="8" t="s">
        <v>339</v>
      </c>
      <c r="H23" s="8"/>
    </row>
    <row r="24" spans="2:8" x14ac:dyDescent="0.25">
      <c r="B24" t="s">
        <v>343</v>
      </c>
      <c r="C24" t="s">
        <v>86</v>
      </c>
      <c r="D24" s="8" t="s">
        <v>339</v>
      </c>
      <c r="H24" s="8"/>
    </row>
    <row r="25" spans="2:8" x14ac:dyDescent="0.25">
      <c r="B25" t="s">
        <v>345</v>
      </c>
      <c r="C25" t="s">
        <v>124</v>
      </c>
      <c r="D25" s="8" t="s">
        <v>339</v>
      </c>
      <c r="H25" s="8"/>
    </row>
    <row r="26" spans="2:8" x14ac:dyDescent="0.25">
      <c r="B26" s="2" t="s">
        <v>348</v>
      </c>
      <c r="C26" t="s">
        <v>96</v>
      </c>
      <c r="D26" s="8" t="s">
        <v>339</v>
      </c>
      <c r="H26" s="8"/>
    </row>
    <row r="27" spans="2:8" x14ac:dyDescent="0.25">
      <c r="B27" s="2" t="s">
        <v>350</v>
      </c>
      <c r="C27" t="s">
        <v>106</v>
      </c>
      <c r="D27" s="8" t="s">
        <v>339</v>
      </c>
      <c r="H27" s="8"/>
    </row>
    <row r="28" spans="2:8" x14ac:dyDescent="0.25">
      <c r="B28" s="2" t="s">
        <v>352</v>
      </c>
      <c r="C28" t="s">
        <v>97</v>
      </c>
      <c r="D28" s="8" t="s">
        <v>339</v>
      </c>
      <c r="H28" s="8"/>
    </row>
    <row r="29" spans="2:8" x14ac:dyDescent="0.25">
      <c r="B29" s="2" t="s">
        <v>354</v>
      </c>
      <c r="C29" t="s">
        <v>99</v>
      </c>
      <c r="D29" s="8" t="s">
        <v>339</v>
      </c>
      <c r="H29" s="8"/>
    </row>
    <row r="30" spans="2:8" x14ac:dyDescent="0.25">
      <c r="B30" s="2" t="s">
        <v>357</v>
      </c>
      <c r="C30" t="s">
        <v>102</v>
      </c>
      <c r="D30" s="8" t="s">
        <v>339</v>
      </c>
      <c r="H30" s="8"/>
    </row>
    <row r="31" spans="2:8" x14ac:dyDescent="0.25">
      <c r="B31" s="2" t="s">
        <v>359</v>
      </c>
      <c r="C31" t="s">
        <v>101</v>
      </c>
      <c r="D31" s="8" t="s">
        <v>339</v>
      </c>
      <c r="H31" s="8"/>
    </row>
    <row r="32" spans="2:8" x14ac:dyDescent="0.25">
      <c r="B32" s="2" t="s">
        <v>361</v>
      </c>
      <c r="C32" t="s">
        <v>103</v>
      </c>
      <c r="D32" s="8" t="s">
        <v>339</v>
      </c>
      <c r="H32" s="8"/>
    </row>
    <row r="33" spans="2:8" x14ac:dyDescent="0.25">
      <c r="B33" s="2" t="s">
        <v>363</v>
      </c>
      <c r="C33" t="s">
        <v>100</v>
      </c>
      <c r="D33" s="8" t="s">
        <v>339</v>
      </c>
      <c r="H33" s="8"/>
    </row>
    <row r="34" spans="2:8" x14ac:dyDescent="0.25">
      <c r="B34" s="2" t="s">
        <v>365</v>
      </c>
      <c r="C34" s="2" t="s">
        <v>197</v>
      </c>
      <c r="D34" s="8" t="s">
        <v>339</v>
      </c>
      <c r="H34" s="8"/>
    </row>
    <row r="35" spans="2:8" x14ac:dyDescent="0.25">
      <c r="B35" s="2" t="s">
        <v>369</v>
      </c>
      <c r="C35" s="2" t="s">
        <v>198</v>
      </c>
      <c r="D35" s="8" t="s">
        <v>339</v>
      </c>
      <c r="H35" s="8"/>
    </row>
    <row r="36" spans="2:8" x14ac:dyDescent="0.25">
      <c r="B36" s="2" t="s">
        <v>371</v>
      </c>
      <c r="C36" s="2" t="s">
        <v>199</v>
      </c>
      <c r="D36" s="8" t="s">
        <v>339</v>
      </c>
      <c r="H36" s="8"/>
    </row>
    <row r="37" spans="2:8" x14ac:dyDescent="0.25">
      <c r="B37" s="2" t="s">
        <v>374</v>
      </c>
      <c r="C37" t="s">
        <v>95</v>
      </c>
      <c r="D37" s="8" t="s">
        <v>339</v>
      </c>
      <c r="H37" s="8"/>
    </row>
    <row r="38" spans="2:8" x14ac:dyDescent="0.25">
      <c r="B38" s="2" t="s">
        <v>385</v>
      </c>
      <c r="C38" t="s">
        <v>90</v>
      </c>
      <c r="D38" s="8" t="s">
        <v>339</v>
      </c>
      <c r="H38" s="8"/>
    </row>
    <row r="39" spans="2:8" x14ac:dyDescent="0.25">
      <c r="B39" s="2" t="s">
        <v>388</v>
      </c>
      <c r="C39" t="s">
        <v>92</v>
      </c>
      <c r="D39" s="8" t="s">
        <v>339</v>
      </c>
      <c r="H39" s="8"/>
    </row>
    <row r="40" spans="2:8" x14ac:dyDescent="0.25">
      <c r="B40" s="2" t="s">
        <v>378</v>
      </c>
      <c r="C40" s="2" t="s">
        <v>87</v>
      </c>
      <c r="D40" s="8" t="s">
        <v>339</v>
      </c>
      <c r="H40" s="8"/>
    </row>
    <row r="41" spans="2:8" x14ac:dyDescent="0.25">
      <c r="B41" s="2" t="s">
        <v>382</v>
      </c>
      <c r="C41" s="2" t="s">
        <v>89</v>
      </c>
      <c r="D41" s="8" t="s">
        <v>339</v>
      </c>
      <c r="H41" s="8"/>
    </row>
    <row r="42" spans="2:8" x14ac:dyDescent="0.25">
      <c r="B42" s="2" t="s">
        <v>59</v>
      </c>
      <c r="C42" s="2" t="s">
        <v>59</v>
      </c>
      <c r="D42" s="8" t="s">
        <v>339</v>
      </c>
      <c r="H42" s="8"/>
    </row>
    <row r="43" spans="2:8" x14ac:dyDescent="0.25">
      <c r="B43" s="2" t="s">
        <v>451</v>
      </c>
      <c r="C43" s="2" t="s">
        <v>226</v>
      </c>
      <c r="D43" s="8" t="s">
        <v>450</v>
      </c>
      <c r="H43" s="8"/>
    </row>
    <row r="44" spans="2:8" x14ac:dyDescent="0.25">
      <c r="B44" s="2" t="s">
        <v>454</v>
      </c>
      <c r="C44" s="2" t="s">
        <v>229</v>
      </c>
      <c r="D44" s="8" t="s">
        <v>450</v>
      </c>
      <c r="H44" s="8"/>
    </row>
    <row r="45" spans="2:8" x14ac:dyDescent="0.25">
      <c r="B45" t="s">
        <v>334</v>
      </c>
      <c r="C45" t="s">
        <v>213</v>
      </c>
      <c r="D45" s="8" t="s">
        <v>450</v>
      </c>
      <c r="H45" s="8"/>
    </row>
    <row r="46" spans="2:8" x14ac:dyDescent="0.25">
      <c r="B46" s="2" t="s">
        <v>455</v>
      </c>
      <c r="C46" t="s">
        <v>79</v>
      </c>
      <c r="D46" s="8" t="s">
        <v>450</v>
      </c>
      <c r="H46" s="8"/>
    </row>
    <row r="47" spans="2:8" x14ac:dyDescent="0.25">
      <c r="B47" s="2" t="s">
        <v>459</v>
      </c>
      <c r="C47" t="s">
        <v>75</v>
      </c>
      <c r="D47" s="8" t="s">
        <v>458</v>
      </c>
      <c r="H47" s="8"/>
    </row>
    <row r="48" spans="2:8" x14ac:dyDescent="0.25">
      <c r="B48" s="2" t="s">
        <v>462</v>
      </c>
      <c r="C48" s="2" t="s">
        <v>187</v>
      </c>
      <c r="D48" s="8" t="s">
        <v>458</v>
      </c>
      <c r="H48" s="8"/>
    </row>
    <row r="49" spans="2:8" x14ac:dyDescent="0.25">
      <c r="B49" s="2" t="s">
        <v>465</v>
      </c>
      <c r="C49" s="2" t="s">
        <v>188</v>
      </c>
      <c r="D49" s="8" t="s">
        <v>458</v>
      </c>
      <c r="H49" s="8"/>
    </row>
    <row r="50" spans="2:8" x14ac:dyDescent="0.25">
      <c r="B50" s="2" t="s">
        <v>468</v>
      </c>
      <c r="C50" s="2" t="s">
        <v>189</v>
      </c>
      <c r="D50" s="8" t="s">
        <v>458</v>
      </c>
      <c r="H50" s="8"/>
    </row>
    <row r="51" spans="2:8" x14ac:dyDescent="0.25">
      <c r="B51" s="2" t="s">
        <v>471</v>
      </c>
      <c r="C51" s="2" t="s">
        <v>190</v>
      </c>
      <c r="D51" s="8" t="s">
        <v>458</v>
      </c>
      <c r="H51" s="8"/>
    </row>
    <row r="52" spans="2:8" x14ac:dyDescent="0.25">
      <c r="B52" s="2" t="s">
        <v>473</v>
      </c>
      <c r="C52" s="2" t="s">
        <v>191</v>
      </c>
      <c r="D52" s="8" t="s">
        <v>458</v>
      </c>
      <c r="H52" s="8"/>
    </row>
    <row r="53" spans="2:8" x14ac:dyDescent="0.25">
      <c r="B53" s="2" t="s">
        <v>475</v>
      </c>
      <c r="C53" s="2" t="s">
        <v>192</v>
      </c>
      <c r="D53" s="8" t="s">
        <v>458</v>
      </c>
      <c r="H53" s="8"/>
    </row>
    <row r="54" spans="2:8" x14ac:dyDescent="0.25">
      <c r="B54" s="2" t="s">
        <v>477</v>
      </c>
      <c r="C54" s="2" t="s">
        <v>193</v>
      </c>
      <c r="D54" s="8" t="s">
        <v>458</v>
      </c>
      <c r="H54" s="8"/>
    </row>
    <row r="55" spans="2:8" x14ac:dyDescent="0.25">
      <c r="B55" s="2" t="s">
        <v>479</v>
      </c>
      <c r="C55" s="2" t="s">
        <v>194</v>
      </c>
      <c r="D55" s="8" t="s">
        <v>458</v>
      </c>
      <c r="H55" s="8"/>
    </row>
    <row r="56" spans="2:8" x14ac:dyDescent="0.25">
      <c r="B56" s="2" t="s">
        <v>481</v>
      </c>
      <c r="C56" s="2" t="s">
        <v>195</v>
      </c>
      <c r="D56" s="8" t="s">
        <v>458</v>
      </c>
      <c r="H56" s="8"/>
    </row>
    <row r="57" spans="2:8" x14ac:dyDescent="0.25">
      <c r="B57" s="2" t="s">
        <v>483</v>
      </c>
      <c r="C57" s="2" t="s">
        <v>196</v>
      </c>
      <c r="D57" s="8" t="s">
        <v>458</v>
      </c>
      <c r="H57" s="8"/>
    </row>
    <row r="58" spans="2:8" ht="30" x14ac:dyDescent="0.25">
      <c r="B58" s="2" t="s">
        <v>492</v>
      </c>
      <c r="C58" s="2" t="s">
        <v>544</v>
      </c>
      <c r="D58" s="8" t="s">
        <v>486</v>
      </c>
      <c r="H58" s="8"/>
    </row>
    <row r="59" spans="2:8" ht="30" x14ac:dyDescent="0.25">
      <c r="B59" s="2" t="s">
        <v>487</v>
      </c>
      <c r="C59" s="2" t="s">
        <v>545</v>
      </c>
      <c r="D59" s="8" t="s">
        <v>486</v>
      </c>
      <c r="H59" s="8"/>
    </row>
    <row r="60" spans="2:8" x14ac:dyDescent="0.25">
      <c r="B60" s="2" t="s">
        <v>499</v>
      </c>
      <c r="C60" s="2" t="s">
        <v>107</v>
      </c>
      <c r="D60" s="8" t="s">
        <v>498</v>
      </c>
      <c r="H60" s="8"/>
    </row>
    <row r="61" spans="2:8" x14ac:dyDescent="0.25">
      <c r="B61" s="2" t="s">
        <v>505</v>
      </c>
      <c r="C61" s="2" t="s">
        <v>109</v>
      </c>
      <c r="D61" s="8" t="s">
        <v>498</v>
      </c>
      <c r="H61" s="8"/>
    </row>
    <row r="62" spans="2:8" x14ac:dyDescent="0.25">
      <c r="B62" s="2" t="s">
        <v>506</v>
      </c>
      <c r="C62" s="2" t="s">
        <v>204</v>
      </c>
      <c r="D62" s="8" t="s">
        <v>498</v>
      </c>
      <c r="H62" s="8"/>
    </row>
    <row r="63" spans="2:8" x14ac:dyDescent="0.25">
      <c r="B63" s="2" t="s">
        <v>511</v>
      </c>
      <c r="C63" s="2" t="s">
        <v>230</v>
      </c>
      <c r="D63" s="8" t="s">
        <v>498</v>
      </c>
      <c r="H63" s="8"/>
    </row>
    <row r="64" spans="2:8" x14ac:dyDescent="0.25">
      <c r="B64" s="2" t="s">
        <v>419</v>
      </c>
      <c r="C64" s="2" t="s">
        <v>212</v>
      </c>
      <c r="D64" s="8" t="s">
        <v>339</v>
      </c>
      <c r="H64" s="8"/>
    </row>
    <row r="65" spans="2:4" x14ac:dyDescent="0.25">
      <c r="B65" s="2" t="s">
        <v>390</v>
      </c>
      <c r="C65" s="43" t="s">
        <v>111</v>
      </c>
      <c r="D65" s="8" t="s">
        <v>339</v>
      </c>
    </row>
    <row r="66" spans="2:4" x14ac:dyDescent="0.25">
      <c r="B66" s="2" t="s">
        <v>394</v>
      </c>
      <c r="C66" s="43" t="s">
        <v>112</v>
      </c>
      <c r="D66" s="8" t="s">
        <v>339</v>
      </c>
    </row>
    <row r="67" spans="2:4" x14ac:dyDescent="0.25">
      <c r="B67" s="2" t="s">
        <v>399</v>
      </c>
      <c r="C67" s="43" t="s">
        <v>114</v>
      </c>
      <c r="D67" s="8" t="s">
        <v>339</v>
      </c>
    </row>
    <row r="68" spans="2:4" x14ac:dyDescent="0.25">
      <c r="B68" s="2" t="s">
        <v>401</v>
      </c>
      <c r="C68" s="43" t="s">
        <v>116</v>
      </c>
      <c r="D68" s="8" t="s">
        <v>339</v>
      </c>
    </row>
    <row r="69" spans="2:4" x14ac:dyDescent="0.25">
      <c r="B69" s="2" t="s">
        <v>404</v>
      </c>
      <c r="C69" s="43" t="s">
        <v>117</v>
      </c>
      <c r="D69" s="8" t="s">
        <v>339</v>
      </c>
    </row>
    <row r="70" spans="2:4" x14ac:dyDescent="0.25">
      <c r="B70" s="2" t="s">
        <v>408</v>
      </c>
      <c r="C70" s="43" t="s">
        <v>119</v>
      </c>
      <c r="D70" s="8" t="s">
        <v>339</v>
      </c>
    </row>
    <row r="71" spans="2:4" x14ac:dyDescent="0.25">
      <c r="B71" s="2" t="s">
        <v>411</v>
      </c>
      <c r="C71" s="43" t="s">
        <v>121</v>
      </c>
      <c r="D71" s="8" t="s">
        <v>339</v>
      </c>
    </row>
    <row r="72" spans="2:4" x14ac:dyDescent="0.25">
      <c r="B72" s="2" t="s">
        <v>413</v>
      </c>
      <c r="C72" s="43" t="s">
        <v>122</v>
      </c>
      <c r="D72" s="8" t="s">
        <v>339</v>
      </c>
    </row>
    <row r="73" spans="2:4" x14ac:dyDescent="0.25">
      <c r="B73" s="2" t="s">
        <v>416</v>
      </c>
      <c r="C73" s="43" t="s">
        <v>123</v>
      </c>
      <c r="D73" s="8" t="s">
        <v>339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4" workbookViewId="0">
      <selection activeCell="F5" sqref="F5"/>
    </sheetView>
  </sheetViews>
  <sheetFormatPr defaultRowHeight="15" x14ac:dyDescent="0.25"/>
  <cols>
    <col min="3" max="3" width="19.85546875" customWidth="1"/>
    <col min="4" max="4" width="13" bestFit="1" customWidth="1"/>
    <col min="5" max="5" width="25.42578125" bestFit="1" customWidth="1"/>
    <col min="6" max="6" width="95.42578125" customWidth="1"/>
  </cols>
  <sheetData>
    <row r="2" spans="3:6" x14ac:dyDescent="0.25">
      <c r="C2" s="1" t="s">
        <v>546</v>
      </c>
    </row>
    <row r="4" spans="3:6" ht="131.44999999999999" customHeight="1" x14ac:dyDescent="0.25">
      <c r="C4" s="81" t="s">
        <v>547</v>
      </c>
      <c r="D4" s="82"/>
      <c r="E4" s="82"/>
      <c r="F4" s="82"/>
    </row>
    <row r="5" spans="3:6" ht="38.1" customHeight="1" x14ac:dyDescent="0.25">
      <c r="C5" s="67"/>
      <c r="D5" s="66"/>
      <c r="E5" s="66"/>
      <c r="F5" s="66"/>
    </row>
    <row r="6" spans="3:6" ht="15.75" thickBot="1" x14ac:dyDescent="0.3">
      <c r="C6" s="2" t="s">
        <v>548</v>
      </c>
    </row>
    <row r="7" spans="3:6" ht="45.75" thickBot="1" x14ac:dyDescent="0.3">
      <c r="C7" s="58" t="s">
        <v>135</v>
      </c>
      <c r="D7" s="59" t="s">
        <v>549</v>
      </c>
      <c r="E7" s="59" t="s">
        <v>6</v>
      </c>
      <c r="F7" s="59" t="s">
        <v>550</v>
      </c>
    </row>
    <row r="8" spans="3:6" ht="15.75" thickBot="1" x14ac:dyDescent="0.3">
      <c r="C8" s="60" t="s">
        <v>551</v>
      </c>
      <c r="D8" s="61">
        <v>0.85</v>
      </c>
      <c r="E8" s="78" t="s">
        <v>552</v>
      </c>
      <c r="F8" s="78" t="s">
        <v>553</v>
      </c>
    </row>
    <row r="9" spans="3:6" ht="15.75" thickBot="1" x14ac:dyDescent="0.3">
      <c r="C9" s="60" t="s">
        <v>554</v>
      </c>
      <c r="D9" s="61">
        <v>0.85</v>
      </c>
      <c r="E9" s="79"/>
      <c r="F9" s="79"/>
    </row>
    <row r="10" spans="3:6" ht="15.75" thickBot="1" x14ac:dyDescent="0.3">
      <c r="C10" s="60" t="s">
        <v>555</v>
      </c>
      <c r="D10" s="61">
        <v>0.45</v>
      </c>
      <c r="E10" s="78" t="s">
        <v>556</v>
      </c>
      <c r="F10" s="78" t="s">
        <v>557</v>
      </c>
    </row>
    <row r="11" spans="3:6" ht="15.75" thickBot="1" x14ac:dyDescent="0.3">
      <c r="C11" s="60" t="s">
        <v>558</v>
      </c>
      <c r="D11" s="61">
        <v>0.4</v>
      </c>
      <c r="E11" s="79"/>
      <c r="F11" s="80"/>
    </row>
    <row r="12" spans="3:6" x14ac:dyDescent="0.25">
      <c r="C12" s="78" t="s">
        <v>559</v>
      </c>
      <c r="D12" s="78">
        <v>0.4</v>
      </c>
      <c r="E12" s="78" t="s">
        <v>560</v>
      </c>
      <c r="F12" s="80"/>
    </row>
    <row r="13" spans="3:6" ht="15.75" thickBot="1" x14ac:dyDescent="0.3">
      <c r="C13" s="79"/>
      <c r="D13" s="79"/>
      <c r="E13" s="80"/>
      <c r="F13" s="80"/>
    </row>
    <row r="14" spans="3:6" ht="15.75" thickBot="1" x14ac:dyDescent="0.3">
      <c r="C14" s="60" t="s">
        <v>561</v>
      </c>
      <c r="D14" s="61">
        <v>0.4</v>
      </c>
      <c r="E14" s="79"/>
      <c r="F14" s="79"/>
    </row>
    <row r="15" spans="3:6" ht="15.75" thickBot="1" x14ac:dyDescent="0.3">
      <c r="C15" s="60" t="s">
        <v>562</v>
      </c>
      <c r="D15" s="61">
        <v>0.52500000000000002</v>
      </c>
      <c r="E15" s="78" t="s">
        <v>563</v>
      </c>
      <c r="F15" s="78" t="s">
        <v>564</v>
      </c>
    </row>
    <row r="16" spans="3:6" ht="15.75" thickBot="1" x14ac:dyDescent="0.3">
      <c r="C16" s="60" t="s">
        <v>565</v>
      </c>
      <c r="D16" s="61">
        <v>0.52500000000000002</v>
      </c>
      <c r="E16" s="79"/>
      <c r="F16" s="80"/>
    </row>
    <row r="17" spans="3:6" ht="30.75" thickBot="1" x14ac:dyDescent="0.3">
      <c r="C17" s="60" t="s">
        <v>566</v>
      </c>
      <c r="D17" s="61">
        <v>0.8</v>
      </c>
      <c r="E17" s="61" t="s">
        <v>567</v>
      </c>
      <c r="F17" s="79"/>
    </row>
    <row r="18" spans="3:6" x14ac:dyDescent="0.25">
      <c r="C18" s="62"/>
    </row>
    <row r="19" spans="3:6" x14ac:dyDescent="0.25">
      <c r="C19" s="64" t="s">
        <v>568</v>
      </c>
    </row>
    <row r="20" spans="3:6" x14ac:dyDescent="0.25">
      <c r="C20" s="65" t="s">
        <v>569</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2024-09-04T08:06:30Z</dcterms:modified>
  <cp:category/>
  <cp:contentStatus/>
</cp:coreProperties>
</file>