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asbank\Documents\METSIS\Erik Thesis\METSIS Excel files\"/>
    </mc:Choice>
  </mc:AlternateContent>
  <xr:revisionPtr revIDLastSave="0" documentId="13_ncr:1_{CF428DBB-014E-4C1C-9387-355FA943995C}" xr6:coauthVersionLast="36" xr6:coauthVersionMax="36" xr10:uidLastSave="{00000000-0000-0000-0000-000000000000}"/>
  <bookViews>
    <workbookView xWindow="0" yWindow="0" windowWidth="15090" windowHeight="4335" activeTab="1" xr2:uid="{399383B3-2D26-4915-AE93-AAC10856F8A0}"/>
  </bookViews>
  <sheets>
    <sheet name="Compute MOI" sheetId="1" r:id="rId1"/>
    <sheet name="Compute MOI with pole" sheetId="7" r:id="rId2"/>
    <sheet name="NOTES FROM TESTDAY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7" l="1"/>
  <c r="I21" i="7" l="1"/>
  <c r="K21" i="7"/>
  <c r="J21" i="7"/>
  <c r="E59" i="7"/>
  <c r="F59" i="7"/>
  <c r="E58" i="7"/>
  <c r="E57" i="7"/>
  <c r="E56" i="7"/>
  <c r="E55" i="7"/>
  <c r="E54" i="7"/>
  <c r="E49" i="7"/>
  <c r="D59" i="7"/>
  <c r="D39" i="7"/>
  <c r="E39" i="7"/>
  <c r="F39" i="7"/>
  <c r="C22" i="7"/>
  <c r="G21" i="7"/>
  <c r="D65" i="7"/>
  <c r="D58" i="7"/>
  <c r="D57" i="7"/>
  <c r="F57" i="7" s="1"/>
  <c r="D56" i="7"/>
  <c r="F56" i="7" s="1"/>
  <c r="D55" i="7"/>
  <c r="F55" i="7" s="1"/>
  <c r="D54" i="7"/>
  <c r="F54" i="7" s="1"/>
  <c r="D53" i="7"/>
  <c r="E53" i="7" s="1"/>
  <c r="F53" i="7" s="1"/>
  <c r="D52" i="7"/>
  <c r="E52" i="7" s="1"/>
  <c r="F52" i="7" s="1"/>
  <c r="E51" i="7"/>
  <c r="F51" i="7" s="1"/>
  <c r="D51" i="7"/>
  <c r="D50" i="7"/>
  <c r="E50" i="7" s="1"/>
  <c r="F50" i="7" s="1"/>
  <c r="D49" i="7"/>
  <c r="F49" i="7" s="1"/>
  <c r="K20" i="7"/>
  <c r="J20" i="7"/>
  <c r="F20" i="7"/>
  <c r="I20" i="7" s="1"/>
  <c r="K19" i="7"/>
  <c r="F19" i="7"/>
  <c r="I19" i="7" s="1"/>
  <c r="K18" i="7"/>
  <c r="J18" i="7"/>
  <c r="F18" i="7"/>
  <c r="I18" i="7" s="1"/>
  <c r="K17" i="7"/>
  <c r="F17" i="7"/>
  <c r="I17" i="7" s="1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F58" i="7" l="1"/>
  <c r="F60" i="7" s="1"/>
  <c r="G70" i="7" s="1"/>
  <c r="D44" i="7"/>
  <c r="F44" i="7"/>
  <c r="E44" i="7"/>
  <c r="I38" i="7" s="1"/>
  <c r="J17" i="7"/>
  <c r="J19" i="7"/>
  <c r="D62" i="1"/>
  <c r="F48" i="1"/>
  <c r="D56" i="1"/>
  <c r="D47" i="1"/>
  <c r="K17" i="1"/>
  <c r="I17" i="1"/>
  <c r="I14" i="1"/>
  <c r="J14" i="1"/>
  <c r="K14" i="1"/>
  <c r="I15" i="1"/>
  <c r="J15" i="1"/>
  <c r="K15" i="1"/>
  <c r="I16" i="1"/>
  <c r="J16" i="1"/>
  <c r="K16" i="1"/>
  <c r="K13" i="1"/>
  <c r="J13" i="1"/>
  <c r="I13" i="1"/>
  <c r="K12" i="1"/>
  <c r="J12" i="1"/>
  <c r="I12" i="1"/>
  <c r="K11" i="1"/>
  <c r="J11" i="1"/>
  <c r="I11" i="1"/>
  <c r="K38" i="7" l="1"/>
  <c r="J38" i="7"/>
  <c r="K36" i="7"/>
  <c r="K29" i="7"/>
  <c r="I35" i="7"/>
  <c r="J33" i="7"/>
  <c r="I29" i="7"/>
  <c r="J34" i="7"/>
  <c r="K37" i="7"/>
  <c r="I37" i="7"/>
  <c r="J28" i="7"/>
  <c r="J29" i="7"/>
  <c r="K32" i="7"/>
  <c r="K31" i="7"/>
  <c r="K34" i="7"/>
  <c r="J37" i="7"/>
  <c r="I31" i="7"/>
  <c r="I30" i="7"/>
  <c r="I33" i="7"/>
  <c r="I28" i="7"/>
  <c r="J36" i="7"/>
  <c r="J30" i="7"/>
  <c r="I36" i="7"/>
  <c r="K28" i="7"/>
  <c r="K30" i="7"/>
  <c r="K35" i="7"/>
  <c r="I34" i="7"/>
  <c r="J32" i="7"/>
  <c r="I32" i="7"/>
  <c r="K33" i="7"/>
  <c r="J35" i="7"/>
  <c r="J31" i="7"/>
  <c r="E48" i="1"/>
  <c r="E49" i="1"/>
  <c r="E51" i="1"/>
  <c r="E53" i="1"/>
  <c r="E54" i="1"/>
  <c r="E55" i="1"/>
  <c r="E56" i="1"/>
  <c r="E47" i="1"/>
  <c r="D50" i="1"/>
  <c r="E50" i="1" s="1"/>
  <c r="D51" i="1"/>
  <c r="D52" i="1"/>
  <c r="E52" i="1" s="1"/>
  <c r="D49" i="1"/>
  <c r="D48" i="1"/>
  <c r="C21" i="1"/>
  <c r="C37" i="1"/>
  <c r="I18" i="1"/>
  <c r="J18" i="1"/>
  <c r="K18" i="1"/>
  <c r="I19" i="1"/>
  <c r="J19" i="1"/>
  <c r="K19" i="1"/>
  <c r="I20" i="1"/>
  <c r="J20" i="1"/>
  <c r="K20" i="1"/>
  <c r="F18" i="1"/>
  <c r="F19" i="1"/>
  <c r="F20" i="1"/>
  <c r="F17" i="1"/>
  <c r="K44" i="7" l="1"/>
  <c r="F70" i="7" s="1"/>
  <c r="F71" i="7" s="1"/>
  <c r="E5" i="7" s="1"/>
  <c r="I44" i="7"/>
  <c r="D70" i="7" s="1"/>
  <c r="J44" i="7"/>
  <c r="E70" i="7" s="1"/>
  <c r="F37" i="1"/>
  <c r="F42" i="1" s="1"/>
  <c r="G71" i="7" l="1"/>
  <c r="F5" i="7" s="1"/>
  <c r="E71" i="7"/>
  <c r="D5" i="7" s="1"/>
  <c r="D71" i="7"/>
  <c r="C5" i="7" s="1"/>
  <c r="D54" i="1"/>
  <c r="F54" i="1" s="1"/>
  <c r="D55" i="1"/>
  <c r="F55" i="1" s="1"/>
  <c r="F56" i="1"/>
  <c r="D53" i="1"/>
  <c r="F53" i="1" s="1"/>
  <c r="F50" i="1"/>
  <c r="F51" i="1"/>
  <c r="F52" i="1"/>
  <c r="F49" i="1"/>
  <c r="F47" i="1"/>
  <c r="J17" i="1"/>
  <c r="E37" i="1"/>
  <c r="D37" i="1"/>
  <c r="D42" i="1" s="1"/>
  <c r="J27" i="1" l="1"/>
  <c r="J28" i="1"/>
  <c r="E42" i="1"/>
  <c r="F57" i="1"/>
  <c r="G67" i="1" s="1"/>
  <c r="J32" i="1"/>
  <c r="J31" i="1"/>
  <c r="J33" i="1"/>
  <c r="J34" i="1"/>
  <c r="J36" i="1"/>
  <c r="J35" i="1"/>
  <c r="K31" i="1" l="1"/>
  <c r="I27" i="1"/>
  <c r="I32" i="1"/>
  <c r="K33" i="1"/>
  <c r="K28" i="1"/>
  <c r="I28" i="1"/>
  <c r="K27" i="1"/>
  <c r="I35" i="1"/>
  <c r="I29" i="1"/>
  <c r="K36" i="1"/>
  <c r="I31" i="1"/>
  <c r="K34" i="1"/>
  <c r="K35" i="1"/>
  <c r="I33" i="1"/>
  <c r="I36" i="1"/>
  <c r="K32" i="1"/>
  <c r="K30" i="1"/>
  <c r="I30" i="1"/>
  <c r="I34" i="1"/>
  <c r="K29" i="1"/>
  <c r="J29" i="1"/>
  <c r="J30" i="1"/>
  <c r="I42" i="1" l="1"/>
  <c r="K42" i="1"/>
  <c r="F67" i="1" s="1"/>
  <c r="F68" i="1" s="1"/>
  <c r="E5" i="1" s="1"/>
  <c r="D67" i="1"/>
  <c r="J42" i="1"/>
  <c r="E67" i="1" l="1"/>
  <c r="E68" i="1" s="1"/>
  <c r="D5" i="1" s="1"/>
  <c r="D68" i="1" l="1"/>
  <c r="C5" i="1" s="1"/>
  <c r="G68" i="1"/>
  <c r="F5" i="1" s="1"/>
</calcChain>
</file>

<file path=xl/sharedStrings.xml><?xml version="1.0" encoding="utf-8"?>
<sst xmlns="http://schemas.openxmlformats.org/spreadsheetml/2006/main" count="291" uniqueCount="88">
  <si>
    <t>Moment of inertia tool</t>
  </si>
  <si>
    <t>rod_1</t>
  </si>
  <si>
    <t>rod_2</t>
  </si>
  <si>
    <t>rod_3</t>
  </si>
  <si>
    <t>rod_4</t>
  </si>
  <si>
    <t>cyl_1</t>
  </si>
  <si>
    <t>cyl_2</t>
  </si>
  <si>
    <t>cyl_3</t>
  </si>
  <si>
    <t>cyl_4</t>
  </si>
  <si>
    <t>Masses (kg)</t>
  </si>
  <si>
    <t>Total</t>
  </si>
  <si>
    <t>Lengths and masses</t>
  </si>
  <si>
    <t>-</t>
  </si>
  <si>
    <t>Radius (m)</t>
  </si>
  <si>
    <t>Width (m)</t>
  </si>
  <si>
    <t>Lengths (m)</t>
  </si>
  <si>
    <t>Moment of Inertia around its own axis</t>
  </si>
  <si>
    <t>Ixx</t>
  </si>
  <si>
    <t>Iyy</t>
  </si>
  <si>
    <t>Izz</t>
  </si>
  <si>
    <t>Core</t>
  </si>
  <si>
    <t>Centroid information (down is positive)</t>
  </si>
  <si>
    <t>Height (m)</t>
  </si>
  <si>
    <t>NOTE THAT DOWN IS POSITIVE</t>
  </si>
  <si>
    <t>Rod 1</t>
  </si>
  <si>
    <t>Cylinder 1</t>
  </si>
  <si>
    <t>Rod 2</t>
  </si>
  <si>
    <t>Cyl 2</t>
  </si>
  <si>
    <t>Rod 3</t>
  </si>
  <si>
    <t>Cyl 3</t>
  </si>
  <si>
    <t>Reference datum:</t>
  </si>
  <si>
    <t>x = center</t>
  </si>
  <si>
    <t xml:space="preserve">y = center </t>
  </si>
  <si>
    <t xml:space="preserve">z = topplate </t>
  </si>
  <si>
    <t>Result</t>
  </si>
  <si>
    <t>(</t>
  </si>
  <si>
    <t>)</t>
  </si>
  <si>
    <t>X location centroid (m)</t>
  </si>
  <si>
    <t>Y location centroid (m)</t>
  </si>
  <si>
    <t>Z location from top plate (m)</t>
  </si>
  <si>
    <t>Resulting centroid location</t>
  </si>
  <si>
    <t>Parallel axis term</t>
  </si>
  <si>
    <t>Z location centroid (m)</t>
  </si>
  <si>
    <t>Total MOI</t>
  </si>
  <si>
    <t>User Inputs</t>
  </si>
  <si>
    <t>Ixx (ar. x)</t>
  </si>
  <si>
    <t>Deg</t>
  </si>
  <si>
    <t>Rad</t>
  </si>
  <si>
    <t>Cross product XY</t>
  </si>
  <si>
    <t>MOI about itself</t>
  </si>
  <si>
    <t>Ik</t>
  </si>
  <si>
    <t>MOI due to distance</t>
  </si>
  <si>
    <t>A*x*y</t>
  </si>
  <si>
    <t>MOI combined</t>
  </si>
  <si>
    <t>Ixy</t>
  </si>
  <si>
    <t>Units</t>
  </si>
  <si>
    <t>Area</t>
  </si>
  <si>
    <t>A</t>
  </si>
  <si>
    <t>m2 . kg</t>
  </si>
  <si>
    <t>Degree of rotation</t>
  </si>
  <si>
    <t>Original</t>
  </si>
  <si>
    <t>Transformed</t>
  </si>
  <si>
    <t>Adjusted, final MOI</t>
  </si>
  <si>
    <t>Automatic computations</t>
  </si>
  <si>
    <t>Sumproduct</t>
  </si>
  <si>
    <t>Masses (g)</t>
  </si>
  <si>
    <t>cyl_1 + wires + propellor + rod</t>
  </si>
  <si>
    <t>Lengths (cm)</t>
  </si>
  <si>
    <t>Width (cm)</t>
  </si>
  <si>
    <t>Height (cm)</t>
  </si>
  <si>
    <t>Radius (cm)</t>
  </si>
  <si>
    <t>leg</t>
  </si>
  <si>
    <t>Orange Cube + CubePilot</t>
  </si>
  <si>
    <t>Battery</t>
  </si>
  <si>
    <t>cyl_1 + wires + propellor + landingleg</t>
  </si>
  <si>
    <t>rod/bridge/bar + wires</t>
  </si>
  <si>
    <t>Total from parts</t>
  </si>
  <si>
    <t>Total from weighing</t>
  </si>
  <si>
    <t>Core + orangecube + batterycage + wires + radio</t>
  </si>
  <si>
    <t>Pole + sensor + big wire</t>
  </si>
  <si>
    <t>Wind sensors small wire (include in core mass as sensors are in core)</t>
  </si>
  <si>
    <t>Nice to know, not essential</t>
  </si>
  <si>
    <t>bridge_1</t>
  </si>
  <si>
    <t>bridge_2</t>
  </si>
  <si>
    <t>bridge_3</t>
  </si>
  <si>
    <t>bridge_4</t>
  </si>
  <si>
    <t>cyl_windsensor</t>
  </si>
  <si>
    <t>cyl_sensor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</si>
</sst>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"/>
    <numFmt numFmtId="167" formatCode="0.0"/>
    <numFmt numFmtId="168" formatCode="0.000000"/>
    <numFmt numFmtId="169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0">
    <xf numFmtId="0" fontId="0" fillId="0" borderId="0" xfId="0"/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5" borderId="5" xfId="0" applyFill="1" applyBorder="1"/>
    <xf numFmtId="0" fontId="4" fillId="5" borderId="0" xfId="0" applyFont="1" applyFill="1" applyBorder="1" applyAlignment="1"/>
    <xf numFmtId="0" fontId="4" fillId="5" borderId="6" xfId="0" applyFont="1" applyFill="1" applyBorder="1" applyAlignment="1"/>
    <xf numFmtId="2" fontId="0" fillId="5" borderId="0" xfId="0" applyNumberFormat="1" applyFill="1" applyBorder="1"/>
    <xf numFmtId="2" fontId="0" fillId="5" borderId="6" xfId="0" applyNumberFormat="1" applyFill="1" applyBorder="1"/>
    <xf numFmtId="0" fontId="0" fillId="5" borderId="0" xfId="0" applyFill="1" applyBorder="1"/>
    <xf numFmtId="0" fontId="0" fillId="5" borderId="6" xfId="0" applyFill="1" applyBorder="1"/>
    <xf numFmtId="0" fontId="4" fillId="5" borderId="5" xfId="0" applyFont="1" applyFill="1" applyBorder="1"/>
    <xf numFmtId="0" fontId="0" fillId="6" borderId="5" xfId="0" applyFill="1" applyBorder="1" applyAlignment="1">
      <alignment horizontal="right"/>
    </xf>
    <xf numFmtId="0" fontId="0" fillId="6" borderId="0" xfId="0" applyFill="1" applyBorder="1"/>
    <xf numFmtId="0" fontId="0" fillId="6" borderId="6" xfId="0" applyFill="1" applyBorder="1"/>
    <xf numFmtId="0" fontId="0" fillId="6" borderId="5" xfId="0" applyFill="1" applyBorder="1"/>
    <xf numFmtId="0" fontId="4" fillId="6" borderId="0" xfId="0" applyFont="1" applyFill="1" applyBorder="1" applyAlignment="1"/>
    <xf numFmtId="0" fontId="4" fillId="6" borderId="0" xfId="0" applyFont="1" applyFill="1" applyBorder="1"/>
    <xf numFmtId="0" fontId="4" fillId="6" borderId="6" xfId="0" applyFont="1" applyFill="1" applyBorder="1" applyAlignment="1"/>
    <xf numFmtId="2" fontId="0" fillId="6" borderId="0" xfId="0" applyNumberFormat="1" applyFill="1" applyBorder="1"/>
    <xf numFmtId="2" fontId="0" fillId="6" borderId="6" xfId="0" applyNumberFormat="1" applyFill="1" applyBorder="1"/>
    <xf numFmtId="0" fontId="4" fillId="6" borderId="7" xfId="0" applyFont="1" applyFill="1" applyBorder="1"/>
    <xf numFmtId="2" fontId="0" fillId="6" borderId="8" xfId="0" applyNumberFormat="1" applyFill="1" applyBorder="1"/>
    <xf numFmtId="2" fontId="4" fillId="6" borderId="8" xfId="0" applyNumberFormat="1" applyFont="1" applyFill="1" applyBorder="1"/>
    <xf numFmtId="2" fontId="0" fillId="6" borderId="9" xfId="0" applyNumberFormat="1" applyFill="1" applyBorder="1"/>
    <xf numFmtId="2" fontId="0" fillId="8" borderId="5" xfId="0" applyNumberFormat="1" applyFill="1" applyBorder="1"/>
    <xf numFmtId="0" fontId="0" fillId="8" borderId="0" xfId="0" applyFill="1" applyBorder="1"/>
    <xf numFmtId="2" fontId="0" fillId="8" borderId="6" xfId="0" applyNumberFormat="1" applyFill="1" applyBorder="1"/>
    <xf numFmtId="164" fontId="0" fillId="8" borderId="5" xfId="0" applyNumberFormat="1" applyFill="1" applyBorder="1"/>
    <xf numFmtId="164" fontId="0" fillId="8" borderId="0" xfId="0" applyNumberFormat="1" applyFill="1" applyBorder="1"/>
    <xf numFmtId="164" fontId="0" fillId="8" borderId="6" xfId="0" applyNumberFormat="1" applyFill="1" applyBorder="1"/>
    <xf numFmtId="2" fontId="4" fillId="8" borderId="5" xfId="0" applyNumberFormat="1" applyFont="1" applyFill="1" applyBorder="1"/>
    <xf numFmtId="0" fontId="4" fillId="8" borderId="0" xfId="0" applyFont="1" applyFill="1" applyBorder="1"/>
    <xf numFmtId="2" fontId="4" fillId="8" borderId="6" xfId="0" applyNumberFormat="1" applyFont="1" applyFill="1" applyBorder="1"/>
    <xf numFmtId="164" fontId="0" fillId="8" borderId="8" xfId="0" applyNumberFormat="1" applyFill="1" applyBorder="1"/>
    <xf numFmtId="164" fontId="0" fillId="8" borderId="9" xfId="0" applyNumberFormat="1" applyFill="1" applyBorder="1"/>
    <xf numFmtId="0" fontId="0" fillId="7" borderId="5" xfId="0" applyFill="1" applyBorder="1"/>
    <xf numFmtId="0" fontId="0" fillId="7" borderId="0" xfId="0" applyFill="1" applyBorder="1"/>
    <xf numFmtId="166" fontId="0" fillId="7" borderId="0" xfId="0" applyNumberFormat="1" applyFill="1" applyBorder="1"/>
    <xf numFmtId="2" fontId="4" fillId="8" borderId="0" xfId="0" applyNumberFormat="1" applyFont="1" applyFill="1" applyBorder="1"/>
    <xf numFmtId="0" fontId="0" fillId="0" borderId="8" xfId="0" applyBorder="1"/>
    <xf numFmtId="0" fontId="4" fillId="7" borderId="0" xfId="0" applyFont="1" applyFill="1" applyBorder="1"/>
    <xf numFmtId="0" fontId="0" fillId="9" borderId="0" xfId="0" applyFill="1"/>
    <xf numFmtId="0" fontId="4" fillId="9" borderId="0" xfId="0" applyFont="1" applyFill="1"/>
    <xf numFmtId="0" fontId="1" fillId="4" borderId="5" xfId="5" applyBorder="1"/>
    <xf numFmtId="0" fontId="1" fillId="4" borderId="0" xfId="5" applyBorder="1"/>
    <xf numFmtId="0" fontId="1" fillId="4" borderId="6" xfId="5" applyBorder="1"/>
    <xf numFmtId="0" fontId="4" fillId="4" borderId="0" xfId="5" applyFont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164" fontId="0" fillId="9" borderId="0" xfId="0" applyNumberFormat="1" applyFill="1" applyBorder="1"/>
    <xf numFmtId="2" fontId="0" fillId="9" borderId="6" xfId="0" applyNumberFormat="1" applyFill="1" applyBorder="1"/>
    <xf numFmtId="0" fontId="0" fillId="9" borderId="7" xfId="0" applyFill="1" applyBorder="1"/>
    <xf numFmtId="0" fontId="0" fillId="9" borderId="8" xfId="0" applyFill="1" applyBorder="1"/>
    <xf numFmtId="164" fontId="4" fillId="9" borderId="8" xfId="0" applyNumberFormat="1" applyFont="1" applyFill="1" applyBorder="1"/>
    <xf numFmtId="167" fontId="0" fillId="5" borderId="0" xfId="0" applyNumberFormat="1" applyFill="1" applyBorder="1"/>
    <xf numFmtId="0" fontId="4" fillId="10" borderId="5" xfId="4" applyFont="1" applyFill="1" applyBorder="1"/>
    <xf numFmtId="0" fontId="4" fillId="10" borderId="0" xfId="4" applyFont="1" applyFill="1" applyBorder="1"/>
    <xf numFmtId="0" fontId="4" fillId="10" borderId="6" xfId="4" applyFont="1" applyFill="1" applyBorder="1"/>
    <xf numFmtId="0" fontId="1" fillId="10" borderId="5" xfId="4" applyFill="1" applyBorder="1"/>
    <xf numFmtId="2" fontId="1" fillId="10" borderId="0" xfId="3" applyNumberFormat="1" applyFill="1" applyBorder="1"/>
    <xf numFmtId="165" fontId="1" fillId="10" borderId="0" xfId="4" applyNumberFormat="1" applyFill="1" applyBorder="1"/>
    <xf numFmtId="2" fontId="1" fillId="10" borderId="0" xfId="4" applyNumberFormat="1" applyFill="1" applyBorder="1"/>
    <xf numFmtId="0" fontId="1" fillId="10" borderId="6" xfId="4" applyFill="1" applyBorder="1"/>
    <xf numFmtId="0" fontId="0" fillId="10" borderId="5" xfId="4" applyFont="1" applyFill="1" applyBorder="1"/>
    <xf numFmtId="2" fontId="4" fillId="10" borderId="0" xfId="4" applyNumberFormat="1" applyFont="1" applyFill="1" applyBorder="1"/>
    <xf numFmtId="164" fontId="0" fillId="9" borderId="9" xfId="0" applyNumberFormat="1" applyFill="1" applyBorder="1"/>
    <xf numFmtId="168" fontId="4" fillId="6" borderId="8" xfId="0" applyNumberFormat="1" applyFont="1" applyFill="1" applyBorder="1"/>
    <xf numFmtId="169" fontId="4" fillId="6" borderId="8" xfId="0" applyNumberFormat="1" applyFont="1" applyFill="1" applyBorder="1"/>
    <xf numFmtId="0" fontId="3" fillId="0" borderId="2" xfId="2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4" borderId="5" xfId="5" applyFont="1" applyBorder="1" applyAlignment="1">
      <alignment horizontal="center"/>
    </xf>
    <xf numFmtId="0" fontId="4" fillId="4" borderId="0" xfId="5" applyFont="1" applyBorder="1" applyAlignment="1">
      <alignment horizontal="center"/>
    </xf>
    <xf numFmtId="0" fontId="4" fillId="4" borderId="6" xfId="5" applyFont="1" applyBorder="1" applyAlignment="1">
      <alignment horizontal="center"/>
    </xf>
    <xf numFmtId="0" fontId="3" fillId="0" borderId="2" xfId="2" applyFill="1" applyAlignment="1">
      <alignment horizontal="center"/>
    </xf>
    <xf numFmtId="0" fontId="2" fillId="0" borderId="1" xfId="1" applyAlignment="1">
      <alignment horizontal="center"/>
    </xf>
    <xf numFmtId="0" fontId="4" fillId="10" borderId="5" xfId="4" applyFont="1" applyFill="1" applyBorder="1" applyAlignment="1">
      <alignment horizontal="center"/>
    </xf>
    <xf numFmtId="0" fontId="4" fillId="10" borderId="0" xfId="4" applyFont="1" applyFill="1" applyBorder="1" applyAlignment="1">
      <alignment horizontal="center"/>
    </xf>
    <xf numFmtId="0" fontId="4" fillId="10" borderId="6" xfId="4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65" fontId="0" fillId="5" borderId="0" xfId="0" applyNumberFormat="1" applyFill="1" applyBorder="1"/>
    <xf numFmtId="165" fontId="0" fillId="6" borderId="0" xfId="0" applyNumberFormat="1" applyFill="1" applyBorder="1"/>
    <xf numFmtId="164" fontId="4" fillId="9" borderId="9" xfId="0" applyNumberFormat="1" applyFont="1" applyFill="1" applyBorder="1"/>
    <xf numFmtId="0" fontId="4" fillId="5" borderId="10" xfId="0" applyFont="1" applyFill="1" applyBorder="1"/>
    <xf numFmtId="167" fontId="0" fillId="5" borderId="11" xfId="0" applyNumberFormat="1" applyFill="1" applyBorder="1"/>
    <xf numFmtId="2" fontId="0" fillId="5" borderId="11" xfId="0" applyNumberFormat="1" applyFill="1" applyBorder="1"/>
    <xf numFmtId="2" fontId="0" fillId="5" borderId="12" xfId="0" applyNumberFormat="1" applyFill="1" applyBorder="1"/>
    <xf numFmtId="0" fontId="0" fillId="5" borderId="13" xfId="0" applyFill="1" applyBorder="1"/>
    <xf numFmtId="167" fontId="0" fillId="5" borderId="14" xfId="0" applyNumberFormat="1" applyFill="1" applyBorder="1"/>
    <xf numFmtId="2" fontId="0" fillId="5" borderId="14" xfId="0" applyNumberForma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2" fontId="0" fillId="5" borderId="17" xfId="0" applyNumberFormat="1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1" xfId="0" applyFill="1" applyBorder="1"/>
    <xf numFmtId="2" fontId="0" fillId="5" borderId="19" xfId="0" applyNumberFormat="1" applyFill="1" applyBorder="1"/>
    <xf numFmtId="165" fontId="0" fillId="0" borderId="0" xfId="0" applyNumberFormat="1"/>
  </cellXfs>
  <cellStyles count="6">
    <cellStyle name="20% - Accent1" xfId="3" builtinId="30"/>
    <cellStyle name="20% - Accent3" xfId="4" builtinId="38"/>
    <cellStyle name="20% - Accent4" xfId="5" builtinId="42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44509</xdr:colOff>
      <xdr:row>8</xdr:row>
      <xdr:rowOff>151333</xdr:rowOff>
    </xdr:from>
    <xdr:to>
      <xdr:col>18</xdr:col>
      <xdr:colOff>391683</xdr:colOff>
      <xdr:row>27</xdr:row>
      <xdr:rowOff>133528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38A0CD-DCFE-455E-AD2A-9F2549390B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8" t="2856" r="59587" b="21579"/>
        <a:stretch/>
      </xdr:blipFill>
      <xdr:spPr>
        <a:xfrm>
          <a:off x="9872173" y="1833786"/>
          <a:ext cx="3961332" cy="3534041"/>
        </a:xfrm>
        <a:prstGeom prst="rect">
          <a:avLst/>
        </a:prstGeom>
      </xdr:spPr>
    </xdr:pic>
    <xdr:clientData/>
  </xdr:twoCellAnchor>
  <xdr:twoCellAnchor editAs="oneCell">
    <xdr:from>
      <xdr:col>11</xdr:col>
      <xdr:colOff>106822</xdr:colOff>
      <xdr:row>30</xdr:row>
      <xdr:rowOff>106823</xdr:rowOff>
    </xdr:from>
    <xdr:to>
      <xdr:col>20</xdr:col>
      <xdr:colOff>471886</xdr:colOff>
      <xdr:row>55</xdr:row>
      <xdr:rowOff>83411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A98B3D-5D9F-40A7-A02B-AA741621E3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66"/>
        <a:stretch/>
      </xdr:blipFill>
      <xdr:spPr>
        <a:xfrm>
          <a:off x="9329158" y="5901940"/>
          <a:ext cx="579520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44509</xdr:colOff>
      <xdr:row>8</xdr:row>
      <xdr:rowOff>151333</xdr:rowOff>
    </xdr:from>
    <xdr:to>
      <xdr:col>18</xdr:col>
      <xdr:colOff>391682</xdr:colOff>
      <xdr:row>27</xdr:row>
      <xdr:rowOff>133528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77D92-D3C4-4847-B484-EE8F73A411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8" t="2856" r="59587" b="21579"/>
        <a:stretch/>
      </xdr:blipFill>
      <xdr:spPr>
        <a:xfrm>
          <a:off x="9874309" y="1846783"/>
          <a:ext cx="3985724" cy="3601695"/>
        </a:xfrm>
        <a:prstGeom prst="rect">
          <a:avLst/>
        </a:prstGeom>
      </xdr:spPr>
    </xdr:pic>
    <xdr:clientData/>
  </xdr:twoCellAnchor>
  <xdr:twoCellAnchor editAs="oneCell">
    <xdr:from>
      <xdr:col>11</xdr:col>
      <xdr:colOff>106822</xdr:colOff>
      <xdr:row>31</xdr:row>
      <xdr:rowOff>106823</xdr:rowOff>
    </xdr:from>
    <xdr:to>
      <xdr:col>20</xdr:col>
      <xdr:colOff>471887</xdr:colOff>
      <xdr:row>56</xdr:row>
      <xdr:rowOff>83411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98BA8E-AFC3-4F89-9B1E-BE83CDFF52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66"/>
        <a:stretch/>
      </xdr:blipFill>
      <xdr:spPr>
        <a:xfrm>
          <a:off x="9327022" y="5993273"/>
          <a:ext cx="5832414" cy="4767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999A-527C-447A-83FD-44A4484D9699}">
  <dimension ref="A1:R68"/>
  <sheetViews>
    <sheetView zoomScale="107" zoomScaleNormal="130" workbookViewId="0">
      <pane xSplit="2" topLeftCell="C1" activePane="topRight" state="frozen"/>
      <selection activeCell="A2" sqref="A2"/>
      <selection pane="topRight" activeCell="C5" sqref="C5:F5"/>
    </sheetView>
  </sheetViews>
  <sheetFormatPr defaultRowHeight="15" x14ac:dyDescent="0.25"/>
  <cols>
    <col min="1" max="1" width="2.7109375" customWidth="1"/>
    <col min="2" max="2" width="11.42578125" customWidth="1"/>
    <col min="3" max="3" width="14.5703125" customWidth="1"/>
    <col min="4" max="5" width="19.5703125" customWidth="1"/>
    <col min="6" max="6" width="20.140625" customWidth="1"/>
    <col min="7" max="7" width="11.140625" customWidth="1"/>
    <col min="8" max="8" width="3.85546875" customWidth="1"/>
    <col min="9" max="9" width="11.85546875" customWidth="1"/>
    <col min="10" max="10" width="10.7109375" customWidth="1"/>
    <col min="11" max="11" width="12.7109375" customWidth="1"/>
    <col min="14" max="14" width="8.85546875" customWidth="1"/>
  </cols>
  <sheetData>
    <row r="1" spans="1:16" ht="20.25" thickBot="1" x14ac:dyDescent="0.35"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</row>
    <row r="2" spans="1:16" ht="15.75" thickTop="1" x14ac:dyDescent="0.25">
      <c r="A2" s="1"/>
    </row>
    <row r="3" spans="1:16" ht="18" thickBot="1" x14ac:dyDescent="0.35">
      <c r="A3" s="1"/>
      <c r="B3" s="88" t="s">
        <v>34</v>
      </c>
      <c r="C3" s="88"/>
      <c r="D3" s="88"/>
      <c r="E3" s="88"/>
      <c r="F3" s="88"/>
      <c r="G3" s="88"/>
      <c r="H3" s="88"/>
      <c r="I3" s="88"/>
      <c r="J3" s="88"/>
      <c r="K3" s="88"/>
    </row>
    <row r="4" spans="1:16" ht="15.75" thickTop="1" x14ac:dyDescent="0.25">
      <c r="A4" s="1"/>
      <c r="B4" s="47"/>
      <c r="C4" s="48" t="s">
        <v>17</v>
      </c>
      <c r="D4" s="48" t="s">
        <v>18</v>
      </c>
      <c r="E4" s="48" t="s">
        <v>19</v>
      </c>
      <c r="F4" s="48" t="s">
        <v>54</v>
      </c>
      <c r="G4" s="47"/>
      <c r="H4" s="47"/>
      <c r="I4" s="47"/>
      <c r="J4" s="47"/>
      <c r="K4" s="47"/>
    </row>
    <row r="5" spans="1:16" x14ac:dyDescent="0.25">
      <c r="B5" s="47"/>
      <c r="C5" s="47">
        <f>D68</f>
        <v>3.9623700578018686E-2</v>
      </c>
      <c r="D5" s="47">
        <f t="shared" ref="D5:F5" si="0">E68</f>
        <v>3.9623700578018686E-2</v>
      </c>
      <c r="E5" s="47">
        <f t="shared" si="0"/>
        <v>6.8851811066666657E-2</v>
      </c>
      <c r="F5" s="47">
        <f t="shared" si="0"/>
        <v>3.3741774999999918E-4</v>
      </c>
      <c r="G5" s="47"/>
      <c r="H5" s="47"/>
      <c r="I5" s="47"/>
      <c r="J5" s="47"/>
      <c r="K5" s="47"/>
    </row>
    <row r="7" spans="1:16" ht="18" thickBot="1" x14ac:dyDescent="0.35">
      <c r="B7" s="75" t="s">
        <v>44</v>
      </c>
      <c r="C7" s="75"/>
      <c r="D7" s="75"/>
      <c r="E7" s="75"/>
      <c r="F7" s="75"/>
      <c r="G7" s="75"/>
      <c r="I7" s="75" t="s">
        <v>63</v>
      </c>
      <c r="J7" s="75"/>
      <c r="K7" s="75"/>
    </row>
    <row r="8" spans="1:16" ht="15.75" thickTop="1" x14ac:dyDescent="0.25">
      <c r="B8" s="6"/>
      <c r="C8" s="7"/>
      <c r="D8" s="7"/>
      <c r="E8" s="7"/>
      <c r="F8" s="7"/>
      <c r="G8" s="8"/>
      <c r="I8" s="6"/>
      <c r="J8" s="7"/>
      <c r="K8" s="8"/>
    </row>
    <row r="9" spans="1:16" x14ac:dyDescent="0.25">
      <c r="B9" s="76" t="s">
        <v>11</v>
      </c>
      <c r="C9" s="77"/>
      <c r="D9" s="77"/>
      <c r="E9" s="77"/>
      <c r="F9" s="77"/>
      <c r="G9" s="78"/>
      <c r="I9" s="98" t="s">
        <v>16</v>
      </c>
      <c r="J9" s="99"/>
      <c r="K9" s="100"/>
      <c r="M9" s="95"/>
      <c r="N9" s="95"/>
      <c r="O9" s="95"/>
    </row>
    <row r="10" spans="1:16" x14ac:dyDescent="0.25">
      <c r="B10" s="9"/>
      <c r="C10" s="10" t="s">
        <v>9</v>
      </c>
      <c r="D10" s="10" t="s">
        <v>15</v>
      </c>
      <c r="E10" s="10" t="s">
        <v>14</v>
      </c>
      <c r="F10" s="10" t="s">
        <v>22</v>
      </c>
      <c r="G10" s="11" t="s">
        <v>13</v>
      </c>
      <c r="I10" s="30" t="s">
        <v>17</v>
      </c>
      <c r="J10" s="31" t="s">
        <v>18</v>
      </c>
      <c r="K10" s="32" t="s">
        <v>19</v>
      </c>
    </row>
    <row r="11" spans="1:16" x14ac:dyDescent="0.25">
      <c r="B11" s="9" t="s">
        <v>20</v>
      </c>
      <c r="C11" s="101">
        <v>0.83399999999999996</v>
      </c>
      <c r="D11" s="12">
        <v>0.23</v>
      </c>
      <c r="E11" s="12">
        <v>0.23</v>
      </c>
      <c r="F11" s="12">
        <v>0.02</v>
      </c>
      <c r="G11" s="13" t="s">
        <v>12</v>
      </c>
      <c r="I11" s="33">
        <f>1/12*C11*(D11*D11+F11*F11)</f>
        <v>3.7043499999999995E-3</v>
      </c>
      <c r="J11" s="34">
        <f>1/12*C11*(D11*D11+F11*F11)</f>
        <v>3.7043499999999995E-3</v>
      </c>
      <c r="K11" s="35">
        <f>1/12*C11*(D11*D11+E11*E11)</f>
        <v>7.3530999999999996E-3</v>
      </c>
      <c r="L11" s="4"/>
      <c r="P11" s="1"/>
    </row>
    <row r="12" spans="1:16" x14ac:dyDescent="0.25">
      <c r="B12" s="9" t="s">
        <v>73</v>
      </c>
      <c r="C12" s="101">
        <v>0.69</v>
      </c>
      <c r="D12" s="12">
        <v>0.159</v>
      </c>
      <c r="E12" s="12">
        <v>4.5999999999999999E-2</v>
      </c>
      <c r="F12" s="12">
        <v>4.3999999999999997E-2</v>
      </c>
      <c r="G12" s="13" t="s">
        <v>12</v>
      </c>
      <c r="I12" s="33">
        <f>1/12*C12*(D12*D12+F12*F12)</f>
        <v>1.5649774999999999E-3</v>
      </c>
      <c r="J12" s="34">
        <f>1/12*C12*(E12*E12+F12*F12)</f>
        <v>2.3298999999999998E-4</v>
      </c>
      <c r="K12" s="35">
        <f>1/12*C12*(E12*E12+D12*D12)</f>
        <v>1.5753275E-3</v>
      </c>
      <c r="L12" s="4"/>
      <c r="P12" s="1"/>
    </row>
    <row r="13" spans="1:16" x14ac:dyDescent="0.25">
      <c r="B13" s="9" t="s">
        <v>82</v>
      </c>
      <c r="C13" s="101">
        <v>5.0299999999999997E-2</v>
      </c>
      <c r="D13" s="12">
        <v>0.23799999999999999</v>
      </c>
      <c r="E13" s="12">
        <v>1.4999999999999999E-2</v>
      </c>
      <c r="F13" s="14">
        <v>1.4999999999999999E-2</v>
      </c>
      <c r="G13" s="15" t="s">
        <v>12</v>
      </c>
      <c r="I13" s="33">
        <f>1/12*C13*(F13*F13+E13*E13)</f>
        <v>1.8862499999999999E-6</v>
      </c>
      <c r="J13" s="34">
        <f>1/12*C13*(D13*D13+F13*F13)</f>
        <v>2.3837589166666664E-4</v>
      </c>
      <c r="K13" s="35">
        <f>1/12*C13*(D13*D13+E13*E13)</f>
        <v>2.3837589166666664E-4</v>
      </c>
      <c r="L13" s="4"/>
      <c r="P13" s="1"/>
    </row>
    <row r="14" spans="1:16" x14ac:dyDescent="0.25">
      <c r="B14" s="9" t="s">
        <v>83</v>
      </c>
      <c r="C14" s="101">
        <v>5.0299999999999997E-2</v>
      </c>
      <c r="D14" s="12">
        <v>1.4999999999999999E-2</v>
      </c>
      <c r="E14" s="12">
        <v>0.23799999999999999</v>
      </c>
      <c r="F14" s="14">
        <v>1.4999999999999999E-2</v>
      </c>
      <c r="G14" s="15" t="s">
        <v>12</v>
      </c>
      <c r="I14" s="33">
        <f t="shared" ref="I14:I16" si="1">1/12*C14*(F14*F14+E14*E14)</f>
        <v>2.3837589166666664E-4</v>
      </c>
      <c r="J14" s="34">
        <f t="shared" ref="J14:J16" si="2">1/12*C14*(D14*D14+F14*F14)</f>
        <v>1.8862499999999999E-6</v>
      </c>
      <c r="K14" s="35">
        <f t="shared" ref="K14:K16" si="3">1/12*C14*(D14*D14+E14*E14)</f>
        <v>2.3837589166666664E-4</v>
      </c>
      <c r="L14" s="4"/>
      <c r="M14" s="1"/>
      <c r="P14" s="1"/>
    </row>
    <row r="15" spans="1:16" x14ac:dyDescent="0.25">
      <c r="B15" s="9" t="s">
        <v>84</v>
      </c>
      <c r="C15" s="101">
        <v>5.0299999999999997E-2</v>
      </c>
      <c r="D15" s="12">
        <v>0.23799999999999999</v>
      </c>
      <c r="E15" s="12">
        <v>1.4999999999999999E-2</v>
      </c>
      <c r="F15" s="14">
        <v>1.4999999999999999E-2</v>
      </c>
      <c r="G15" s="15" t="s">
        <v>12</v>
      </c>
      <c r="I15" s="33">
        <f t="shared" si="1"/>
        <v>1.8862499999999999E-6</v>
      </c>
      <c r="J15" s="34">
        <f t="shared" si="2"/>
        <v>2.3837589166666664E-4</v>
      </c>
      <c r="K15" s="35">
        <f t="shared" si="3"/>
        <v>2.3837589166666664E-4</v>
      </c>
      <c r="L15" s="4"/>
      <c r="P15" s="1"/>
    </row>
    <row r="16" spans="1:16" x14ac:dyDescent="0.25">
      <c r="B16" s="9" t="s">
        <v>85</v>
      </c>
      <c r="C16" s="101">
        <v>5.0299999999999997E-2</v>
      </c>
      <c r="D16" s="12">
        <v>1.4999999999999999E-2</v>
      </c>
      <c r="E16" s="12">
        <v>0.23799999999999999</v>
      </c>
      <c r="F16" s="14">
        <v>1.4999999999999999E-2</v>
      </c>
      <c r="G16" s="15" t="s">
        <v>12</v>
      </c>
      <c r="I16" s="33">
        <f t="shared" si="1"/>
        <v>2.3837589166666664E-4</v>
      </c>
      <c r="J16" s="34">
        <f t="shared" si="2"/>
        <v>1.8862499999999999E-6</v>
      </c>
      <c r="K16" s="35">
        <f t="shared" si="3"/>
        <v>2.3837589166666664E-4</v>
      </c>
      <c r="L16" s="4"/>
      <c r="P16" s="1"/>
    </row>
    <row r="17" spans="2:18" x14ac:dyDescent="0.25">
      <c r="B17" s="9" t="s">
        <v>5</v>
      </c>
      <c r="C17" s="101">
        <v>0.13600000000000001</v>
      </c>
      <c r="D17" s="12" t="s">
        <v>12</v>
      </c>
      <c r="E17" s="12" t="s">
        <v>12</v>
      </c>
      <c r="F17" s="14">
        <f>0.039+0.015+0.205</f>
        <v>0.25900000000000001</v>
      </c>
      <c r="G17" s="13">
        <v>4.2000000000000003E-2</v>
      </c>
      <c r="I17" s="33">
        <f>1/4*C17*G17*G17+1/12*C17*F17*F17</f>
        <v>8.2022733333333346E-4</v>
      </c>
      <c r="J17" s="34">
        <f>1/4*C17*G17*G17+1/12*C17*F17*F17</f>
        <v>8.2022733333333346E-4</v>
      </c>
      <c r="K17" s="35">
        <f>1/2*C17*G17*G17</f>
        <v>1.1995200000000003E-4</v>
      </c>
      <c r="L17" s="4"/>
    </row>
    <row r="18" spans="2:18" x14ac:dyDescent="0.25">
      <c r="B18" s="9" t="s">
        <v>6</v>
      </c>
      <c r="C18" s="101">
        <v>0.13600000000000001</v>
      </c>
      <c r="D18" s="12" t="s">
        <v>12</v>
      </c>
      <c r="E18" s="12" t="s">
        <v>12</v>
      </c>
      <c r="F18" s="14">
        <f t="shared" ref="F18:F20" si="4">0.039+0.015+0.205</f>
        <v>0.25900000000000001</v>
      </c>
      <c r="G18" s="13">
        <v>4.2000000000000003E-2</v>
      </c>
      <c r="I18" s="33">
        <f t="shared" ref="I18:I20" si="5">1/4*C18*G18*G18+1/12*C18*F18*F18</f>
        <v>8.2022733333333346E-4</v>
      </c>
      <c r="J18" s="34">
        <f t="shared" ref="J18:J20" si="6">1/4*C18*G18*G18+1/12*C18*F18*F18</f>
        <v>8.2022733333333346E-4</v>
      </c>
      <c r="K18" s="35">
        <f t="shared" ref="K18:K20" si="7">1/2*C18*G18*G18</f>
        <v>1.1995200000000003E-4</v>
      </c>
      <c r="L18" s="4"/>
      <c r="R18" t="s">
        <v>25</v>
      </c>
    </row>
    <row r="19" spans="2:18" x14ac:dyDescent="0.25">
      <c r="B19" s="9" t="s">
        <v>7</v>
      </c>
      <c r="C19" s="101">
        <v>0.13600000000000001</v>
      </c>
      <c r="D19" s="12" t="s">
        <v>12</v>
      </c>
      <c r="E19" s="12" t="s">
        <v>12</v>
      </c>
      <c r="F19" s="14">
        <f t="shared" si="4"/>
        <v>0.25900000000000001</v>
      </c>
      <c r="G19" s="13">
        <v>4.2000000000000003E-2</v>
      </c>
      <c r="I19" s="33">
        <f t="shared" si="5"/>
        <v>8.2022733333333346E-4</v>
      </c>
      <c r="J19" s="34">
        <f t="shared" si="6"/>
        <v>8.2022733333333346E-4</v>
      </c>
      <c r="K19" s="35">
        <f t="shared" si="7"/>
        <v>1.1995200000000003E-4</v>
      </c>
      <c r="L19" s="4"/>
      <c r="Q19" t="s">
        <v>24</v>
      </c>
    </row>
    <row r="20" spans="2:18" x14ac:dyDescent="0.25">
      <c r="B20" s="9" t="s">
        <v>8</v>
      </c>
      <c r="C20" s="101">
        <v>0.13600000000000001</v>
      </c>
      <c r="D20" s="12" t="s">
        <v>12</v>
      </c>
      <c r="E20" s="12" t="s">
        <v>12</v>
      </c>
      <c r="F20" s="14">
        <f t="shared" si="4"/>
        <v>0.25900000000000001</v>
      </c>
      <c r="G20" s="13">
        <v>4.2000000000000003E-2</v>
      </c>
      <c r="I20" s="33">
        <f t="shared" si="5"/>
        <v>8.2022733333333346E-4</v>
      </c>
      <c r="J20" s="34">
        <f t="shared" si="6"/>
        <v>8.2022733333333346E-4</v>
      </c>
      <c r="K20" s="35">
        <f t="shared" si="7"/>
        <v>1.1995200000000003E-4</v>
      </c>
      <c r="L20" s="4"/>
    </row>
    <row r="21" spans="2:18" x14ac:dyDescent="0.25">
      <c r="B21" s="16" t="s">
        <v>10</v>
      </c>
      <c r="C21" s="12">
        <f>SUM(C11:C20)</f>
        <v>2.2692000000000005</v>
      </c>
      <c r="D21" s="12" t="s">
        <v>12</v>
      </c>
      <c r="E21" s="12" t="s">
        <v>12</v>
      </c>
      <c r="F21" s="12" t="s">
        <v>12</v>
      </c>
      <c r="G21" s="13" t="s">
        <v>12</v>
      </c>
      <c r="H21" s="2"/>
      <c r="I21" s="33" t="s">
        <v>12</v>
      </c>
      <c r="J21" s="34" t="s">
        <v>12</v>
      </c>
      <c r="K21" s="35" t="s">
        <v>12</v>
      </c>
      <c r="L21" s="4"/>
    </row>
    <row r="22" spans="2:18" x14ac:dyDescent="0.25">
      <c r="B22" s="6"/>
      <c r="C22" s="7"/>
      <c r="D22" s="7"/>
      <c r="E22" s="7"/>
      <c r="F22" s="7"/>
      <c r="G22" s="8"/>
      <c r="I22" s="6"/>
      <c r="J22" s="7"/>
      <c r="K22" s="8"/>
      <c r="N22" s="3" t="s">
        <v>28</v>
      </c>
      <c r="P22" t="s">
        <v>26</v>
      </c>
    </row>
    <row r="23" spans="2:18" x14ac:dyDescent="0.25">
      <c r="B23" s="6"/>
      <c r="C23" s="7"/>
      <c r="D23" s="7"/>
      <c r="E23" s="7"/>
      <c r="F23" s="7"/>
      <c r="G23" s="8"/>
      <c r="I23" s="6"/>
      <c r="J23" s="7"/>
      <c r="K23" s="8"/>
      <c r="N23" t="s">
        <v>29</v>
      </c>
      <c r="Q23" s="3" t="s">
        <v>27</v>
      </c>
    </row>
    <row r="24" spans="2:18" x14ac:dyDescent="0.25">
      <c r="B24" s="79" t="s">
        <v>21</v>
      </c>
      <c r="C24" s="80"/>
      <c r="D24" s="80"/>
      <c r="E24" s="80"/>
      <c r="F24" s="80"/>
      <c r="G24" s="81"/>
      <c r="I24" s="98" t="s">
        <v>41</v>
      </c>
      <c r="J24" s="99"/>
      <c r="K24" s="100"/>
    </row>
    <row r="25" spans="2:18" x14ac:dyDescent="0.25">
      <c r="B25" s="17" t="s">
        <v>35</v>
      </c>
      <c r="C25" s="18" t="s">
        <v>30</v>
      </c>
      <c r="D25" s="18" t="s">
        <v>31</v>
      </c>
      <c r="E25" s="18" t="s">
        <v>32</v>
      </c>
      <c r="F25" s="18" t="s">
        <v>33</v>
      </c>
      <c r="G25" s="19" t="s">
        <v>36</v>
      </c>
      <c r="I25" s="33"/>
      <c r="J25" s="34"/>
      <c r="K25" s="35"/>
    </row>
    <row r="26" spans="2:18" x14ac:dyDescent="0.25">
      <c r="B26" s="20"/>
      <c r="C26" s="21" t="s">
        <v>9</v>
      </c>
      <c r="D26" s="22" t="s">
        <v>37</v>
      </c>
      <c r="E26" s="22" t="s">
        <v>38</v>
      </c>
      <c r="F26" s="21" t="s">
        <v>39</v>
      </c>
      <c r="G26" s="23"/>
      <c r="I26" s="36" t="s">
        <v>45</v>
      </c>
      <c r="J26" s="37" t="s">
        <v>18</v>
      </c>
      <c r="K26" s="38" t="s">
        <v>19</v>
      </c>
    </row>
    <row r="27" spans="2:18" x14ac:dyDescent="0.25">
      <c r="B27" s="20" t="s">
        <v>20</v>
      </c>
      <c r="C27" s="102">
        <v>0.83399999999999996</v>
      </c>
      <c r="D27" s="24">
        <v>0</v>
      </c>
      <c r="E27" s="24">
        <v>0</v>
      </c>
      <c r="F27" s="24">
        <v>0.04</v>
      </c>
      <c r="G27" s="25"/>
      <c r="H27" s="2"/>
      <c r="I27" s="33">
        <f>C27*(($E$42-E27)^2 + ($F$42-F27)^2)</f>
        <v>6.5344256007587176E-5</v>
      </c>
      <c r="J27" s="34">
        <f t="shared" ref="J27:J36" si="8">C27*(($D$42-D27)^2+($F$42-F27)^2)</f>
        <v>6.5344256007587176E-5</v>
      </c>
      <c r="K27" s="35">
        <f t="shared" ref="K27:K36" si="9">C27*(($D$42-D27)^2+($E$42-E27)^2)</f>
        <v>0</v>
      </c>
    </row>
    <row r="28" spans="2:18" x14ac:dyDescent="0.25">
      <c r="B28" s="20" t="s">
        <v>73</v>
      </c>
      <c r="C28" s="102">
        <v>0.69</v>
      </c>
      <c r="D28" s="24">
        <v>0</v>
      </c>
      <c r="E28" s="24">
        <v>0</v>
      </c>
      <c r="F28" s="24">
        <v>6.3E-2</v>
      </c>
      <c r="G28" s="25"/>
      <c r="H28" s="2"/>
      <c r="I28" s="33">
        <f t="shared" ref="I28:I36" si="10">C28*(($E$42-E28)^2 + ($F$42-F28)^2)</f>
        <v>7.0002086910237404E-4</v>
      </c>
      <c r="J28" s="34">
        <f t="shared" si="8"/>
        <v>7.0002086910237404E-4</v>
      </c>
      <c r="K28" s="35">
        <f t="shared" si="9"/>
        <v>0</v>
      </c>
    </row>
    <row r="29" spans="2:18" x14ac:dyDescent="0.25">
      <c r="B29" s="20" t="s">
        <v>82</v>
      </c>
      <c r="C29" s="102">
        <v>5.0299999999999997E-2</v>
      </c>
      <c r="D29" s="24">
        <v>0.21</v>
      </c>
      <c r="E29" s="24">
        <v>0</v>
      </c>
      <c r="F29" s="24">
        <v>0.01</v>
      </c>
      <c r="G29" s="25"/>
      <c r="H29" s="2"/>
      <c r="I29" s="33">
        <f t="shared" si="10"/>
        <v>2.2496965128236149E-5</v>
      </c>
      <c r="J29" s="34">
        <f t="shared" si="8"/>
        <v>2.2407269651282358E-3</v>
      </c>
      <c r="K29" s="35">
        <f t="shared" si="9"/>
        <v>2.2182299999999994E-3</v>
      </c>
    </row>
    <row r="30" spans="2:18" x14ac:dyDescent="0.25">
      <c r="B30" s="20" t="s">
        <v>83</v>
      </c>
      <c r="C30" s="102">
        <v>5.0299999999999997E-2</v>
      </c>
      <c r="D30" s="24">
        <v>0</v>
      </c>
      <c r="E30" s="24">
        <v>0.21</v>
      </c>
      <c r="F30" s="24">
        <v>0.01</v>
      </c>
      <c r="G30" s="25"/>
      <c r="H30" s="2"/>
      <c r="I30" s="33">
        <f t="shared" si="10"/>
        <v>2.2407269651282358E-3</v>
      </c>
      <c r="J30" s="34">
        <f t="shared" si="8"/>
        <v>2.2496965128236149E-5</v>
      </c>
      <c r="K30" s="35">
        <f t="shared" si="9"/>
        <v>2.2182299999999994E-3</v>
      </c>
      <c r="M30" t="s">
        <v>23</v>
      </c>
    </row>
    <row r="31" spans="2:18" x14ac:dyDescent="0.25">
      <c r="B31" s="20" t="s">
        <v>84</v>
      </c>
      <c r="C31" s="102">
        <v>5.0299999999999997E-2</v>
      </c>
      <c r="D31" s="24">
        <v>-0.21</v>
      </c>
      <c r="E31" s="24">
        <v>0</v>
      </c>
      <c r="F31" s="24">
        <v>0.01</v>
      </c>
      <c r="G31" s="25"/>
      <c r="H31" s="2"/>
      <c r="I31" s="33">
        <f t="shared" si="10"/>
        <v>2.2496965128236149E-5</v>
      </c>
      <c r="J31" s="34">
        <f t="shared" si="8"/>
        <v>2.2407269651282358E-3</v>
      </c>
      <c r="K31" s="35">
        <f t="shared" si="9"/>
        <v>2.2182299999999994E-3</v>
      </c>
    </row>
    <row r="32" spans="2:18" x14ac:dyDescent="0.25">
      <c r="B32" s="20" t="s">
        <v>85</v>
      </c>
      <c r="C32" s="102">
        <v>5.0299999999999997E-2</v>
      </c>
      <c r="D32" s="24">
        <v>0</v>
      </c>
      <c r="E32" s="24">
        <v>-0.21</v>
      </c>
      <c r="F32" s="24">
        <v>0.01</v>
      </c>
      <c r="G32" s="25"/>
      <c r="H32" s="2"/>
      <c r="I32" s="33">
        <f>C32*(($E$42-E32)^2 + ($F$42-F32)^2)</f>
        <v>2.2407269651282358E-3</v>
      </c>
      <c r="J32" s="34">
        <f t="shared" si="8"/>
        <v>2.2496965128236149E-5</v>
      </c>
      <c r="K32" s="35">
        <f t="shared" si="9"/>
        <v>2.2182299999999994E-3</v>
      </c>
    </row>
    <row r="33" spans="2:11" x14ac:dyDescent="0.25">
      <c r="B33" s="20" t="s">
        <v>5</v>
      </c>
      <c r="C33" s="102">
        <v>0.13600000000000001</v>
      </c>
      <c r="D33" s="24">
        <v>0.30399999999999999</v>
      </c>
      <c r="E33" s="24">
        <v>0</v>
      </c>
      <c r="F33" s="24">
        <v>-1.4999999999999999E-2</v>
      </c>
      <c r="G33" s="25"/>
      <c r="H33" s="2"/>
      <c r="I33" s="33">
        <f t="shared" si="10"/>
        <v>2.8963605643227814E-4</v>
      </c>
      <c r="J33" s="34">
        <f t="shared" si="8"/>
        <v>1.2858212056432278E-2</v>
      </c>
      <c r="K33" s="35">
        <f>C33*(($D$42-D33)^2+($E$42-E33)^2)</f>
        <v>1.2568576000000001E-2</v>
      </c>
    </row>
    <row r="34" spans="2:11" x14ac:dyDescent="0.25">
      <c r="B34" s="20" t="s">
        <v>6</v>
      </c>
      <c r="C34" s="102">
        <v>0.13600000000000001</v>
      </c>
      <c r="D34" s="24">
        <v>0</v>
      </c>
      <c r="E34" s="24">
        <v>0.3</v>
      </c>
      <c r="F34" s="24">
        <v>-1.4999999999999999E-2</v>
      </c>
      <c r="G34" s="25"/>
      <c r="H34" s="2"/>
      <c r="I34" s="33">
        <f t="shared" si="10"/>
        <v>1.2529636056432277E-2</v>
      </c>
      <c r="J34" s="34">
        <f t="shared" si="8"/>
        <v>2.8963605643227814E-4</v>
      </c>
      <c r="K34" s="35">
        <f t="shared" si="9"/>
        <v>1.2240000000000001E-2</v>
      </c>
    </row>
    <row r="35" spans="2:11" x14ac:dyDescent="0.25">
      <c r="B35" s="20" t="s">
        <v>7</v>
      </c>
      <c r="C35" s="102">
        <v>0.13600000000000001</v>
      </c>
      <c r="D35" s="24">
        <v>-0.30399999999999999</v>
      </c>
      <c r="E35" s="24">
        <v>0</v>
      </c>
      <c r="F35" s="24">
        <v>-1.4999999999999999E-2</v>
      </c>
      <c r="G35" s="25"/>
      <c r="H35" s="2"/>
      <c r="I35" s="33">
        <f t="shared" si="10"/>
        <v>2.8963605643227814E-4</v>
      </c>
      <c r="J35" s="34">
        <f t="shared" si="8"/>
        <v>1.2858212056432278E-2</v>
      </c>
      <c r="K35" s="35">
        <f t="shared" si="9"/>
        <v>1.2568576000000001E-2</v>
      </c>
    </row>
    <row r="36" spans="2:11" x14ac:dyDescent="0.25">
      <c r="B36" s="20" t="s">
        <v>8</v>
      </c>
      <c r="C36" s="102">
        <v>0.13600000000000001</v>
      </c>
      <c r="D36" s="24">
        <v>0</v>
      </c>
      <c r="E36" s="24">
        <v>-0.3</v>
      </c>
      <c r="F36" s="24">
        <v>-1.4999999999999999E-2</v>
      </c>
      <c r="G36" s="25"/>
      <c r="H36" s="2"/>
      <c r="I36" s="33">
        <f t="shared" si="10"/>
        <v>1.2529636056432277E-2</v>
      </c>
      <c r="J36" s="34">
        <f t="shared" si="8"/>
        <v>2.8963605643227814E-4</v>
      </c>
      <c r="K36" s="35">
        <f t="shared" si="9"/>
        <v>1.2240000000000001E-2</v>
      </c>
    </row>
    <row r="37" spans="2:11" ht="15.75" thickBot="1" x14ac:dyDescent="0.3">
      <c r="B37" s="26" t="s">
        <v>64</v>
      </c>
      <c r="C37" s="27">
        <f>SUM(C27:C36)</f>
        <v>2.2692000000000005</v>
      </c>
      <c r="D37" s="73">
        <f>SUMPRODUCT(C27:C36,D27:D36)</f>
        <v>0</v>
      </c>
      <c r="E37" s="74">
        <f>SUMPRODUCT(C27:C36,E27:E36)</f>
        <v>0</v>
      </c>
      <c r="F37" s="28">
        <f>SUMPRODUCT(C27:C36,F27:F36)</f>
        <v>7.0682000000000009E-2</v>
      </c>
      <c r="G37" s="29"/>
      <c r="H37" s="2"/>
      <c r="I37" s="33"/>
      <c r="J37" s="34"/>
      <c r="K37" s="35"/>
    </row>
    <row r="38" spans="2:11" ht="15.75" thickBot="1" x14ac:dyDescent="0.3">
      <c r="I38" s="6"/>
      <c r="J38" s="7"/>
      <c r="K38" s="8"/>
    </row>
    <row r="39" spans="2:11" ht="15.6" customHeight="1" x14ac:dyDescent="0.25">
      <c r="B39" s="96" t="s">
        <v>40</v>
      </c>
      <c r="C39" s="97"/>
      <c r="D39" s="97"/>
      <c r="E39" s="97"/>
      <c r="F39" s="97"/>
      <c r="G39" s="97"/>
      <c r="H39" s="5"/>
      <c r="I39" s="93" t="s">
        <v>43</v>
      </c>
      <c r="J39" s="93"/>
      <c r="K39" s="94"/>
    </row>
    <row r="40" spans="2:11" x14ac:dyDescent="0.25">
      <c r="B40" s="41"/>
      <c r="C40" s="42"/>
      <c r="D40" s="42"/>
      <c r="E40" s="42"/>
      <c r="F40" s="42"/>
      <c r="G40" s="42"/>
      <c r="H40" s="7"/>
      <c r="I40" s="34"/>
      <c r="J40" s="34"/>
      <c r="K40" s="35"/>
    </row>
    <row r="41" spans="2:11" x14ac:dyDescent="0.25">
      <c r="B41" s="41"/>
      <c r="C41" s="42"/>
      <c r="D41" s="46" t="s">
        <v>37</v>
      </c>
      <c r="E41" s="46" t="s">
        <v>38</v>
      </c>
      <c r="F41" s="46" t="s">
        <v>42</v>
      </c>
      <c r="G41" s="42"/>
      <c r="H41" s="7"/>
      <c r="I41" s="44" t="s">
        <v>17</v>
      </c>
      <c r="J41" s="37" t="s">
        <v>18</v>
      </c>
      <c r="K41" s="38" t="s">
        <v>19</v>
      </c>
    </row>
    <row r="42" spans="2:11" ht="15.75" thickBot="1" x14ac:dyDescent="0.3">
      <c r="B42" s="41"/>
      <c r="C42" s="42"/>
      <c r="D42" s="42">
        <f>D37/$C$37</f>
        <v>0</v>
      </c>
      <c r="E42" s="42">
        <f>E37/$C$37</f>
        <v>0</v>
      </c>
      <c r="F42" s="43">
        <f>F37/$C$37</f>
        <v>3.114842235148951E-2</v>
      </c>
      <c r="G42" s="42"/>
      <c r="H42" s="45"/>
      <c r="I42" s="39">
        <f>SUM(I11:I20,I27:I36)</f>
        <v>3.9961118328018685E-2</v>
      </c>
      <c r="J42" s="39">
        <f>SUM(J11:J20,J27:J36)</f>
        <v>3.9286282828018687E-2</v>
      </c>
      <c r="K42" s="40">
        <f>SUM(K11:K20,K27:K36)</f>
        <v>6.8851811066666657E-2</v>
      </c>
    </row>
    <row r="43" spans="2:11" x14ac:dyDescent="0.25">
      <c r="B43" s="6"/>
      <c r="C43" s="7"/>
      <c r="D43" s="7"/>
      <c r="E43" s="7"/>
      <c r="F43" s="7"/>
      <c r="G43" s="8"/>
    </row>
    <row r="44" spans="2:11" x14ac:dyDescent="0.25">
      <c r="B44" s="90" t="s">
        <v>48</v>
      </c>
      <c r="C44" s="91"/>
      <c r="D44" s="91"/>
      <c r="E44" s="91"/>
      <c r="F44" s="91"/>
      <c r="G44" s="92"/>
    </row>
    <row r="45" spans="2:11" x14ac:dyDescent="0.25">
      <c r="B45" s="62"/>
      <c r="C45" s="63" t="s">
        <v>49</v>
      </c>
      <c r="D45" s="63" t="s">
        <v>56</v>
      </c>
      <c r="E45" s="63" t="s">
        <v>51</v>
      </c>
      <c r="F45" s="63" t="s">
        <v>53</v>
      </c>
      <c r="G45" s="64" t="s">
        <v>55</v>
      </c>
    </row>
    <row r="46" spans="2:11" x14ac:dyDescent="0.25">
      <c r="B46" s="62"/>
      <c r="C46" s="63" t="s">
        <v>50</v>
      </c>
      <c r="D46" s="63" t="s">
        <v>57</v>
      </c>
      <c r="E46" s="63" t="s">
        <v>52</v>
      </c>
      <c r="F46" s="63" t="s">
        <v>54</v>
      </c>
      <c r="G46" s="64"/>
    </row>
    <row r="47" spans="2:11" x14ac:dyDescent="0.25">
      <c r="B47" s="65" t="s">
        <v>20</v>
      </c>
      <c r="C47" s="66">
        <v>0</v>
      </c>
      <c r="D47" s="67">
        <f>D11*E11</f>
        <v>5.2900000000000003E-2</v>
      </c>
      <c r="E47" s="67">
        <f>D47*D27*E27</f>
        <v>0</v>
      </c>
      <c r="F47" s="68">
        <f>C47+E47</f>
        <v>0</v>
      </c>
      <c r="G47" s="69" t="s">
        <v>58</v>
      </c>
    </row>
    <row r="48" spans="2:11" x14ac:dyDescent="0.25">
      <c r="B48" s="70" t="s">
        <v>73</v>
      </c>
      <c r="C48" s="66">
        <v>0</v>
      </c>
      <c r="D48" s="67">
        <f>D12*E12</f>
        <v>7.3140000000000002E-3</v>
      </c>
      <c r="E48" s="67">
        <f t="shared" ref="E48:E56" si="11">D48*D28*E28</f>
        <v>0</v>
      </c>
      <c r="F48" s="68">
        <f>C48+E48</f>
        <v>0</v>
      </c>
      <c r="G48" s="69"/>
    </row>
    <row r="49" spans="2:7" x14ac:dyDescent="0.25">
      <c r="B49" s="65" t="s">
        <v>1</v>
      </c>
      <c r="C49" s="66">
        <v>0</v>
      </c>
      <c r="D49" s="67">
        <f>D13*E13</f>
        <v>3.5699999999999998E-3</v>
      </c>
      <c r="E49" s="67">
        <f t="shared" si="11"/>
        <v>0</v>
      </c>
      <c r="F49" s="68">
        <f t="shared" ref="F49:F56" si="12">C49+E49</f>
        <v>0</v>
      </c>
      <c r="G49" s="69" t="s">
        <v>58</v>
      </c>
    </row>
    <row r="50" spans="2:7" x14ac:dyDescent="0.25">
      <c r="B50" s="65" t="s">
        <v>2</v>
      </c>
      <c r="C50" s="66">
        <v>0</v>
      </c>
      <c r="D50" s="67">
        <f t="shared" ref="D50:D52" si="13">D14*E14</f>
        <v>3.5699999999999998E-3</v>
      </c>
      <c r="E50" s="67">
        <f t="shared" si="11"/>
        <v>0</v>
      </c>
      <c r="F50" s="68">
        <f t="shared" si="12"/>
        <v>0</v>
      </c>
      <c r="G50" s="69" t="s">
        <v>58</v>
      </c>
    </row>
    <row r="51" spans="2:7" x14ac:dyDescent="0.25">
      <c r="B51" s="65" t="s">
        <v>3</v>
      </c>
      <c r="C51" s="66">
        <v>0</v>
      </c>
      <c r="D51" s="67">
        <f t="shared" si="13"/>
        <v>3.5699999999999998E-3</v>
      </c>
      <c r="E51" s="67">
        <f t="shared" si="11"/>
        <v>0</v>
      </c>
      <c r="F51" s="68">
        <f t="shared" si="12"/>
        <v>0</v>
      </c>
      <c r="G51" s="69" t="s">
        <v>58</v>
      </c>
    </row>
    <row r="52" spans="2:7" x14ac:dyDescent="0.25">
      <c r="B52" s="65" t="s">
        <v>4</v>
      </c>
      <c r="C52" s="66">
        <v>0</v>
      </c>
      <c r="D52" s="67">
        <f t="shared" si="13"/>
        <v>3.5699999999999998E-3</v>
      </c>
      <c r="E52" s="67">
        <f t="shared" si="11"/>
        <v>0</v>
      </c>
      <c r="F52" s="68">
        <f t="shared" si="12"/>
        <v>0</v>
      </c>
      <c r="G52" s="69" t="s">
        <v>58</v>
      </c>
    </row>
    <row r="53" spans="2:7" x14ac:dyDescent="0.25">
      <c r="B53" s="65" t="s">
        <v>5</v>
      </c>
      <c r="C53" s="66">
        <v>0</v>
      </c>
      <c r="D53" s="67">
        <f>PI()*G17^2</f>
        <v>5.5417694409323958E-3</v>
      </c>
      <c r="E53" s="67">
        <f t="shared" si="11"/>
        <v>0</v>
      </c>
      <c r="F53" s="68">
        <f t="shared" si="12"/>
        <v>0</v>
      </c>
      <c r="G53" s="69" t="s">
        <v>58</v>
      </c>
    </row>
    <row r="54" spans="2:7" x14ac:dyDescent="0.25">
      <c r="B54" s="65" t="s">
        <v>6</v>
      </c>
      <c r="C54" s="66">
        <v>0</v>
      </c>
      <c r="D54" s="67">
        <f>PI()*G18^2</f>
        <v>5.5417694409323958E-3</v>
      </c>
      <c r="E54" s="67">
        <f t="shared" si="11"/>
        <v>0</v>
      </c>
      <c r="F54" s="68">
        <f t="shared" si="12"/>
        <v>0</v>
      </c>
      <c r="G54" s="69" t="s">
        <v>58</v>
      </c>
    </row>
    <row r="55" spans="2:7" x14ac:dyDescent="0.25">
      <c r="B55" s="65" t="s">
        <v>7</v>
      </c>
      <c r="C55" s="66">
        <v>0</v>
      </c>
      <c r="D55" s="67">
        <f>PI()*G19^2</f>
        <v>5.5417694409323958E-3</v>
      </c>
      <c r="E55" s="67">
        <f t="shared" si="11"/>
        <v>0</v>
      </c>
      <c r="F55" s="68">
        <f t="shared" si="12"/>
        <v>0</v>
      </c>
      <c r="G55" s="69" t="s">
        <v>58</v>
      </c>
    </row>
    <row r="56" spans="2:7" x14ac:dyDescent="0.25">
      <c r="B56" s="65" t="s">
        <v>8</v>
      </c>
      <c r="C56" s="66">
        <v>0</v>
      </c>
      <c r="D56" s="67">
        <f>PI()*G20^2</f>
        <v>5.5417694409323958E-3</v>
      </c>
      <c r="E56" s="67">
        <f t="shared" si="11"/>
        <v>0</v>
      </c>
      <c r="F56" s="68">
        <f t="shared" si="12"/>
        <v>0</v>
      </c>
      <c r="G56" s="69" t="s">
        <v>58</v>
      </c>
    </row>
    <row r="57" spans="2:7" x14ac:dyDescent="0.25">
      <c r="B57" s="62" t="s">
        <v>10</v>
      </c>
      <c r="C57" s="71" t="s">
        <v>12</v>
      </c>
      <c r="D57" s="71"/>
      <c r="E57" s="71" t="s">
        <v>12</v>
      </c>
      <c r="F57" s="71">
        <f>SUM(F47:F56)</f>
        <v>0</v>
      </c>
      <c r="G57" s="64" t="s">
        <v>58</v>
      </c>
    </row>
    <row r="58" spans="2:7" x14ac:dyDescent="0.25">
      <c r="B58" s="6"/>
      <c r="C58" s="7"/>
      <c r="D58" s="7"/>
      <c r="E58" s="7"/>
      <c r="F58" s="7"/>
      <c r="G58" s="8"/>
    </row>
    <row r="59" spans="2:7" x14ac:dyDescent="0.25">
      <c r="B59" s="85" t="s">
        <v>59</v>
      </c>
      <c r="C59" s="86"/>
      <c r="D59" s="86"/>
      <c r="E59" s="86"/>
      <c r="F59" s="86"/>
      <c r="G59" s="87"/>
    </row>
    <row r="60" spans="2:7" x14ac:dyDescent="0.25">
      <c r="B60" s="49"/>
      <c r="C60" s="50"/>
      <c r="D60" s="50"/>
      <c r="E60" s="50"/>
      <c r="F60" s="50"/>
      <c r="G60" s="51"/>
    </row>
    <row r="61" spans="2:7" x14ac:dyDescent="0.25">
      <c r="B61" s="49"/>
      <c r="C61" s="52" t="s">
        <v>46</v>
      </c>
      <c r="D61" s="52" t="s">
        <v>47</v>
      </c>
      <c r="E61" s="50"/>
      <c r="F61" s="50"/>
      <c r="G61" s="51"/>
    </row>
    <row r="62" spans="2:7" x14ac:dyDescent="0.25">
      <c r="B62" s="49"/>
      <c r="C62" s="52">
        <v>45</v>
      </c>
      <c r="D62" s="50">
        <f>RADIANS(C62)</f>
        <v>0.78539816339744828</v>
      </c>
      <c r="E62" s="50"/>
      <c r="F62" s="50"/>
      <c r="G62" s="51"/>
    </row>
    <row r="63" spans="2:7" x14ac:dyDescent="0.25">
      <c r="B63" s="6"/>
      <c r="C63" s="7"/>
      <c r="D63" s="7"/>
      <c r="E63" s="7"/>
      <c r="F63" s="7"/>
      <c r="G63" s="8"/>
    </row>
    <row r="64" spans="2:7" x14ac:dyDescent="0.25">
      <c r="B64" s="6"/>
      <c r="C64" s="7"/>
      <c r="D64" s="7"/>
      <c r="E64" s="7"/>
      <c r="F64" s="7"/>
      <c r="G64" s="8"/>
    </row>
    <row r="65" spans="2:7" x14ac:dyDescent="0.25">
      <c r="B65" s="82" t="s">
        <v>62</v>
      </c>
      <c r="C65" s="83"/>
      <c r="D65" s="83"/>
      <c r="E65" s="83"/>
      <c r="F65" s="83"/>
      <c r="G65" s="84"/>
    </row>
    <row r="66" spans="2:7" x14ac:dyDescent="0.25">
      <c r="B66" s="53"/>
      <c r="C66" s="54"/>
      <c r="D66" s="54" t="s">
        <v>17</v>
      </c>
      <c r="E66" s="54" t="s">
        <v>18</v>
      </c>
      <c r="F66" s="54" t="s">
        <v>19</v>
      </c>
      <c r="G66" s="55" t="s">
        <v>54</v>
      </c>
    </row>
    <row r="67" spans="2:7" x14ac:dyDescent="0.25">
      <c r="B67" s="53"/>
      <c r="C67" s="54" t="s">
        <v>60</v>
      </c>
      <c r="D67" s="56">
        <f>I42</f>
        <v>3.9961118328018685E-2</v>
      </c>
      <c r="E67" s="56">
        <f t="shared" ref="E67:F67" si="14">J42</f>
        <v>3.9286282828018687E-2</v>
      </c>
      <c r="F67" s="56">
        <f t="shared" si="14"/>
        <v>6.8851811066666657E-2</v>
      </c>
      <c r="G67" s="57">
        <f>F57</f>
        <v>0</v>
      </c>
    </row>
    <row r="68" spans="2:7" ht="15.75" thickBot="1" x14ac:dyDescent="0.3">
      <c r="B68" s="58"/>
      <c r="C68" s="59" t="s">
        <v>61</v>
      </c>
      <c r="D68" s="60">
        <f>D67*COS($D$62)^2 +E67*SIN($D$62)^2 - G67*SIN(2*$D$62)</f>
        <v>3.9623700578018686E-2</v>
      </c>
      <c r="E68" s="60">
        <f>D67*SIN(D62)^2 + E67*COS(D62)^2 + G67*SIN(2*D62)</f>
        <v>3.9623700578018686E-2</v>
      </c>
      <c r="F68" s="60">
        <f>F67</f>
        <v>6.8851811066666657E-2</v>
      </c>
      <c r="G68" s="72">
        <f>((D67-E67)/2)*SIN(2*D62)+G67*COS(2*D62)</f>
        <v>3.3741774999999918E-4</v>
      </c>
    </row>
  </sheetData>
  <mergeCells count="14">
    <mergeCell ref="M9:O9"/>
    <mergeCell ref="B9:G9"/>
    <mergeCell ref="B24:G24"/>
    <mergeCell ref="B39:G39"/>
    <mergeCell ref="I9:K9"/>
    <mergeCell ref="I24:K24"/>
    <mergeCell ref="B65:G65"/>
    <mergeCell ref="B59:G59"/>
    <mergeCell ref="B3:K3"/>
    <mergeCell ref="B1:K1"/>
    <mergeCell ref="B44:G44"/>
    <mergeCell ref="I39:K39"/>
    <mergeCell ref="B7:G7"/>
    <mergeCell ref="I7:K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797B-5E82-48E9-B843-8BC5B28AE969}">
  <dimension ref="A1:R71"/>
  <sheetViews>
    <sheetView tabSelected="1" zoomScale="107" zoomScaleNormal="130" workbookViewId="0">
      <pane xSplit="2" topLeftCell="C1" activePane="topRight" state="frozen"/>
      <selection activeCell="A2" sqref="A2"/>
      <selection pane="topRight" activeCell="C5" sqref="C5:F5"/>
    </sheetView>
  </sheetViews>
  <sheetFormatPr defaultRowHeight="15" x14ac:dyDescent="0.25"/>
  <cols>
    <col min="1" max="1" width="2.7109375" customWidth="1"/>
    <col min="2" max="2" width="14.42578125" customWidth="1"/>
    <col min="3" max="3" width="14.5703125" customWidth="1"/>
    <col min="4" max="5" width="19.5703125" customWidth="1"/>
    <col min="6" max="6" width="20.140625" customWidth="1"/>
    <col min="7" max="7" width="18.140625" customWidth="1"/>
    <col min="8" max="8" width="3.85546875" customWidth="1"/>
    <col min="9" max="9" width="11.85546875" customWidth="1"/>
    <col min="10" max="10" width="10.7109375" customWidth="1"/>
    <col min="11" max="11" width="12.7109375" customWidth="1"/>
    <col min="14" max="14" width="8.85546875" customWidth="1"/>
  </cols>
  <sheetData>
    <row r="1" spans="1:16" ht="20.25" thickBot="1" x14ac:dyDescent="0.35">
      <c r="B1" s="89" t="s">
        <v>0</v>
      </c>
      <c r="C1" s="89"/>
      <c r="D1" s="89"/>
      <c r="E1" s="89"/>
      <c r="F1" s="89"/>
      <c r="G1" s="89"/>
      <c r="H1" s="89"/>
      <c r="I1" s="89"/>
      <c r="J1" s="89"/>
      <c r="K1" s="89"/>
    </row>
    <row r="2" spans="1:16" ht="15.75" thickTop="1" x14ac:dyDescent="0.25">
      <c r="A2" s="1"/>
    </row>
    <row r="3" spans="1:16" ht="18" thickBot="1" x14ac:dyDescent="0.35">
      <c r="A3" s="1"/>
      <c r="B3" s="88" t="s">
        <v>34</v>
      </c>
      <c r="C3" s="88"/>
      <c r="D3" s="88"/>
      <c r="E3" s="88"/>
      <c r="F3" s="88"/>
      <c r="G3" s="88"/>
      <c r="H3" s="88"/>
      <c r="I3" s="88"/>
      <c r="J3" s="88"/>
      <c r="K3" s="88"/>
    </row>
    <row r="4" spans="1:16" ht="15.75" thickTop="1" x14ac:dyDescent="0.25">
      <c r="A4" s="1"/>
      <c r="B4" s="47"/>
      <c r="C4" s="48" t="s">
        <v>17</v>
      </c>
      <c r="D4" s="48" t="s">
        <v>18</v>
      </c>
      <c r="E4" s="48" t="s">
        <v>19</v>
      </c>
      <c r="F4" s="48" t="s">
        <v>54</v>
      </c>
      <c r="G4" s="47"/>
      <c r="H4" s="47"/>
      <c r="I4" s="47"/>
      <c r="J4" s="47"/>
      <c r="K4" s="47"/>
    </row>
    <row r="5" spans="1:16" x14ac:dyDescent="0.25">
      <c r="B5" s="47"/>
      <c r="C5" s="47">
        <f>D71</f>
        <v>0.19640647712737666</v>
      </c>
      <c r="D5" s="47">
        <f t="shared" ref="D5:F5" si="0">E71</f>
        <v>0.19640647712737666</v>
      </c>
      <c r="E5" s="47">
        <f t="shared" si="0"/>
        <v>6.8924024816666665E-2</v>
      </c>
      <c r="F5" s="47">
        <f t="shared" si="0"/>
        <v>3.3741774999998531E-4</v>
      </c>
      <c r="G5" s="47"/>
      <c r="H5" s="47"/>
      <c r="I5" s="47"/>
      <c r="J5" s="47"/>
      <c r="K5" s="47"/>
      <c r="O5" s="119"/>
    </row>
    <row r="7" spans="1:16" ht="18" thickBot="1" x14ac:dyDescent="0.35">
      <c r="B7" s="75" t="s">
        <v>44</v>
      </c>
      <c r="C7" s="75"/>
      <c r="D7" s="75"/>
      <c r="E7" s="75"/>
      <c r="F7" s="75"/>
      <c r="G7" s="75"/>
      <c r="I7" s="75" t="s">
        <v>63</v>
      </c>
      <c r="J7" s="75"/>
      <c r="K7" s="75"/>
    </row>
    <row r="8" spans="1:16" ht="15.75" thickTop="1" x14ac:dyDescent="0.25">
      <c r="B8" s="6"/>
      <c r="C8" s="7"/>
      <c r="D8" s="7"/>
      <c r="E8" s="7"/>
      <c r="F8" s="7"/>
      <c r="G8" s="8"/>
      <c r="I8" s="6"/>
      <c r="J8" s="7"/>
      <c r="K8" s="8"/>
    </row>
    <row r="9" spans="1:16" x14ac:dyDescent="0.25">
      <c r="B9" s="76" t="s">
        <v>11</v>
      </c>
      <c r="C9" s="77"/>
      <c r="D9" s="77"/>
      <c r="E9" s="77"/>
      <c r="F9" s="77"/>
      <c r="G9" s="78"/>
      <c r="I9" s="98" t="s">
        <v>16</v>
      </c>
      <c r="J9" s="99"/>
      <c r="K9" s="100"/>
      <c r="M9" s="95"/>
      <c r="N9" s="95"/>
      <c r="O9" s="95"/>
    </row>
    <row r="10" spans="1:16" x14ac:dyDescent="0.25">
      <c r="B10" s="9"/>
      <c r="C10" s="10" t="s">
        <v>9</v>
      </c>
      <c r="D10" s="10" t="s">
        <v>15</v>
      </c>
      <c r="E10" s="10" t="s">
        <v>14</v>
      </c>
      <c r="F10" s="10" t="s">
        <v>22</v>
      </c>
      <c r="G10" s="11" t="s">
        <v>13</v>
      </c>
      <c r="I10" s="30" t="s">
        <v>17</v>
      </c>
      <c r="J10" s="31" t="s">
        <v>18</v>
      </c>
      <c r="K10" s="32" t="s">
        <v>19</v>
      </c>
    </row>
    <row r="11" spans="1:16" x14ac:dyDescent="0.25">
      <c r="B11" s="9" t="s">
        <v>20</v>
      </c>
      <c r="C11" s="101">
        <v>0.83399999999999996</v>
      </c>
      <c r="D11" s="12">
        <v>0.23</v>
      </c>
      <c r="E11" s="12">
        <v>0.23</v>
      </c>
      <c r="F11" s="12">
        <v>0.02</v>
      </c>
      <c r="G11" s="13" t="s">
        <v>12</v>
      </c>
      <c r="I11" s="33">
        <f>1/12*C11*(D11*D11+F11*F11)</f>
        <v>3.7043499999999995E-3</v>
      </c>
      <c r="J11" s="34">
        <f>1/12*C11*(D11*D11+F11*F11)</f>
        <v>3.7043499999999995E-3</v>
      </c>
      <c r="K11" s="35">
        <f>1/12*C11*(D11*D11+E11*E11)</f>
        <v>7.3530999999999996E-3</v>
      </c>
      <c r="L11" s="4"/>
      <c r="P11" s="1"/>
    </row>
    <row r="12" spans="1:16" x14ac:dyDescent="0.25">
      <c r="B12" s="9" t="s">
        <v>73</v>
      </c>
      <c r="C12" s="101">
        <v>0.69</v>
      </c>
      <c r="D12" s="12">
        <v>0.159</v>
      </c>
      <c r="E12" s="12">
        <v>4.5999999999999999E-2</v>
      </c>
      <c r="F12" s="12">
        <v>4.3999999999999997E-2</v>
      </c>
      <c r="G12" s="13" t="s">
        <v>12</v>
      </c>
      <c r="I12" s="33">
        <f>1/12*C12*(D12*D12+F12*F12)</f>
        <v>1.5649774999999999E-3</v>
      </c>
      <c r="J12" s="34">
        <f>1/12*C12*(E12*E12+F12*F12)</f>
        <v>2.3298999999999998E-4</v>
      </c>
      <c r="K12" s="35">
        <f>1/12*C12*(E12*E12+D12*D12)</f>
        <v>1.5753275E-3</v>
      </c>
      <c r="L12" s="4"/>
      <c r="P12" s="1"/>
    </row>
    <row r="13" spans="1:16" x14ac:dyDescent="0.25">
      <c r="B13" s="9" t="s">
        <v>82</v>
      </c>
      <c r="C13" s="101">
        <v>5.0299999999999997E-2</v>
      </c>
      <c r="D13" s="12">
        <v>0.23799999999999999</v>
      </c>
      <c r="E13" s="12">
        <v>1.4999999999999999E-2</v>
      </c>
      <c r="F13" s="14">
        <v>1.4999999999999999E-2</v>
      </c>
      <c r="G13" s="15" t="s">
        <v>12</v>
      </c>
      <c r="I13" s="33">
        <f>1/12*C13*(F13*F13+E13*E13)</f>
        <v>1.8862499999999999E-6</v>
      </c>
      <c r="J13" s="34">
        <f>1/12*C13*(D13*D13+F13*F13)</f>
        <v>2.3837589166666664E-4</v>
      </c>
      <c r="K13" s="35">
        <f>1/12*C13*(D13*D13+E13*E13)</f>
        <v>2.3837589166666664E-4</v>
      </c>
      <c r="L13" s="4"/>
      <c r="P13" s="1"/>
    </row>
    <row r="14" spans="1:16" x14ac:dyDescent="0.25">
      <c r="B14" s="9" t="s">
        <v>83</v>
      </c>
      <c r="C14" s="101">
        <v>5.0299999999999997E-2</v>
      </c>
      <c r="D14" s="12">
        <v>1.4999999999999999E-2</v>
      </c>
      <c r="E14" s="12">
        <v>0.23799999999999999</v>
      </c>
      <c r="F14" s="14">
        <v>1.4999999999999999E-2</v>
      </c>
      <c r="G14" s="15" t="s">
        <v>12</v>
      </c>
      <c r="I14" s="33">
        <f t="shared" ref="I14:I16" si="1">1/12*C14*(F14*F14+E14*E14)</f>
        <v>2.3837589166666664E-4</v>
      </c>
      <c r="J14" s="34">
        <f t="shared" ref="J14:J16" si="2">1/12*C14*(D14*D14+F14*F14)</f>
        <v>1.8862499999999999E-6</v>
      </c>
      <c r="K14" s="35">
        <f t="shared" ref="K14:K16" si="3">1/12*C14*(D14*D14+E14*E14)</f>
        <v>2.3837589166666664E-4</v>
      </c>
      <c r="L14" s="4"/>
      <c r="M14" s="1"/>
      <c r="P14" s="1"/>
    </row>
    <row r="15" spans="1:16" x14ac:dyDescent="0.25">
      <c r="B15" s="9" t="s">
        <v>84</v>
      </c>
      <c r="C15" s="101">
        <v>5.0299999999999997E-2</v>
      </c>
      <c r="D15" s="12">
        <v>0.23799999999999999</v>
      </c>
      <c r="E15" s="12">
        <v>1.4999999999999999E-2</v>
      </c>
      <c r="F15" s="14">
        <v>1.4999999999999999E-2</v>
      </c>
      <c r="G15" s="15" t="s">
        <v>12</v>
      </c>
      <c r="I15" s="33">
        <f t="shared" si="1"/>
        <v>1.8862499999999999E-6</v>
      </c>
      <c r="J15" s="34">
        <f t="shared" si="2"/>
        <v>2.3837589166666664E-4</v>
      </c>
      <c r="K15" s="35">
        <f t="shared" si="3"/>
        <v>2.3837589166666664E-4</v>
      </c>
      <c r="L15" s="4"/>
      <c r="P15" s="1"/>
    </row>
    <row r="16" spans="1:16" x14ac:dyDescent="0.25">
      <c r="B16" s="9" t="s">
        <v>85</v>
      </c>
      <c r="C16" s="101">
        <v>5.0299999999999997E-2</v>
      </c>
      <c r="D16" s="12">
        <v>1.4999999999999999E-2</v>
      </c>
      <c r="E16" s="12">
        <v>0.23799999999999999</v>
      </c>
      <c r="F16" s="14">
        <v>1.4999999999999999E-2</v>
      </c>
      <c r="G16" s="15" t="s">
        <v>12</v>
      </c>
      <c r="I16" s="33">
        <f t="shared" si="1"/>
        <v>2.3837589166666664E-4</v>
      </c>
      <c r="J16" s="34">
        <f t="shared" si="2"/>
        <v>1.8862499999999999E-6</v>
      </c>
      <c r="K16" s="35">
        <f t="shared" si="3"/>
        <v>2.3837589166666664E-4</v>
      </c>
      <c r="L16" s="4"/>
      <c r="P16" s="1"/>
    </row>
    <row r="17" spans="2:18" x14ac:dyDescent="0.25">
      <c r="B17" s="9" t="s">
        <v>5</v>
      </c>
      <c r="C17" s="101">
        <v>0.13600000000000001</v>
      </c>
      <c r="D17" s="12" t="s">
        <v>12</v>
      </c>
      <c r="E17" s="12" t="s">
        <v>12</v>
      </c>
      <c r="F17" s="14">
        <f>0.039+0.015+0.205</f>
        <v>0.25900000000000001</v>
      </c>
      <c r="G17" s="13">
        <v>4.2000000000000003E-2</v>
      </c>
      <c r="I17" s="33">
        <f>1/4*C17*G17*G17+1/12*C17*F17*F17</f>
        <v>8.2022733333333346E-4</v>
      </c>
      <c r="J17" s="34">
        <f>1/4*C17*G17*G17+1/12*C17*F17*F17</f>
        <v>8.2022733333333346E-4</v>
      </c>
      <c r="K17" s="35">
        <f>1/2*C17*G17*G17</f>
        <v>1.1995200000000003E-4</v>
      </c>
      <c r="L17" s="4"/>
    </row>
    <row r="18" spans="2:18" x14ac:dyDescent="0.25">
      <c r="B18" s="9" t="s">
        <v>6</v>
      </c>
      <c r="C18" s="101">
        <v>0.13600000000000001</v>
      </c>
      <c r="D18" s="12" t="s">
        <v>12</v>
      </c>
      <c r="E18" s="12" t="s">
        <v>12</v>
      </c>
      <c r="F18" s="14">
        <f t="shared" ref="F18:F20" si="4">0.039+0.015+0.205</f>
        <v>0.25900000000000001</v>
      </c>
      <c r="G18" s="13">
        <v>4.2000000000000003E-2</v>
      </c>
      <c r="I18" s="33">
        <f t="shared" ref="I18:I20" si="5">1/4*C18*G18*G18+1/12*C18*F18*F18</f>
        <v>8.2022733333333346E-4</v>
      </c>
      <c r="J18" s="34">
        <f t="shared" ref="J18:J20" si="6">1/4*C18*G18*G18+1/12*C18*F18*F18</f>
        <v>8.2022733333333346E-4</v>
      </c>
      <c r="K18" s="35">
        <f t="shared" ref="K18:K20" si="7">1/2*C18*G18*G18</f>
        <v>1.1995200000000003E-4</v>
      </c>
      <c r="L18" s="4"/>
      <c r="R18" t="s">
        <v>25</v>
      </c>
    </row>
    <row r="19" spans="2:18" x14ac:dyDescent="0.25">
      <c r="B19" s="9" t="s">
        <v>7</v>
      </c>
      <c r="C19" s="101">
        <v>0.13600000000000001</v>
      </c>
      <c r="D19" s="12" t="s">
        <v>12</v>
      </c>
      <c r="E19" s="12" t="s">
        <v>12</v>
      </c>
      <c r="F19" s="14">
        <f t="shared" si="4"/>
        <v>0.25900000000000001</v>
      </c>
      <c r="G19" s="13">
        <v>4.2000000000000003E-2</v>
      </c>
      <c r="I19" s="33">
        <f t="shared" si="5"/>
        <v>8.2022733333333346E-4</v>
      </c>
      <c r="J19" s="34">
        <f t="shared" si="6"/>
        <v>8.2022733333333346E-4</v>
      </c>
      <c r="K19" s="35">
        <f t="shared" si="7"/>
        <v>1.1995200000000003E-4</v>
      </c>
      <c r="L19" s="4"/>
      <c r="Q19" t="s">
        <v>24</v>
      </c>
    </row>
    <row r="20" spans="2:18" x14ac:dyDescent="0.25">
      <c r="B20" s="9" t="s">
        <v>8</v>
      </c>
      <c r="C20" s="101">
        <v>0.13600000000000001</v>
      </c>
      <c r="D20" s="12" t="s">
        <v>12</v>
      </c>
      <c r="E20" s="12" t="s">
        <v>12</v>
      </c>
      <c r="F20" s="14">
        <f t="shared" si="4"/>
        <v>0.25900000000000001</v>
      </c>
      <c r="G20" s="13">
        <v>4.2000000000000003E-2</v>
      </c>
      <c r="I20" s="33">
        <f t="shared" si="5"/>
        <v>8.2022733333333346E-4</v>
      </c>
      <c r="J20" s="34">
        <f t="shared" si="6"/>
        <v>8.2022733333333346E-4</v>
      </c>
      <c r="K20" s="35">
        <f t="shared" si="7"/>
        <v>1.1995200000000003E-4</v>
      </c>
      <c r="L20" s="4"/>
    </row>
    <row r="21" spans="2:18" x14ac:dyDescent="0.25">
      <c r="B21" s="9" t="s">
        <v>86</v>
      </c>
      <c r="C21" s="101">
        <v>1.31</v>
      </c>
      <c r="D21" s="12">
        <v>0.57999999999999996</v>
      </c>
      <c r="E21" s="12"/>
      <c r="F21" s="14"/>
      <c r="G21" s="13">
        <f>0.021/2</f>
        <v>1.0500000000000001E-2</v>
      </c>
      <c r="I21" s="34">
        <f>1/12*C21*D21*D21+1/4*C21*G21*G21</f>
        <v>3.6759773541666659E-2</v>
      </c>
      <c r="J21" s="34">
        <f>1/12*C21*D21*D21+0.25*C21*G21*G21</f>
        <v>3.6759773541666659E-2</v>
      </c>
      <c r="K21" s="35">
        <f>1/2*C21*G21*G21</f>
        <v>7.2213750000000006E-5</v>
      </c>
      <c r="L21" s="4"/>
    </row>
    <row r="22" spans="2:18" x14ac:dyDescent="0.25">
      <c r="B22" s="16" t="s">
        <v>10</v>
      </c>
      <c r="C22" s="12">
        <f>SUM(C11:C21)</f>
        <v>3.5792000000000006</v>
      </c>
      <c r="D22" s="12" t="s">
        <v>12</v>
      </c>
      <c r="E22" s="12" t="s">
        <v>12</v>
      </c>
      <c r="F22" s="12" t="s">
        <v>12</v>
      </c>
      <c r="G22" s="13" t="s">
        <v>12</v>
      </c>
      <c r="H22" s="2"/>
      <c r="I22" s="33" t="s">
        <v>12</v>
      </c>
      <c r="J22" s="34" t="s">
        <v>12</v>
      </c>
      <c r="K22" s="35" t="s">
        <v>12</v>
      </c>
      <c r="L22" s="4"/>
    </row>
    <row r="23" spans="2:18" x14ac:dyDescent="0.25">
      <c r="B23" s="6"/>
      <c r="C23" s="7"/>
      <c r="D23" s="7"/>
      <c r="E23" s="7"/>
      <c r="F23" s="7"/>
      <c r="G23" s="8"/>
      <c r="I23" s="6"/>
      <c r="J23" s="7"/>
      <c r="K23" s="8"/>
      <c r="N23" s="3" t="s">
        <v>28</v>
      </c>
      <c r="P23" t="s">
        <v>26</v>
      </c>
    </row>
    <row r="24" spans="2:18" x14ac:dyDescent="0.25">
      <c r="B24" s="6"/>
      <c r="C24" s="7"/>
      <c r="D24" s="7"/>
      <c r="E24" s="7"/>
      <c r="F24" s="7"/>
      <c r="G24" s="8"/>
      <c r="I24" s="6"/>
      <c r="J24" s="7"/>
      <c r="K24" s="8"/>
      <c r="N24" t="s">
        <v>29</v>
      </c>
      <c r="Q24" s="3" t="s">
        <v>27</v>
      </c>
    </row>
    <row r="25" spans="2:18" x14ac:dyDescent="0.25">
      <c r="B25" s="79" t="s">
        <v>21</v>
      </c>
      <c r="C25" s="80"/>
      <c r="D25" s="80"/>
      <c r="E25" s="80"/>
      <c r="F25" s="80"/>
      <c r="G25" s="81"/>
      <c r="I25" s="98" t="s">
        <v>41</v>
      </c>
      <c r="J25" s="99"/>
      <c r="K25" s="100"/>
    </row>
    <row r="26" spans="2:18" x14ac:dyDescent="0.25">
      <c r="B26" s="17" t="s">
        <v>35</v>
      </c>
      <c r="C26" s="18" t="s">
        <v>30</v>
      </c>
      <c r="D26" s="18" t="s">
        <v>31</v>
      </c>
      <c r="E26" s="18" t="s">
        <v>32</v>
      </c>
      <c r="F26" s="18" t="s">
        <v>33</v>
      </c>
      <c r="G26" s="19" t="s">
        <v>36</v>
      </c>
      <c r="I26" s="33"/>
      <c r="J26" s="34"/>
      <c r="K26" s="35"/>
    </row>
    <row r="27" spans="2:18" x14ac:dyDescent="0.25">
      <c r="B27" s="20"/>
      <c r="C27" s="21" t="s">
        <v>9</v>
      </c>
      <c r="D27" s="22" t="s">
        <v>37</v>
      </c>
      <c r="E27" s="22" t="s">
        <v>38</v>
      </c>
      <c r="F27" s="21" t="s">
        <v>39</v>
      </c>
      <c r="G27" s="23"/>
      <c r="I27" s="36" t="s">
        <v>45</v>
      </c>
      <c r="J27" s="37" t="s">
        <v>18</v>
      </c>
      <c r="K27" s="38" t="s">
        <v>19</v>
      </c>
    </row>
    <row r="28" spans="2:18" x14ac:dyDescent="0.25">
      <c r="B28" s="20" t="s">
        <v>20</v>
      </c>
      <c r="C28" s="102">
        <v>0.83399999999999996</v>
      </c>
      <c r="D28" s="24">
        <v>0</v>
      </c>
      <c r="E28" s="24">
        <v>0</v>
      </c>
      <c r="F28" s="24">
        <v>0.04</v>
      </c>
      <c r="G28" s="25"/>
      <c r="H28" s="2"/>
      <c r="I28" s="33">
        <f t="shared" ref="I28:I38" si="8">C28*(($E$44-E28)^2 + ($F$44-F28)^2)</f>
        <v>1.826479101959036E-2</v>
      </c>
      <c r="J28" s="34">
        <f t="shared" ref="J28:J38" si="9">C28*(($D$44-D28)^2+($F$44-F28)^2)</f>
        <v>1.826479101959036E-2</v>
      </c>
      <c r="K28" s="35">
        <f t="shared" ref="K28:K38" si="10">C28*(($D$44-D28)^2+($E$44-E28)^2)</f>
        <v>0</v>
      </c>
    </row>
    <row r="29" spans="2:18" x14ac:dyDescent="0.25">
      <c r="B29" s="20" t="s">
        <v>73</v>
      </c>
      <c r="C29" s="102">
        <v>0.69</v>
      </c>
      <c r="D29" s="24">
        <v>0</v>
      </c>
      <c r="E29" s="24">
        <v>0</v>
      </c>
      <c r="F29" s="24">
        <v>6.3E-2</v>
      </c>
      <c r="G29" s="25"/>
      <c r="H29" s="2"/>
      <c r="I29" s="33">
        <f t="shared" si="8"/>
        <v>2.0173283661393621E-2</v>
      </c>
      <c r="J29" s="34">
        <f t="shared" si="9"/>
        <v>2.0173283661393621E-2</v>
      </c>
      <c r="K29" s="35">
        <f t="shared" si="10"/>
        <v>0</v>
      </c>
    </row>
    <row r="30" spans="2:18" x14ac:dyDescent="0.25">
      <c r="B30" s="20" t="s">
        <v>82</v>
      </c>
      <c r="C30" s="102">
        <v>5.0299999999999997E-2</v>
      </c>
      <c r="D30" s="24">
        <v>0.21</v>
      </c>
      <c r="E30" s="24">
        <v>0</v>
      </c>
      <c r="F30" s="24">
        <v>0.01</v>
      </c>
      <c r="G30" s="25"/>
      <c r="H30" s="2"/>
      <c r="I30" s="33">
        <f t="shared" si="8"/>
        <v>7.0022597088235288E-4</v>
      </c>
      <c r="J30" s="34">
        <f t="shared" si="9"/>
        <v>2.9184559708823523E-3</v>
      </c>
      <c r="K30" s="35">
        <f t="shared" si="10"/>
        <v>2.2182299999999994E-3</v>
      </c>
    </row>
    <row r="31" spans="2:18" x14ac:dyDescent="0.25">
      <c r="B31" s="20" t="s">
        <v>83</v>
      </c>
      <c r="C31" s="102">
        <v>5.0299999999999997E-2</v>
      </c>
      <c r="D31" s="24">
        <v>0</v>
      </c>
      <c r="E31" s="24">
        <v>0.21</v>
      </c>
      <c r="F31" s="24">
        <v>0.01</v>
      </c>
      <c r="G31" s="25"/>
      <c r="H31" s="2"/>
      <c r="I31" s="33">
        <f t="shared" si="8"/>
        <v>2.9184559708823523E-3</v>
      </c>
      <c r="J31" s="34">
        <f t="shared" si="9"/>
        <v>7.0022597088235288E-4</v>
      </c>
      <c r="K31" s="35">
        <f t="shared" si="10"/>
        <v>2.2182299999999994E-3</v>
      </c>
      <c r="M31" t="s">
        <v>23</v>
      </c>
    </row>
    <row r="32" spans="2:18" x14ac:dyDescent="0.25">
      <c r="B32" s="20" t="s">
        <v>84</v>
      </c>
      <c r="C32" s="102">
        <v>5.0299999999999997E-2</v>
      </c>
      <c r="D32" s="24">
        <v>-0.21</v>
      </c>
      <c r="E32" s="24">
        <v>0</v>
      </c>
      <c r="F32" s="24">
        <v>0.01</v>
      </c>
      <c r="G32" s="25"/>
      <c r="H32" s="2"/>
      <c r="I32" s="33">
        <f t="shared" si="8"/>
        <v>7.0022597088235288E-4</v>
      </c>
      <c r="J32" s="34">
        <f t="shared" si="9"/>
        <v>2.9184559708823523E-3</v>
      </c>
      <c r="K32" s="35">
        <f t="shared" si="10"/>
        <v>2.2182299999999994E-3</v>
      </c>
    </row>
    <row r="33" spans="2:11" x14ac:dyDescent="0.25">
      <c r="B33" s="20" t="s">
        <v>85</v>
      </c>
      <c r="C33" s="102">
        <v>5.0299999999999997E-2</v>
      </c>
      <c r="D33" s="24">
        <v>0</v>
      </c>
      <c r="E33" s="24">
        <v>-0.21</v>
      </c>
      <c r="F33" s="24">
        <v>0.01</v>
      </c>
      <c r="G33" s="25"/>
      <c r="H33" s="2"/>
      <c r="I33" s="33">
        <f t="shared" si="8"/>
        <v>2.9184559708823523E-3</v>
      </c>
      <c r="J33" s="34">
        <f t="shared" si="9"/>
        <v>7.0022597088235288E-4</v>
      </c>
      <c r="K33" s="35">
        <f t="shared" si="10"/>
        <v>2.2182299999999994E-3</v>
      </c>
    </row>
    <row r="34" spans="2:11" x14ac:dyDescent="0.25">
      <c r="B34" s="20" t="s">
        <v>5</v>
      </c>
      <c r="C34" s="102">
        <v>0.13600000000000001</v>
      </c>
      <c r="D34" s="24">
        <v>0.30399999999999999</v>
      </c>
      <c r="E34" s="24">
        <v>0</v>
      </c>
      <c r="F34" s="24">
        <v>-1.4999999999999999E-2</v>
      </c>
      <c r="G34" s="25"/>
      <c r="H34" s="2"/>
      <c r="I34" s="33">
        <f t="shared" si="8"/>
        <v>1.1759417440238324E-3</v>
      </c>
      <c r="J34" s="34">
        <f t="shared" si="9"/>
        <v>1.3744517744023833E-2</v>
      </c>
      <c r="K34" s="35">
        <f t="shared" si="10"/>
        <v>1.2568576000000001E-2</v>
      </c>
    </row>
    <row r="35" spans="2:11" x14ac:dyDescent="0.25">
      <c r="B35" s="20" t="s">
        <v>6</v>
      </c>
      <c r="C35" s="102">
        <v>0.13600000000000001</v>
      </c>
      <c r="D35" s="24">
        <v>0</v>
      </c>
      <c r="E35" s="24">
        <v>0.3</v>
      </c>
      <c r="F35" s="24">
        <v>-1.4999999999999999E-2</v>
      </c>
      <c r="G35" s="25"/>
      <c r="H35" s="2"/>
      <c r="I35" s="33">
        <f t="shared" si="8"/>
        <v>1.3415941744023833E-2</v>
      </c>
      <c r="J35" s="34">
        <f t="shared" si="9"/>
        <v>1.1759417440238324E-3</v>
      </c>
      <c r="K35" s="35">
        <f t="shared" si="10"/>
        <v>1.2240000000000001E-2</v>
      </c>
    </row>
    <row r="36" spans="2:11" x14ac:dyDescent="0.25">
      <c r="B36" s="20" t="s">
        <v>7</v>
      </c>
      <c r="C36" s="102">
        <v>0.13600000000000001</v>
      </c>
      <c r="D36" s="24">
        <v>-0.30399999999999999</v>
      </c>
      <c r="E36" s="24">
        <v>0</v>
      </c>
      <c r="F36" s="24">
        <v>-1.4999999999999999E-2</v>
      </c>
      <c r="G36" s="25"/>
      <c r="H36" s="2"/>
      <c r="I36" s="33">
        <f t="shared" si="8"/>
        <v>1.1759417440238324E-3</v>
      </c>
      <c r="J36" s="34">
        <f t="shared" si="9"/>
        <v>1.3744517744023833E-2</v>
      </c>
      <c r="K36" s="35">
        <f t="shared" si="10"/>
        <v>1.2568576000000001E-2</v>
      </c>
    </row>
    <row r="37" spans="2:11" x14ac:dyDescent="0.25">
      <c r="B37" s="20" t="s">
        <v>8</v>
      </c>
      <c r="C37" s="102">
        <v>0.13600000000000001</v>
      </c>
      <c r="D37" s="24">
        <v>0</v>
      </c>
      <c r="E37" s="24">
        <v>-0.3</v>
      </c>
      <c r="F37" s="24">
        <v>-1.4999999999999999E-2</v>
      </c>
      <c r="G37" s="25"/>
      <c r="H37" s="2"/>
      <c r="I37" s="33">
        <f t="shared" si="8"/>
        <v>1.3415941744023833E-2</v>
      </c>
      <c r="J37" s="34">
        <f t="shared" si="9"/>
        <v>1.1759417440238324E-3</v>
      </c>
      <c r="K37" s="35">
        <f t="shared" si="10"/>
        <v>1.2240000000000001E-2</v>
      </c>
    </row>
    <row r="38" spans="2:11" x14ac:dyDescent="0.25">
      <c r="B38" s="20" t="s">
        <v>86</v>
      </c>
      <c r="C38" s="102">
        <v>1.31</v>
      </c>
      <c r="D38" s="24">
        <v>0</v>
      </c>
      <c r="E38" s="24">
        <v>0</v>
      </c>
      <c r="F38" s="24">
        <v>-0.34899999999999998</v>
      </c>
      <c r="G38" s="25"/>
      <c r="H38" s="2"/>
      <c r="I38" s="33">
        <f t="shared" si="8"/>
        <v>7.6094154678434625E-2</v>
      </c>
      <c r="J38" s="34">
        <f t="shared" si="9"/>
        <v>7.6094154678434625E-2</v>
      </c>
      <c r="K38" s="35">
        <f t="shared" si="10"/>
        <v>0</v>
      </c>
    </row>
    <row r="39" spans="2:11" ht="15.75" thickBot="1" x14ac:dyDescent="0.3">
      <c r="B39" s="26" t="s">
        <v>64</v>
      </c>
      <c r="C39" s="27">
        <f>SUM(C28:C38)</f>
        <v>3.5792000000000006</v>
      </c>
      <c r="D39" s="73">
        <f>SUMPRODUCT(C28:C38,D28:D38)</f>
        <v>0</v>
      </c>
      <c r="E39" s="74">
        <f>SUMPRODUCT(C28:C38,E28:E38)</f>
        <v>0</v>
      </c>
      <c r="F39" s="28">
        <f>SUMPRODUCT(C28:C38,F28:F38)</f>
        <v>-0.38650799999999996</v>
      </c>
      <c r="G39" s="29"/>
      <c r="H39" s="2"/>
      <c r="I39" s="33"/>
      <c r="J39" s="34"/>
      <c r="K39" s="35"/>
    </row>
    <row r="40" spans="2:11" ht="15.75" thickBot="1" x14ac:dyDescent="0.3">
      <c r="I40" s="6"/>
      <c r="J40" s="7"/>
      <c r="K40" s="8"/>
    </row>
    <row r="41" spans="2:11" ht="15.6" customHeight="1" x14ac:dyDescent="0.25">
      <c r="B41" s="96" t="s">
        <v>40</v>
      </c>
      <c r="C41" s="97"/>
      <c r="D41" s="97"/>
      <c r="E41" s="97"/>
      <c r="F41" s="97"/>
      <c r="G41" s="97"/>
      <c r="H41" s="5"/>
      <c r="I41" s="93" t="s">
        <v>43</v>
      </c>
      <c r="J41" s="93"/>
      <c r="K41" s="94"/>
    </row>
    <row r="42" spans="2:11" x14ac:dyDescent="0.25">
      <c r="B42" s="41"/>
      <c r="C42" s="42"/>
      <c r="D42" s="42"/>
      <c r="E42" s="42"/>
      <c r="F42" s="42"/>
      <c r="G42" s="42"/>
      <c r="H42" s="7"/>
      <c r="I42" s="34"/>
      <c r="J42" s="34"/>
      <c r="K42" s="35"/>
    </row>
    <row r="43" spans="2:11" x14ac:dyDescent="0.25">
      <c r="B43" s="41"/>
      <c r="C43" s="42"/>
      <c r="D43" s="46" t="s">
        <v>37</v>
      </c>
      <c r="E43" s="46" t="s">
        <v>38</v>
      </c>
      <c r="F43" s="46" t="s">
        <v>42</v>
      </c>
      <c r="G43" s="42"/>
      <c r="H43" s="7"/>
      <c r="I43" s="44" t="s">
        <v>17</v>
      </c>
      <c r="J43" s="37" t="s">
        <v>18</v>
      </c>
      <c r="K43" s="38" t="s">
        <v>19</v>
      </c>
    </row>
    <row r="44" spans="2:11" ht="15.75" thickBot="1" x14ac:dyDescent="0.3">
      <c r="B44" s="41"/>
      <c r="C44" s="42"/>
      <c r="D44" s="42">
        <f>D39/$C$39</f>
        <v>0</v>
      </c>
      <c r="E44" s="42">
        <f>E39/$C$39</f>
        <v>0</v>
      </c>
      <c r="F44" s="43">
        <f>F39/$C$39</f>
        <v>-0.10798725972284307</v>
      </c>
      <c r="G44" s="42"/>
      <c r="H44" s="45"/>
      <c r="I44" s="39">
        <f>SUM(I11:I21,I28:I38)</f>
        <v>0.19674389487737665</v>
      </c>
      <c r="J44" s="39">
        <f>SUM(J11:J21,J28:J38)</f>
        <v>0.19606905937737668</v>
      </c>
      <c r="K44" s="40">
        <f>SUM(K11:K21,K28:K38)</f>
        <v>6.8924024816666665E-2</v>
      </c>
    </row>
    <row r="45" spans="2:11" x14ac:dyDescent="0.25">
      <c r="B45" s="6"/>
      <c r="C45" s="7"/>
      <c r="D45" s="7"/>
      <c r="E45" s="7"/>
      <c r="F45" s="7"/>
      <c r="G45" s="8"/>
    </row>
    <row r="46" spans="2:11" x14ac:dyDescent="0.25">
      <c r="B46" s="90" t="s">
        <v>48</v>
      </c>
      <c r="C46" s="91"/>
      <c r="D46" s="91"/>
      <c r="E46" s="91"/>
      <c r="F46" s="91"/>
      <c r="G46" s="92"/>
    </row>
    <row r="47" spans="2:11" x14ac:dyDescent="0.25">
      <c r="B47" s="62"/>
      <c r="C47" s="63" t="s">
        <v>49</v>
      </c>
      <c r="D47" s="63" t="s">
        <v>56</v>
      </c>
      <c r="E47" s="63" t="s">
        <v>51</v>
      </c>
      <c r="F47" s="63" t="s">
        <v>53</v>
      </c>
      <c r="G47" s="64" t="s">
        <v>55</v>
      </c>
    </row>
    <row r="48" spans="2:11" x14ac:dyDescent="0.25">
      <c r="B48" s="62"/>
      <c r="C48" s="63" t="s">
        <v>50</v>
      </c>
      <c r="D48" s="63" t="s">
        <v>57</v>
      </c>
      <c r="E48" s="63" t="s">
        <v>52</v>
      </c>
      <c r="F48" s="63" t="s">
        <v>54</v>
      </c>
      <c r="G48" s="64"/>
    </row>
    <row r="49" spans="2:7" x14ac:dyDescent="0.25">
      <c r="B49" s="65" t="s">
        <v>20</v>
      </c>
      <c r="C49" s="66">
        <v>0</v>
      </c>
      <c r="D49" s="67">
        <f t="shared" ref="D49:D54" si="11">D11*E11</f>
        <v>5.2900000000000003E-2</v>
      </c>
      <c r="E49" s="67">
        <f t="shared" ref="E49:E59" si="12">D49*D28*E28</f>
        <v>0</v>
      </c>
      <c r="F49" s="68">
        <f>C49+E49</f>
        <v>0</v>
      </c>
      <c r="G49" s="69" t="s">
        <v>58</v>
      </c>
    </row>
    <row r="50" spans="2:7" x14ac:dyDescent="0.25">
      <c r="B50" s="70" t="s">
        <v>73</v>
      </c>
      <c r="C50" s="66">
        <v>0</v>
      </c>
      <c r="D50" s="67">
        <f t="shared" si="11"/>
        <v>7.3140000000000002E-3</v>
      </c>
      <c r="E50" s="67">
        <f t="shared" si="12"/>
        <v>0</v>
      </c>
      <c r="F50" s="68">
        <f>C50+E50</f>
        <v>0</v>
      </c>
      <c r="G50" s="69"/>
    </row>
    <row r="51" spans="2:7" x14ac:dyDescent="0.25">
      <c r="B51" s="65" t="s">
        <v>1</v>
      </c>
      <c r="C51" s="66">
        <v>0</v>
      </c>
      <c r="D51" s="67">
        <f t="shared" si="11"/>
        <v>3.5699999999999998E-3</v>
      </c>
      <c r="E51" s="67">
        <f t="shared" si="12"/>
        <v>0</v>
      </c>
      <c r="F51" s="68">
        <f t="shared" ref="F51:F58" si="13">C51+E51</f>
        <v>0</v>
      </c>
      <c r="G51" s="69" t="s">
        <v>58</v>
      </c>
    </row>
    <row r="52" spans="2:7" x14ac:dyDescent="0.25">
      <c r="B52" s="65" t="s">
        <v>2</v>
      </c>
      <c r="C52" s="66">
        <v>0</v>
      </c>
      <c r="D52" s="67">
        <f t="shared" si="11"/>
        <v>3.5699999999999998E-3</v>
      </c>
      <c r="E52" s="67">
        <f t="shared" si="12"/>
        <v>0</v>
      </c>
      <c r="F52" s="68">
        <f t="shared" si="13"/>
        <v>0</v>
      </c>
      <c r="G52" s="69" t="s">
        <v>58</v>
      </c>
    </row>
    <row r="53" spans="2:7" x14ac:dyDescent="0.25">
      <c r="B53" s="65" t="s">
        <v>3</v>
      </c>
      <c r="C53" s="66">
        <v>0</v>
      </c>
      <c r="D53" s="67">
        <f t="shared" si="11"/>
        <v>3.5699999999999998E-3</v>
      </c>
      <c r="E53" s="67">
        <f t="shared" si="12"/>
        <v>0</v>
      </c>
      <c r="F53" s="68">
        <f t="shared" si="13"/>
        <v>0</v>
      </c>
      <c r="G53" s="69" t="s">
        <v>58</v>
      </c>
    </row>
    <row r="54" spans="2:7" x14ac:dyDescent="0.25">
      <c r="B54" s="65" t="s">
        <v>4</v>
      </c>
      <c r="C54" s="66">
        <v>0</v>
      </c>
      <c r="D54" s="67">
        <f t="shared" si="11"/>
        <v>3.5699999999999998E-3</v>
      </c>
      <c r="E54" s="67">
        <f t="shared" si="12"/>
        <v>0</v>
      </c>
      <c r="F54" s="68">
        <f t="shared" si="13"/>
        <v>0</v>
      </c>
      <c r="G54" s="69" t="s">
        <v>58</v>
      </c>
    </row>
    <row r="55" spans="2:7" x14ac:dyDescent="0.25">
      <c r="B55" s="65" t="s">
        <v>5</v>
      </c>
      <c r="C55" s="66">
        <v>0</v>
      </c>
      <c r="D55" s="67">
        <f>PI()*G17^2</f>
        <v>5.5417694409323958E-3</v>
      </c>
      <c r="E55" s="67">
        <f t="shared" si="12"/>
        <v>0</v>
      </c>
      <c r="F55" s="68">
        <f t="shared" si="13"/>
        <v>0</v>
      </c>
      <c r="G55" s="69" t="s">
        <v>58</v>
      </c>
    </row>
    <row r="56" spans="2:7" x14ac:dyDescent="0.25">
      <c r="B56" s="65" t="s">
        <v>6</v>
      </c>
      <c r="C56" s="66">
        <v>0</v>
      </c>
      <c r="D56" s="67">
        <f>PI()*G18^2</f>
        <v>5.5417694409323958E-3</v>
      </c>
      <c r="E56" s="67">
        <f t="shared" si="12"/>
        <v>0</v>
      </c>
      <c r="F56" s="68">
        <f t="shared" si="13"/>
        <v>0</v>
      </c>
      <c r="G56" s="69" t="s">
        <v>58</v>
      </c>
    </row>
    <row r="57" spans="2:7" x14ac:dyDescent="0.25">
      <c r="B57" s="65" t="s">
        <v>7</v>
      </c>
      <c r="C57" s="66">
        <v>0</v>
      </c>
      <c r="D57" s="67">
        <f>PI()*G19^2</f>
        <v>5.5417694409323958E-3</v>
      </c>
      <c r="E57" s="67">
        <f t="shared" si="12"/>
        <v>0</v>
      </c>
      <c r="F57" s="68">
        <f t="shared" si="13"/>
        <v>0</v>
      </c>
      <c r="G57" s="69" t="s">
        <v>58</v>
      </c>
    </row>
    <row r="58" spans="2:7" x14ac:dyDescent="0.25">
      <c r="B58" s="65" t="s">
        <v>8</v>
      </c>
      <c r="C58" s="66">
        <v>0</v>
      </c>
      <c r="D58" s="67">
        <f>PI()*G20^2</f>
        <v>5.5417694409323958E-3</v>
      </c>
      <c r="E58" s="67">
        <f t="shared" si="12"/>
        <v>0</v>
      </c>
      <c r="F58" s="68">
        <f t="shared" si="13"/>
        <v>0</v>
      </c>
      <c r="G58" s="69" t="s">
        <v>58</v>
      </c>
    </row>
    <row r="59" spans="2:7" x14ac:dyDescent="0.25">
      <c r="B59" s="70" t="s">
        <v>87</v>
      </c>
      <c r="C59" s="66">
        <v>0</v>
      </c>
      <c r="D59" s="67">
        <f>PI()*G21*G21</f>
        <v>3.4636059005827474E-4</v>
      </c>
      <c r="E59" s="67">
        <f t="shared" si="12"/>
        <v>0</v>
      </c>
      <c r="F59" s="68">
        <f>C59+E59</f>
        <v>0</v>
      </c>
      <c r="G59" s="69" t="s">
        <v>58</v>
      </c>
    </row>
    <row r="60" spans="2:7" x14ac:dyDescent="0.25">
      <c r="B60" s="62" t="s">
        <v>10</v>
      </c>
      <c r="C60" s="71" t="s">
        <v>12</v>
      </c>
      <c r="D60" s="71"/>
      <c r="E60" s="71" t="s">
        <v>12</v>
      </c>
      <c r="F60" s="71">
        <f>SUM(F49:F59)</f>
        <v>0</v>
      </c>
      <c r="G60" s="64" t="s">
        <v>58</v>
      </c>
    </row>
    <row r="61" spans="2:7" x14ac:dyDescent="0.25">
      <c r="B61" s="6"/>
      <c r="C61" s="7"/>
      <c r="D61" s="7"/>
      <c r="E61" s="7"/>
      <c r="F61" s="7"/>
      <c r="G61" s="8"/>
    </row>
    <row r="62" spans="2:7" x14ac:dyDescent="0.25">
      <c r="B62" s="85" t="s">
        <v>59</v>
      </c>
      <c r="C62" s="86"/>
      <c r="D62" s="86"/>
      <c r="E62" s="86"/>
      <c r="F62" s="86"/>
      <c r="G62" s="87"/>
    </row>
    <row r="63" spans="2:7" x14ac:dyDescent="0.25">
      <c r="B63" s="49"/>
      <c r="C63" s="50"/>
      <c r="D63" s="50"/>
      <c r="E63" s="50"/>
      <c r="F63" s="50"/>
      <c r="G63" s="51"/>
    </row>
    <row r="64" spans="2:7" x14ac:dyDescent="0.25">
      <c r="B64" s="49"/>
      <c r="C64" s="52" t="s">
        <v>46</v>
      </c>
      <c r="D64" s="52" t="s">
        <v>47</v>
      </c>
      <c r="E64" s="50"/>
      <c r="F64" s="50"/>
      <c r="G64" s="51"/>
    </row>
    <row r="65" spans="2:7" x14ac:dyDescent="0.25">
      <c r="B65" s="49"/>
      <c r="C65" s="52">
        <v>45</v>
      </c>
      <c r="D65" s="50">
        <f>RADIANS(C65)</f>
        <v>0.78539816339744828</v>
      </c>
      <c r="E65" s="50"/>
      <c r="F65" s="50"/>
      <c r="G65" s="51"/>
    </row>
    <row r="66" spans="2:7" x14ac:dyDescent="0.25">
      <c r="B66" s="6"/>
      <c r="C66" s="7"/>
      <c r="D66" s="7"/>
      <c r="E66" s="7"/>
      <c r="F66" s="7"/>
      <c r="G66" s="8"/>
    </row>
    <row r="67" spans="2:7" x14ac:dyDescent="0.25">
      <c r="B67" s="6"/>
      <c r="C67" s="7"/>
      <c r="D67" s="7"/>
      <c r="E67" s="7"/>
      <c r="F67" s="7"/>
      <c r="G67" s="8"/>
    </row>
    <row r="68" spans="2:7" x14ac:dyDescent="0.25">
      <c r="B68" s="82" t="s">
        <v>62</v>
      </c>
      <c r="C68" s="83"/>
      <c r="D68" s="83"/>
      <c r="E68" s="83"/>
      <c r="F68" s="83"/>
      <c r="G68" s="84"/>
    </row>
    <row r="69" spans="2:7" x14ac:dyDescent="0.25">
      <c r="B69" s="53"/>
      <c r="C69" s="54"/>
      <c r="D69" s="54" t="s">
        <v>17</v>
      </c>
      <c r="E69" s="54" t="s">
        <v>18</v>
      </c>
      <c r="F69" s="54" t="s">
        <v>19</v>
      </c>
      <c r="G69" s="55" t="s">
        <v>54</v>
      </c>
    </row>
    <row r="70" spans="2:7" x14ac:dyDescent="0.25">
      <c r="B70" s="53"/>
      <c r="C70" s="54" t="s">
        <v>60</v>
      </c>
      <c r="D70" s="56">
        <f>I44</f>
        <v>0.19674389487737665</v>
      </c>
      <c r="E70" s="56">
        <f t="shared" ref="E70:F70" si="14">J44</f>
        <v>0.19606905937737668</v>
      </c>
      <c r="F70" s="56">
        <f t="shared" si="14"/>
        <v>6.8924024816666665E-2</v>
      </c>
      <c r="G70" s="57">
        <f>F60</f>
        <v>0</v>
      </c>
    </row>
    <row r="71" spans="2:7" ht="15.75" thickBot="1" x14ac:dyDescent="0.3">
      <c r="B71" s="58"/>
      <c r="C71" s="59" t="s">
        <v>61</v>
      </c>
      <c r="D71" s="60">
        <f>D70*COS($D$65)^2 +E70*SIN($D$65)^2 - G70*SIN(2*$D$65)</f>
        <v>0.19640647712737666</v>
      </c>
      <c r="E71" s="60">
        <f>D70*SIN(D65)^2 + E70*COS(D65)^2 + G70*SIN(2*D65)</f>
        <v>0.19640647712737666</v>
      </c>
      <c r="F71" s="60">
        <f>F70</f>
        <v>6.8924024816666665E-2</v>
      </c>
      <c r="G71" s="103">
        <f>((D70-E70)/2)*SIN(2*D65)+G70*COS(2*D65)</f>
        <v>3.3741774999998531E-4</v>
      </c>
    </row>
  </sheetData>
  <mergeCells count="14">
    <mergeCell ref="B1:K1"/>
    <mergeCell ref="B3:K3"/>
    <mergeCell ref="B7:G7"/>
    <mergeCell ref="I7:K7"/>
    <mergeCell ref="B9:G9"/>
    <mergeCell ref="I9:K9"/>
    <mergeCell ref="B62:G62"/>
    <mergeCell ref="B68:G68"/>
    <mergeCell ref="M9:O9"/>
    <mergeCell ref="B25:G25"/>
    <mergeCell ref="I25:K25"/>
    <mergeCell ref="B41:G41"/>
    <mergeCell ref="I41:K41"/>
    <mergeCell ref="B46:G4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A40E-F2BC-4982-B8FB-93BE5A0A97A6}">
  <dimension ref="A2:H24"/>
  <sheetViews>
    <sheetView topLeftCell="A2" workbookViewId="0">
      <selection activeCell="B23" sqref="B23"/>
    </sheetView>
  </sheetViews>
  <sheetFormatPr defaultRowHeight="15" x14ac:dyDescent="0.25"/>
  <cols>
    <col min="2" max="2" width="55.85546875" customWidth="1"/>
    <col min="3" max="3" width="13.7109375" customWidth="1"/>
    <col min="4" max="4" width="13.28515625" customWidth="1"/>
    <col min="5" max="5" width="14.28515625" customWidth="1"/>
    <col min="6" max="7" width="16.28515625" customWidth="1"/>
  </cols>
  <sheetData>
    <row r="2" spans="1:8" ht="18" thickBot="1" x14ac:dyDescent="0.35">
      <c r="B2" s="75" t="s">
        <v>44</v>
      </c>
      <c r="C2" s="75"/>
      <c r="D2" s="75"/>
      <c r="E2" s="75"/>
      <c r="F2" s="75"/>
      <c r="G2" s="75"/>
    </row>
    <row r="3" spans="1:8" ht="15.75" thickTop="1" x14ac:dyDescent="0.25">
      <c r="B3" s="6"/>
      <c r="C3" s="7"/>
      <c r="D3" s="7"/>
      <c r="E3" s="7"/>
      <c r="F3" s="7"/>
      <c r="G3" s="8"/>
    </row>
    <row r="4" spans="1:8" x14ac:dyDescent="0.25">
      <c r="B4" s="76" t="s">
        <v>11</v>
      </c>
      <c r="C4" s="77"/>
      <c r="D4" s="77"/>
      <c r="E4" s="77"/>
      <c r="F4" s="77"/>
      <c r="G4" s="78"/>
    </row>
    <row r="5" spans="1:8" x14ac:dyDescent="0.25">
      <c r="B5" s="9"/>
      <c r="C5" s="10" t="s">
        <v>65</v>
      </c>
      <c r="D5" s="10" t="s">
        <v>67</v>
      </c>
      <c r="E5" s="10" t="s">
        <v>68</v>
      </c>
      <c r="F5" s="10" t="s">
        <v>69</v>
      </c>
      <c r="G5" s="11" t="s">
        <v>70</v>
      </c>
    </row>
    <row r="6" spans="1:8" x14ac:dyDescent="0.25">
      <c r="B6" s="9" t="s">
        <v>74</v>
      </c>
      <c r="C6" s="61">
        <v>136</v>
      </c>
      <c r="D6" s="12"/>
      <c r="E6" s="12"/>
      <c r="F6" s="12"/>
      <c r="G6" s="13"/>
    </row>
    <row r="7" spans="1:8" x14ac:dyDescent="0.25">
      <c r="B7" s="9" t="s">
        <v>75</v>
      </c>
      <c r="C7" s="61">
        <v>50.3</v>
      </c>
      <c r="D7" s="12"/>
      <c r="E7" s="12"/>
      <c r="F7" s="14"/>
      <c r="G7" s="15"/>
    </row>
    <row r="8" spans="1:8" x14ac:dyDescent="0.25">
      <c r="B8" s="9" t="s">
        <v>78</v>
      </c>
      <c r="C8" s="61">
        <v>834</v>
      </c>
      <c r="D8" s="12"/>
      <c r="E8" s="12"/>
      <c r="F8" s="14"/>
      <c r="G8" s="15"/>
    </row>
    <row r="9" spans="1:8" x14ac:dyDescent="0.25">
      <c r="B9" s="9" t="s">
        <v>73</v>
      </c>
      <c r="C9" s="61">
        <v>690</v>
      </c>
      <c r="D9" s="12"/>
      <c r="E9" s="12"/>
      <c r="F9" s="14"/>
      <c r="G9" s="15"/>
    </row>
    <row r="10" spans="1:8" x14ac:dyDescent="0.25">
      <c r="B10" s="9"/>
      <c r="C10" s="61"/>
      <c r="D10" s="12"/>
      <c r="E10" s="12"/>
      <c r="F10" s="14"/>
      <c r="G10" s="13"/>
    </row>
    <row r="11" spans="1:8" x14ac:dyDescent="0.25">
      <c r="B11" s="9" t="s">
        <v>76</v>
      </c>
      <c r="C11" s="61"/>
      <c r="D11" s="12"/>
      <c r="E11" s="12"/>
      <c r="F11" s="14"/>
      <c r="G11" s="13"/>
    </row>
    <row r="12" spans="1:8" x14ac:dyDescent="0.25">
      <c r="B12" s="104" t="s">
        <v>77</v>
      </c>
      <c r="C12" s="105">
        <v>1180</v>
      </c>
      <c r="D12" s="106"/>
      <c r="E12" s="106"/>
      <c r="F12" s="106"/>
      <c r="G12" s="10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  <row r="14" spans="1:8" x14ac:dyDescent="0.25">
      <c r="A14" s="7"/>
      <c r="B14" s="7"/>
      <c r="C14" s="7"/>
      <c r="D14" s="7"/>
      <c r="E14" s="7"/>
      <c r="F14" s="7"/>
      <c r="G14" s="7"/>
      <c r="H14" s="7"/>
    </row>
    <row r="15" spans="1:8" x14ac:dyDescent="0.25">
      <c r="A15" s="7"/>
      <c r="B15" s="7"/>
      <c r="C15" s="7"/>
      <c r="D15" s="7"/>
      <c r="E15" s="7"/>
      <c r="F15" s="7"/>
      <c r="G15" s="7"/>
      <c r="H15" s="7"/>
    </row>
    <row r="19" spans="2:7" x14ac:dyDescent="0.25">
      <c r="B19" s="1" t="s">
        <v>81</v>
      </c>
    </row>
    <row r="20" spans="2:7" x14ac:dyDescent="0.25">
      <c r="B20" s="108" t="s">
        <v>66</v>
      </c>
      <c r="C20" s="109">
        <v>162.69999999999999</v>
      </c>
      <c r="D20" s="110"/>
      <c r="E20" s="110"/>
      <c r="F20" s="111"/>
      <c r="G20" s="112"/>
    </row>
    <row r="21" spans="2:7" x14ac:dyDescent="0.25">
      <c r="B21" s="113" t="s">
        <v>72</v>
      </c>
      <c r="C21" s="61">
        <v>87.1</v>
      </c>
      <c r="D21" s="12"/>
      <c r="E21" s="12"/>
      <c r="F21" s="14"/>
      <c r="G21" s="114"/>
    </row>
    <row r="22" spans="2:7" x14ac:dyDescent="0.25">
      <c r="B22" s="113" t="s">
        <v>71</v>
      </c>
      <c r="C22" s="61">
        <v>25</v>
      </c>
      <c r="D22" s="12"/>
      <c r="E22" s="12"/>
      <c r="F22" s="14"/>
      <c r="G22" s="115"/>
    </row>
    <row r="23" spans="2:7" x14ac:dyDescent="0.25">
      <c r="B23" s="113" t="s">
        <v>79</v>
      </c>
      <c r="C23" s="61">
        <v>276</v>
      </c>
      <c r="D23" s="12"/>
      <c r="E23" s="12"/>
      <c r="F23" s="14"/>
      <c r="G23" s="114"/>
    </row>
    <row r="24" spans="2:7" x14ac:dyDescent="0.25">
      <c r="B24" s="116" t="s">
        <v>80</v>
      </c>
      <c r="C24" s="105">
        <v>39.700000000000003</v>
      </c>
      <c r="D24" s="106"/>
      <c r="E24" s="106"/>
      <c r="F24" s="117"/>
      <c r="G24" s="118"/>
    </row>
  </sheetData>
  <mergeCells count="2">
    <mergeCell ref="B2:G2"/>
    <mergeCell ref="B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Compute MOI</vt:lpstr>
      <vt:lpstr>Compute MOI with pole</vt:lpstr>
      <vt:lpstr>NOTES FROM TESTDAY</vt:lpstr>
    </vt:vector>
  </TitlesOfParts>
  <Company>Royal Netherlands Aerospace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Baasbank, Erik van</dc:creator>
  <cp:lastModifiedBy>Baasbank, Erik van</cp:lastModifiedBy>
  <dcterms:created xsi:type="dcterms:W3CDTF">2022-06-06T12:14:07Z</dcterms:created>
  <dcterms:modified xsi:type="dcterms:W3CDTF">2022-08-30T22:30:28Z</dcterms:modified>
</cp:coreProperties>
</file>