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https://marq-my.sharepoint.com/personal/erik_kosberg_marquette_edu/Documents/"/>
    </mc:Choice>
  </mc:AlternateContent>
  <xr:revisionPtr revIDLastSave="0" documentId="8_{29DC2450-F590-2945-BB92-96B274DC57A6}" xr6:coauthVersionLast="45" xr6:coauthVersionMax="45" xr10:uidLastSave="{00000000-0000-0000-0000-000000000000}"/>
  <bookViews>
    <workbookView xWindow="0" yWindow="460" windowWidth="25600" windowHeight="14440" activeTab="5" xr2:uid="{6FB72985-CFA4-45E7-85ED-FBDD1C2BFB38}"/>
  </bookViews>
  <sheets>
    <sheet name="Key" sheetId="1" r:id="rId1"/>
    <sheet name="Hist Financials" sheetId="2" r:id="rId2"/>
    <sheet name="Estimated Inputs" sheetId="3" r:id="rId3"/>
    <sheet name="FCF" sheetId="4" r:id="rId4"/>
    <sheet name="Complete Proj." sheetId="5" r:id="rId5"/>
    <sheet name="FCF Valuation" sheetId="9" r:id="rId6"/>
    <sheet name="Explanations" sheetId="6" r:id="rId7"/>
  </sheets>
  <externalReferences>
    <externalReference r:id="rId8"/>
  </externalReferences>
  <definedNames>
    <definedName name="ch5data" localSheetId="4">#REF!</definedName>
    <definedName name="ch5data" localSheetId="2">#REF!</definedName>
    <definedName name="ch5data" localSheetId="6">#REF!</definedName>
    <definedName name="ch5data" localSheetId="3">#REF!</definedName>
    <definedName name="ch5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9" i="4" l="1"/>
  <c r="N11" i="9"/>
  <c r="N6" i="9"/>
  <c r="E8" i="5" l="1"/>
  <c r="D19" i="5"/>
  <c r="L5" i="4"/>
  <c r="J5" i="4"/>
  <c r="K5" i="4"/>
  <c r="K3" i="4"/>
  <c r="L3" i="4"/>
  <c r="J3" i="4"/>
  <c r="D8" i="5"/>
  <c r="I13" i="5" s="1"/>
  <c r="E7" i="4"/>
  <c r="E39" i="3"/>
  <c r="H19" i="5"/>
  <c r="H18" i="5"/>
  <c r="H15" i="5"/>
  <c r="H14" i="5"/>
  <c r="H13" i="5"/>
  <c r="H11" i="5"/>
  <c r="H8" i="5"/>
  <c r="E21" i="5"/>
  <c r="D23" i="5"/>
  <c r="D22" i="5"/>
  <c r="D21" i="5"/>
  <c r="D17" i="5"/>
  <c r="D15" i="5"/>
  <c r="D13" i="5"/>
  <c r="D12" i="5"/>
  <c r="D9" i="5"/>
  <c r="D7" i="5"/>
  <c r="E22" i="4"/>
  <c r="H10" i="5" s="1"/>
  <c r="E23" i="4"/>
  <c r="E21" i="4"/>
  <c r="H9" i="5" s="1"/>
  <c r="E20" i="4"/>
  <c r="F20" i="4" s="1"/>
  <c r="F10" i="4" s="1"/>
  <c r="F23" i="4" s="1"/>
  <c r="E15" i="4"/>
  <c r="E14" i="4"/>
  <c r="D16" i="5" s="1"/>
  <c r="E13" i="4"/>
  <c r="E9" i="4"/>
  <c r="E10" i="4"/>
  <c r="E8" i="4"/>
  <c r="D10" i="5" s="1"/>
  <c r="E6" i="4"/>
  <c r="G42" i="3"/>
  <c r="F42" i="3"/>
  <c r="E42" i="3"/>
  <c r="F41" i="3"/>
  <c r="E41" i="3"/>
  <c r="G41" i="3" s="1"/>
  <c r="E40" i="3"/>
  <c r="F40" i="3"/>
  <c r="D40" i="3"/>
  <c r="G40" i="3" s="1"/>
  <c r="E24" i="4" l="1"/>
  <c r="H12" i="5" s="1"/>
  <c r="E11" i="4"/>
  <c r="I14" i="5"/>
  <c r="N8" i="9"/>
  <c r="F22" i="4"/>
  <c r="I10" i="5" s="1"/>
  <c r="F13" i="4"/>
  <c r="E15" i="5" s="1"/>
  <c r="F21" i="4"/>
  <c r="I9" i="5" s="1"/>
  <c r="K6" i="4"/>
  <c r="L6" i="4"/>
  <c r="D18" i="5"/>
  <c r="D20" i="5" s="1"/>
  <c r="D24" i="5" s="1"/>
  <c r="D11" i="5"/>
  <c r="F14" i="4"/>
  <c r="E16" i="5" s="1"/>
  <c r="F6" i="4"/>
  <c r="E12" i="5"/>
  <c r="F7" i="4"/>
  <c r="E9" i="5" s="1"/>
  <c r="I8" i="5"/>
  <c r="I11" i="5"/>
  <c r="F8" i="4"/>
  <c r="E10" i="5" s="1"/>
  <c r="F24" i="4" l="1"/>
  <c r="M3" i="4" s="1"/>
  <c r="M4" i="4" s="1"/>
  <c r="M9" i="4" s="1"/>
  <c r="I12" i="5"/>
  <c r="I15" i="5" s="1"/>
  <c r="E7" i="5"/>
  <c r="F9" i="4"/>
  <c r="F11" i="4" s="1"/>
  <c r="F15" i="4"/>
  <c r="F39" i="3"/>
  <c r="G39" i="3" s="1"/>
  <c r="E28" i="3"/>
  <c r="M5" i="4" l="1"/>
  <c r="M6" i="4" s="1"/>
  <c r="M7" i="4" s="1"/>
  <c r="E6" i="9" s="1"/>
  <c r="I27" i="5"/>
  <c r="E19" i="5"/>
  <c r="I16" i="5"/>
  <c r="I17" i="5" s="1"/>
  <c r="I19" i="5" s="1"/>
  <c r="E22" i="5" s="1"/>
  <c r="E23" i="5" s="1"/>
  <c r="E11" i="5"/>
  <c r="E13" i="5" s="1"/>
  <c r="I28" i="5" l="1"/>
  <c r="I29" i="5" s="1"/>
  <c r="F6" i="9"/>
  <c r="G6" i="9" s="1"/>
  <c r="H6" i="9" s="1"/>
  <c r="I6" i="9" s="1"/>
  <c r="I8" i="9" s="1"/>
  <c r="N2" i="9" s="1"/>
  <c r="E17" i="5" l="1"/>
  <c r="E18" i="5" s="1"/>
  <c r="E20" i="5" s="1"/>
  <c r="E24" i="5" s="1"/>
  <c r="E25" i="5" s="1"/>
  <c r="K11" i="3"/>
  <c r="I30" i="5" l="1"/>
  <c r="N3" i="9" l="1"/>
  <c r="N4" i="9" s="1"/>
  <c r="N7" i="9" s="1"/>
  <c r="N9" i="9" s="1"/>
  <c r="N12" i="9" s="1"/>
  <c r="C27" i="9" s="1"/>
  <c r="E32" i="3" l="1"/>
  <c r="F32" i="3"/>
  <c r="E33" i="3"/>
  <c r="F33" i="3"/>
  <c r="E34" i="3"/>
  <c r="F34" i="3"/>
  <c r="E35" i="3"/>
  <c r="F35" i="3"/>
  <c r="E36" i="3"/>
  <c r="F36" i="3"/>
  <c r="E37" i="3"/>
  <c r="F37" i="3"/>
  <c r="E38" i="3"/>
  <c r="K4" i="4" s="1"/>
  <c r="K7" i="4" s="1"/>
  <c r="F38" i="3"/>
  <c r="D38" i="3"/>
  <c r="D37" i="3"/>
  <c r="G37" i="3" s="1"/>
  <c r="D36" i="3"/>
  <c r="G36" i="3" s="1"/>
  <c r="D35" i="3"/>
  <c r="G35" i="3" s="1"/>
  <c r="D34" i="3"/>
  <c r="D33" i="3"/>
  <c r="G33" i="3" s="1"/>
  <c r="D32" i="3"/>
  <c r="G32" i="3" s="1"/>
  <c r="E31" i="3"/>
  <c r="F31" i="3"/>
  <c r="D31" i="3"/>
  <c r="G31" i="3" s="1"/>
  <c r="E30" i="3"/>
  <c r="F30" i="3"/>
  <c r="D30" i="3"/>
  <c r="E29" i="3"/>
  <c r="F29" i="3"/>
  <c r="D29" i="3"/>
  <c r="F28" i="3"/>
  <c r="G28" i="3" s="1"/>
  <c r="G30" i="3" l="1"/>
  <c r="G34" i="3"/>
  <c r="G38" i="3"/>
  <c r="J4" i="4"/>
  <c r="G29" i="3"/>
  <c r="L4" i="4"/>
  <c r="H16" i="5"/>
  <c r="H17" i="5" s="1"/>
  <c r="D4" i="9"/>
  <c r="E4" i="9" s="1"/>
  <c r="F4" i="9" s="1"/>
  <c r="G4" i="9" s="1"/>
  <c r="H4" i="9" s="1"/>
  <c r="I4" i="9" s="1"/>
  <c r="L9" i="4" l="1"/>
  <c r="L7" i="4"/>
  <c r="E27" i="3"/>
  <c r="F27" i="3"/>
  <c r="D27" i="3"/>
  <c r="D6" i="9" l="1"/>
  <c r="L8" i="4"/>
  <c r="M8" i="4"/>
  <c r="E7" i="9" s="1"/>
  <c r="H7" i="5"/>
  <c r="H6" i="5"/>
  <c r="C26" i="2"/>
  <c r="M22" i="1"/>
  <c r="C5" i="1" s="1"/>
  <c r="I6" i="5" l="1"/>
  <c r="I25" i="5" s="1"/>
  <c r="D6" i="5"/>
  <c r="F19" i="4"/>
  <c r="D26" i="2"/>
  <c r="E26" i="2"/>
  <c r="E4" i="4" l="1"/>
  <c r="F4" i="4" s="1"/>
  <c r="I7" i="5"/>
  <c r="I26" i="5" l="1"/>
  <c r="E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6" authorId="0" shapeId="0" xr:uid="{8354C21C-A34D-6541-BA36-4BFA4876C543}">
      <text>
        <r>
          <rPr>
            <b/>
            <sz val="10"/>
            <color rgb="FF000000"/>
            <rFont val="Tahoma"/>
            <family val="2"/>
          </rPr>
          <t>Microsoft Office User:</t>
        </r>
        <r>
          <rPr>
            <sz val="10"/>
            <color rgb="FF000000"/>
            <rFont val="Tahoma"/>
            <family val="2"/>
          </rPr>
          <t xml:space="preserve">
</t>
        </r>
        <r>
          <rPr>
            <sz val="10"/>
            <color rgb="FF000000"/>
            <rFont val="Tahoma"/>
            <family val="2"/>
          </rPr>
          <t>The sales growth rate will be higher than the previous year due to new business ventures, this rate will continue to grow as the profit from these ventures is recognized</t>
        </r>
      </text>
    </comment>
    <comment ref="F7" authorId="0" shapeId="0" xr:uid="{FE5F61C3-6FDE-BB4F-AE55-7E04A582EC5B}">
      <text>
        <r>
          <rPr>
            <b/>
            <sz val="10"/>
            <color rgb="FF000000"/>
            <rFont val="Tahoma"/>
            <family val="2"/>
          </rPr>
          <t>Microsoft Office User:</t>
        </r>
        <r>
          <rPr>
            <sz val="10"/>
            <color rgb="FF000000"/>
            <rFont val="Tahoma"/>
            <family val="2"/>
          </rPr>
          <t xml:space="preserve">
</t>
        </r>
        <r>
          <rPr>
            <sz val="10"/>
            <color rgb="FF000000"/>
            <rFont val="Tahoma"/>
            <family val="2"/>
          </rPr>
          <t xml:space="preserve">COGS will increase proportionately to cost of hops
</t>
        </r>
      </text>
    </comment>
    <comment ref="F8" authorId="0" shapeId="0" xr:uid="{B83C72E1-1E34-3741-9C0C-5E9AE41E4081}">
      <text>
        <r>
          <rPr>
            <b/>
            <sz val="10"/>
            <color rgb="FF000000"/>
            <rFont val="Tahoma"/>
            <family val="2"/>
          </rPr>
          <t>Microsoft Office User:</t>
        </r>
        <r>
          <rPr>
            <sz val="10"/>
            <color rgb="FF000000"/>
            <rFont val="Tahoma"/>
            <family val="2"/>
          </rPr>
          <t xml:space="preserve">
</t>
        </r>
        <r>
          <rPr>
            <sz val="10"/>
            <color rgb="FF000000"/>
            <rFont val="Tahoma"/>
            <family val="2"/>
          </rPr>
          <t>SGA will remain constant</t>
        </r>
      </text>
    </comment>
    <comment ref="F9" authorId="0" shapeId="0" xr:uid="{44C0516D-313D-014F-833E-46FA84ABD334}">
      <text>
        <r>
          <rPr>
            <b/>
            <sz val="10"/>
            <color rgb="FF000000"/>
            <rFont val="Tahoma"/>
            <family val="2"/>
          </rPr>
          <t>Microsoft Office User:</t>
        </r>
        <r>
          <rPr>
            <sz val="10"/>
            <color rgb="FF000000"/>
            <rFont val="Tahoma"/>
            <family val="2"/>
          </rPr>
          <t xml:space="preserve">
</t>
        </r>
        <r>
          <rPr>
            <sz val="10"/>
            <color rgb="FF000000"/>
            <rFont val="Tahoma"/>
            <family val="2"/>
          </rPr>
          <t>Depreciation/Net PPE will remain steady</t>
        </r>
      </text>
    </comment>
    <comment ref="F10" authorId="0" shapeId="0" xr:uid="{6C73796C-E7D7-4243-AE80-A8D6DD374425}">
      <text>
        <r>
          <rPr>
            <b/>
            <sz val="10"/>
            <color rgb="FF000000"/>
            <rFont val="Tahoma"/>
            <family val="2"/>
          </rPr>
          <t>Microsoft Office User:</t>
        </r>
        <r>
          <rPr>
            <sz val="10"/>
            <color rgb="FF000000"/>
            <rFont val="Tahoma"/>
            <family val="2"/>
          </rPr>
          <t xml:space="preserve">
</t>
        </r>
        <r>
          <rPr>
            <sz val="10"/>
            <color rgb="FF000000"/>
            <rFont val="Tahoma"/>
            <family val="2"/>
          </rPr>
          <t>Cash on hand will go down to fund the new PPE</t>
        </r>
      </text>
    </comment>
    <comment ref="F11" authorId="0" shapeId="0" xr:uid="{21268906-E659-9B42-83ED-CDD1BF6FB452}">
      <text>
        <r>
          <rPr>
            <b/>
            <sz val="10"/>
            <color rgb="FF000000"/>
            <rFont val="Tahoma"/>
            <family val="2"/>
          </rPr>
          <t>Microsoft Office User:</t>
        </r>
        <r>
          <rPr>
            <sz val="10"/>
            <color rgb="FF000000"/>
            <rFont val="Tahoma"/>
            <family val="2"/>
          </rPr>
          <t xml:space="preserve">
</t>
        </r>
        <r>
          <rPr>
            <sz val="10"/>
            <color rgb="FF000000"/>
            <rFont val="Tahoma"/>
            <family val="2"/>
          </rPr>
          <t>AR will remain constant</t>
        </r>
      </text>
    </comment>
    <comment ref="F12" authorId="0" shapeId="0" xr:uid="{85C0AE05-A180-7348-8B3F-3183C6647B54}">
      <text>
        <r>
          <rPr>
            <b/>
            <sz val="10"/>
            <color rgb="FF000000"/>
            <rFont val="Tahoma"/>
            <family val="2"/>
          </rPr>
          <t>Microsoft Office User:</t>
        </r>
        <r>
          <rPr>
            <sz val="10"/>
            <color rgb="FF000000"/>
            <rFont val="Tahoma"/>
            <family val="2"/>
          </rPr>
          <t xml:space="preserve">
</t>
        </r>
        <r>
          <rPr>
            <sz val="10"/>
            <color rgb="FF000000"/>
            <rFont val="Tahoma"/>
            <family val="2"/>
          </rPr>
          <t>Inventory now has a mandatory increase of 2% which is less than sales will grow, so the ratio will become smaller</t>
        </r>
      </text>
    </comment>
    <comment ref="F13" authorId="0" shapeId="0" xr:uid="{15296BC0-AF5C-9E40-9364-5970934D820F}">
      <text>
        <r>
          <rPr>
            <b/>
            <sz val="10"/>
            <color rgb="FF000000"/>
            <rFont val="Tahoma"/>
            <family val="2"/>
          </rPr>
          <t>Microsoft Office User:</t>
        </r>
        <r>
          <rPr>
            <sz val="10"/>
            <color rgb="FF000000"/>
            <rFont val="Tahoma"/>
            <family val="2"/>
          </rPr>
          <t xml:space="preserve">
</t>
        </r>
        <r>
          <rPr>
            <sz val="10"/>
            <color rgb="FF000000"/>
            <rFont val="Tahoma"/>
            <family val="2"/>
          </rPr>
          <t xml:space="preserve">This will fall due to sales increasing faster than net PP&amp;E
</t>
        </r>
      </text>
    </comment>
    <comment ref="F14" authorId="0" shapeId="0" xr:uid="{20D3CD4E-847D-1A40-9934-A94DC83C8F94}">
      <text>
        <r>
          <rPr>
            <b/>
            <sz val="10"/>
            <color rgb="FF000000"/>
            <rFont val="Tahoma"/>
            <family val="2"/>
          </rPr>
          <t>Microsoft Office User:</t>
        </r>
        <r>
          <rPr>
            <sz val="10"/>
            <color rgb="FF000000"/>
            <rFont val="Tahoma"/>
            <family val="2"/>
          </rPr>
          <t xml:space="preserve">
</t>
        </r>
        <r>
          <rPr>
            <sz val="10"/>
            <color rgb="FF000000"/>
            <rFont val="Tahoma"/>
            <family val="2"/>
          </rPr>
          <t>remains constant</t>
        </r>
      </text>
    </comment>
    <comment ref="F15" authorId="0" shapeId="0" xr:uid="{CD3724DD-FF46-4A49-8587-93BABDF72771}">
      <text>
        <r>
          <rPr>
            <b/>
            <sz val="10"/>
            <color rgb="FF000000"/>
            <rFont val="Tahoma"/>
            <family val="2"/>
          </rPr>
          <t>Microsoft Office User:</t>
        </r>
        <r>
          <rPr>
            <sz val="10"/>
            <color rgb="FF000000"/>
            <rFont val="Tahoma"/>
            <family val="2"/>
          </rPr>
          <t xml:space="preserve">
</t>
        </r>
        <r>
          <rPr>
            <sz val="10"/>
            <color rgb="FF000000"/>
            <rFont val="Tahoma"/>
            <family val="2"/>
          </rPr>
          <t>remains constant</t>
        </r>
      </text>
    </comment>
    <comment ref="F16" authorId="0" shapeId="0" xr:uid="{6ADEA7C2-1713-2D4B-9461-B865B1D5A03B}">
      <text>
        <r>
          <rPr>
            <b/>
            <sz val="10"/>
            <color rgb="FF000000"/>
            <rFont val="Tahoma"/>
            <family val="2"/>
          </rPr>
          <t>Microsoft Office User:</t>
        </r>
        <r>
          <rPr>
            <sz val="10"/>
            <color rgb="FF000000"/>
            <rFont val="Tahoma"/>
            <family val="2"/>
          </rPr>
          <t xml:space="preserve">
</t>
        </r>
        <r>
          <rPr>
            <sz val="10"/>
            <color rgb="FF000000"/>
            <rFont val="Tahoma"/>
            <family val="2"/>
          </rPr>
          <t>remains constant</t>
        </r>
      </text>
    </comment>
    <comment ref="F17" authorId="0" shapeId="0" xr:uid="{FCBE776A-F64E-134E-9997-E53B159FA3BB}">
      <text>
        <r>
          <rPr>
            <b/>
            <sz val="10"/>
            <color rgb="FF000000"/>
            <rFont val="Tahoma"/>
            <family val="2"/>
          </rPr>
          <t>Microsoft Office User:</t>
        </r>
        <r>
          <rPr>
            <sz val="10"/>
            <color rgb="FF000000"/>
            <rFont val="Tahoma"/>
            <family val="2"/>
          </rPr>
          <t xml:space="preserve">
</t>
        </r>
        <r>
          <rPr>
            <sz val="10"/>
            <color rgb="FF000000"/>
            <rFont val="Tahoma"/>
            <family val="2"/>
          </rPr>
          <t xml:space="preserve">remains constant
</t>
        </r>
      </text>
    </comment>
    <comment ref="F18" authorId="0" shapeId="0" xr:uid="{ED6D6D7D-DA5D-0548-AD93-6C47D0DEA837}">
      <text>
        <r>
          <rPr>
            <b/>
            <sz val="10"/>
            <color rgb="FF000000"/>
            <rFont val="Tahoma"/>
            <family val="2"/>
          </rPr>
          <t>Microsoft Office User:</t>
        </r>
        <r>
          <rPr>
            <sz val="10"/>
            <color rgb="FF000000"/>
            <rFont val="Tahoma"/>
            <family val="2"/>
          </rPr>
          <t xml:space="preserve">
</t>
        </r>
        <r>
          <rPr>
            <sz val="10"/>
            <color rgb="FF000000"/>
            <rFont val="Tahoma"/>
            <family val="2"/>
          </rPr>
          <t xml:space="preserve">remains constant
</t>
        </r>
      </text>
    </comment>
    <comment ref="F19" authorId="0" shapeId="0" xr:uid="{651D3CAB-B52F-3543-81B2-7ED81A748E12}">
      <text>
        <r>
          <rPr>
            <b/>
            <sz val="10"/>
            <color rgb="FF000000"/>
            <rFont val="Tahoma"/>
            <family val="2"/>
          </rPr>
          <t>Microsoft Office User:</t>
        </r>
        <r>
          <rPr>
            <sz val="10"/>
            <color rgb="FF000000"/>
            <rFont val="Tahoma"/>
            <family val="2"/>
          </rPr>
          <t xml:space="preserve">
</t>
        </r>
        <r>
          <rPr>
            <sz val="10"/>
            <color rgb="FF000000"/>
            <rFont val="Tahoma"/>
            <family val="2"/>
          </rPr>
          <t xml:space="preserve">not a great time to invest in the market
</t>
        </r>
      </text>
    </comment>
    <comment ref="F20" authorId="0" shapeId="0" xr:uid="{2B5EAF87-9DA9-0F41-9F4E-21E6D68D566B}">
      <text>
        <r>
          <rPr>
            <b/>
            <sz val="10"/>
            <color rgb="FF000000"/>
            <rFont val="Tahoma"/>
            <family val="2"/>
          </rPr>
          <t>Microsoft Office User:</t>
        </r>
        <r>
          <rPr>
            <sz val="10"/>
            <color rgb="FF000000"/>
            <rFont val="Tahoma"/>
            <family val="2"/>
          </rPr>
          <t xml:space="preserve">
</t>
        </r>
        <r>
          <rPr>
            <sz val="10"/>
            <color rgb="FF000000"/>
            <rFont val="Tahoma"/>
            <family val="2"/>
          </rPr>
          <t>remains constant</t>
        </r>
      </text>
    </comment>
  </commentList>
</comments>
</file>

<file path=xl/sharedStrings.xml><?xml version="1.0" encoding="utf-8"?>
<sst xmlns="http://schemas.openxmlformats.org/spreadsheetml/2006/main" count="223" uniqueCount="147">
  <si>
    <t>contain user input data</t>
  </si>
  <si>
    <t>light gray shading indicates cells that should</t>
  </si>
  <si>
    <t>(perhaps with user written components)</t>
  </si>
  <si>
    <t>should contain Excel functions</t>
  </si>
  <si>
    <t>pale blue shading indicates cells that</t>
  </si>
  <si>
    <t>should hold user written formulas</t>
  </si>
  <si>
    <t>light yellow shading indicates cells that</t>
  </si>
  <si>
    <t>Worksheet Key</t>
  </si>
  <si>
    <t>Comments:</t>
  </si>
  <si>
    <t>Grade:</t>
  </si>
  <si>
    <t>Name:</t>
  </si>
  <si>
    <t>Total liabilities and equity</t>
  </si>
  <si>
    <t>Total common equity</t>
  </si>
  <si>
    <t>Retained earnings</t>
  </si>
  <si>
    <t>Common stock</t>
  </si>
  <si>
    <t>Total liabilities</t>
  </si>
  <si>
    <t>Long-term debt</t>
  </si>
  <si>
    <t>Total current liabilities</t>
  </si>
  <si>
    <t>Short-term debt</t>
  </si>
  <si>
    <t>Accounts payable</t>
  </si>
  <si>
    <t>Accrued expenses</t>
  </si>
  <si>
    <t>Total assets</t>
  </si>
  <si>
    <t>Net PP&amp;E</t>
  </si>
  <si>
    <t>Total current assets</t>
  </si>
  <si>
    <t>Inventory</t>
  </si>
  <si>
    <t>Accounts receivable</t>
  </si>
  <si>
    <t>Short term investments</t>
  </si>
  <si>
    <t>Cash</t>
  </si>
  <si>
    <t>Balance sheet</t>
  </si>
  <si>
    <t>Actual</t>
  </si>
  <si>
    <t>Additions to RE</t>
  </si>
  <si>
    <t>Dividends</t>
  </si>
  <si>
    <t>Net income</t>
  </si>
  <si>
    <t>Taxes</t>
  </si>
  <si>
    <t>Earnings before taxes</t>
  </si>
  <si>
    <t>Interest expense</t>
  </si>
  <si>
    <t>Interest income</t>
  </si>
  <si>
    <t>Operating profit</t>
  </si>
  <si>
    <t>Depreciation</t>
  </si>
  <si>
    <t xml:space="preserve">Selling, general &amp; administrative </t>
  </si>
  <si>
    <t>Cost Of Goods Sold</t>
  </si>
  <si>
    <t>Net Sales</t>
  </si>
  <si>
    <t>Income Statement</t>
  </si>
  <si>
    <t>Annual Financial Information (thousands of dollars)</t>
  </si>
  <si>
    <t>The Ale House</t>
  </si>
  <si>
    <t>Long-term Debt / operating assets</t>
  </si>
  <si>
    <t>Dividend policy: growth rate</t>
  </si>
  <si>
    <t>Dividend and debt ratios</t>
  </si>
  <si>
    <t>Interest rate on debt</t>
  </si>
  <si>
    <t>Interest rate on short-term invest.</t>
  </si>
  <si>
    <t>Interest Rates</t>
  </si>
  <si>
    <t>Tax Rate (Taxes/EBT)</t>
  </si>
  <si>
    <t>Accruals / Sales</t>
  </si>
  <si>
    <t>Accts. Pay./ Sales</t>
  </si>
  <si>
    <t>Net PPE / Sales</t>
  </si>
  <si>
    <t>Inventory/ Sales</t>
  </si>
  <si>
    <t>Accts. Rec. / Sales</t>
  </si>
  <si>
    <t>Cash / Sales</t>
  </si>
  <si>
    <t>Depreciation / Net PPE</t>
  </si>
  <si>
    <t>SGA / Sales</t>
  </si>
  <si>
    <t>COGS / Sales</t>
  </si>
  <si>
    <t>Sales growth rate</t>
  </si>
  <si>
    <t>3 Year Average</t>
  </si>
  <si>
    <t>Projected Parameters</t>
  </si>
  <si>
    <t>Total operating current liabilities</t>
  </si>
  <si>
    <t>Total net operating assets</t>
  </si>
  <si>
    <t>Total operating current assets</t>
  </si>
  <si>
    <t>Accounts receiveable</t>
  </si>
  <si>
    <t>Balance sheet ($ thousands)</t>
  </si>
  <si>
    <t>Projected</t>
  </si>
  <si>
    <t>Income Statement ($ thousands)</t>
  </si>
  <si>
    <t>discrepancy</t>
  </si>
  <si>
    <t>asset-liability gap</t>
  </si>
  <si>
    <t>specified liabilities</t>
  </si>
  <si>
    <t>specified assets</t>
  </si>
  <si>
    <t>WACC</t>
  </si>
  <si>
    <t>Number of shares (thousands)</t>
  </si>
  <si>
    <t>Value of equity</t>
  </si>
  <si>
    <t>Non operating liabilites</t>
  </si>
  <si>
    <t>Total value of firm</t>
  </si>
  <si>
    <t>Value of investments</t>
  </si>
  <si>
    <t>PV of all FCF</t>
  </si>
  <si>
    <t>Horizon Value</t>
  </si>
  <si>
    <t>free cash flow</t>
  </si>
  <si>
    <t>Valuation</t>
  </si>
  <si>
    <t>Shares oustanding</t>
  </si>
  <si>
    <t>Current share price</t>
  </si>
  <si>
    <t>Constant growth rate</t>
  </si>
  <si>
    <t>Base Case</t>
  </si>
  <si>
    <t>Your Estimates</t>
  </si>
  <si>
    <t>Free Cash Flow</t>
  </si>
  <si>
    <t>Operating Income</t>
  </si>
  <si>
    <t>NOPAT</t>
  </si>
  <si>
    <t>Total Net Operating Assets</t>
  </si>
  <si>
    <t>Investment in net operating assets</t>
  </si>
  <si>
    <t>ROIC</t>
  </si>
  <si>
    <t>Rubric</t>
  </si>
  <si>
    <t>Total Points</t>
  </si>
  <si>
    <t>Your Points</t>
  </si>
  <si>
    <t>Comments</t>
  </si>
  <si>
    <t>Correct equations/functions used</t>
  </si>
  <si>
    <t>Questions</t>
  </si>
  <si>
    <t>2 point reduction for each of the following: 1) if file is named incorrectly, 2) the cells have been moved or work (other than a comment) is shown outside of the specified cells in the model, 3) base case numbers not used</t>
  </si>
  <si>
    <t>Total</t>
  </si>
  <si>
    <t>Logical Estimates and explanations</t>
  </si>
  <si>
    <t>Data Tables</t>
  </si>
  <si>
    <t>Operating capital</t>
  </si>
  <si>
    <t>Operating Taxes</t>
  </si>
  <si>
    <t>Balancing the Balance Sheet</t>
  </si>
  <si>
    <t>PV of FCF Horizon Value</t>
  </si>
  <si>
    <t>Formatting</t>
  </si>
  <si>
    <t>aqua shading indicates a direct link to another cell</t>
  </si>
  <si>
    <t>light green shading indicates your estimates</t>
  </si>
  <si>
    <t>Use your estimates</t>
  </si>
  <si>
    <t>Use base case estimates</t>
  </si>
  <si>
    <t>Estimate Notes</t>
  </si>
  <si>
    <t xml:space="preserve"> Operating profit</t>
  </si>
  <si>
    <t>Project #6 - Common Stock Valuation</t>
  </si>
  <si>
    <t>PV of FCF from 2020 - 2024 (NOT including horizon value)</t>
  </si>
  <si>
    <t>A</t>
  </si>
  <si>
    <t>B</t>
  </si>
  <si>
    <t>C</t>
  </si>
  <si>
    <t>D</t>
  </si>
  <si>
    <t>E</t>
  </si>
  <si>
    <t>F</t>
  </si>
  <si>
    <t>G</t>
  </si>
  <si>
    <t>H</t>
  </si>
  <si>
    <t>NA</t>
  </si>
  <si>
    <t>growth in FCF</t>
  </si>
  <si>
    <t>Estimated price per share, end of 2019 fiscal year</t>
  </si>
  <si>
    <t>2020*</t>
  </si>
  <si>
    <t>projected*</t>
  </si>
  <si>
    <t>growth rate in FCF</t>
  </si>
  <si>
    <t>Given the final result, my answer does feel fairly reasonable. One of the assumptions of this company is that they are about to spend $10 mm on PP&amp;E. This means that cash would be lower in the first year, and this could potentially hurt there share price explaining why a model illustrate a decrease in price would make sense</t>
  </si>
  <si>
    <t>The asset liability gap is $2,736.09. This can be fixed on the balance sheet by increasing short-term debt. This would be possible because of the fact that there are more assets than liabilities. Other ways to adjust include relooking at projections, dividends, and issue common equity.</t>
  </si>
  <si>
    <t>WACC Sensitivity Analysis</t>
  </si>
  <si>
    <t xml:space="preserve">WACC </t>
  </si>
  <si>
    <t>Growth Rate</t>
  </si>
  <si>
    <t>Because as the liability gap changes the way that it is currently set up, it will be accounted for in short-term debt if the assets&gt;L+E and alternatively put into short-term investments if it’s the other way around.</t>
  </si>
  <si>
    <t>It increases the asset liability gap because the company becomes values higher as investors like to invest in a company that pays consistent dividends</t>
  </si>
  <si>
    <t>The ROIC is calculated by taking the NOPAT of the current year and dividing it by the Total Net Operating Assets from the year prior. This percentage signifies the return generated relative to the net assets of the year before, otherwise known as the return on invested capital</t>
  </si>
  <si>
    <t>The FCFs over the next five years tell us that the firm will continue to increase in value over the next 5 years; however, at a slightly lower rate each year.</t>
  </si>
  <si>
    <t>Sales Growth Rate</t>
  </si>
  <si>
    <t>Dividend Growth Rate</t>
  </si>
  <si>
    <t>Asset Liability Gap - Sensitivity Analysis</t>
  </si>
  <si>
    <t>The stock value increases as the WACC decreases, they are inversely related</t>
  </si>
  <si>
    <t>I would not invest in this company because it is overvalued: based off the logic provided in the previous 5 tabs, the intrinsic value of the share price lies at $26.23. However; this could prove to be a viable opportunity if one chose to purchase shares in The Ale House at the end of 2019, seeing as they are likely to generate positive FCF in the next five years at $26.23 definitely be seen as a discount to $30. If the price of this company were to drop below $27, I would take another look at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</si>
</sst>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0.0"/>
    <numFmt numFmtId="165" formatCode="#,##0.0"/>
    <numFmt numFmtId="166" formatCode="_(* #,##0.0_);_(* \(#,##0.0\);_(* &quot;-&quot;?_);_(@_)"/>
    <numFmt numFmtId="167" formatCode="_(* #,##0_);_(* \(#,##0\);_(* &quot;-&quot;??_);_(@_)"/>
    <numFmt numFmtId="168" formatCode="_(* #,##0.0_);_(* \(#,##0.0\);_(* &quot;-&quot;??_);_(@_)"/>
    <numFmt numFmtId="169" formatCode="0_);\(0\)"/>
    <numFmt numFmtId="170" formatCode="_(&quot;$&quot;* #,##0_);_(&quot;$&quot;* \(#,##0\);_(&quot;$&quot;* &quot;-&quot;??_);_(@_)"/>
    <numFmt numFmtId="175" formatCode="0.0%"/>
    <numFmt numFmtId="181" formatCode="&quot;$&quot;#,##0.00"/>
  </numFmts>
  <fonts count="37" x14ac:knownFonts="1">
    <font>
      <sz val="10"/>
      <name val="Arial"/>
      <family val="2"/>
    </font>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11"/>
      <name val="Arial"/>
      <family val="2"/>
    </font>
    <font>
      <sz val="8"/>
      <name val="Arial"/>
      <family val="2"/>
    </font>
    <font>
      <sz val="11"/>
      <color rgb="FFFF0000"/>
      <name val="Arial"/>
      <family val="2"/>
    </font>
    <font>
      <b/>
      <sz val="12"/>
      <name val="Arial"/>
      <family val="2"/>
    </font>
    <font>
      <b/>
      <sz val="8"/>
      <color indexed="10"/>
      <name val="Arial"/>
      <family val="2"/>
    </font>
    <font>
      <b/>
      <sz val="11"/>
      <name val="Arial"/>
      <family val="2"/>
    </font>
    <font>
      <sz val="12"/>
      <name val="Arial"/>
      <family val="2"/>
    </font>
    <font>
      <u val="double"/>
      <sz val="12"/>
      <color indexed="8"/>
      <name val="Arial"/>
      <family val="2"/>
    </font>
    <font>
      <u/>
      <sz val="12"/>
      <color indexed="8"/>
      <name val="Arial"/>
      <family val="2"/>
    </font>
    <font>
      <u/>
      <sz val="12"/>
      <name val="Arial"/>
      <family val="2"/>
    </font>
    <font>
      <sz val="12"/>
      <color indexed="8"/>
      <name val="Arial"/>
      <family val="2"/>
    </font>
    <font>
      <b/>
      <sz val="12"/>
      <color indexed="8"/>
      <name val="Arial"/>
      <family val="2"/>
    </font>
    <font>
      <b/>
      <u/>
      <sz val="12"/>
      <name val="Arial"/>
      <family val="2"/>
    </font>
    <font>
      <b/>
      <sz val="14"/>
      <name val="Arial"/>
      <family val="2"/>
    </font>
    <font>
      <b/>
      <sz val="10"/>
      <name val="Arial"/>
      <family val="2"/>
    </font>
    <font>
      <b/>
      <sz val="12"/>
      <color indexed="10"/>
      <name val="Arial"/>
      <family val="2"/>
    </font>
    <font>
      <i/>
      <u/>
      <sz val="12"/>
      <color indexed="18"/>
      <name val="Arial"/>
      <family val="2"/>
    </font>
    <font>
      <sz val="12"/>
      <color rgb="FFFF0000"/>
      <name val="Arial"/>
      <family val="2"/>
    </font>
    <font>
      <u val="singleAccounting"/>
      <sz val="12"/>
      <name val="Arial"/>
      <family val="2"/>
    </font>
    <font>
      <b/>
      <sz val="12"/>
      <color theme="1"/>
      <name val="Arial"/>
      <family val="2"/>
    </font>
    <font>
      <sz val="12"/>
      <color theme="1"/>
      <name val="Arial"/>
      <family val="2"/>
    </font>
    <font>
      <b/>
      <sz val="16"/>
      <name val="Arial"/>
      <family val="2"/>
    </font>
    <font>
      <sz val="12"/>
      <color theme="1"/>
      <name val="Calibri"/>
      <family val="2"/>
      <scheme val="minor"/>
    </font>
    <font>
      <sz val="10"/>
      <color theme="1"/>
      <name val="Arial"/>
      <family val="2"/>
    </font>
    <font>
      <b/>
      <sz val="10"/>
      <color rgb="FF000000"/>
      <name val="Tahoma"/>
      <family val="2"/>
    </font>
    <font>
      <sz val="10"/>
      <color rgb="FF000000"/>
      <name val="Tahoma"/>
      <family val="2"/>
    </font>
    <font>
      <sz val="12"/>
      <color theme="2"/>
      <name val="Arial"/>
      <family val="2"/>
    </font>
    <font>
      <b/>
      <sz val="12"/>
      <color theme="2"/>
      <name val="Arial"/>
      <family val="2"/>
    </font>
    <font>
      <b/>
      <sz val="14"/>
      <color theme="2"/>
      <name val="Arial"/>
      <family val="2"/>
    </font>
    <font>
      <sz val="18"/>
      <name val="Arial"/>
      <family val="2"/>
    </font>
    <font>
      <b/>
      <sz val="12"/>
      <color theme="0"/>
      <name val="Arial"/>
      <family val="2"/>
    </font>
    <font>
      <sz val="10"/>
      <color theme="0"/>
      <name val="Arial"/>
      <family val="2"/>
    </font>
  </fonts>
  <fills count="23">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FFFF99"/>
        <bgColor indexed="64"/>
      </patternFill>
    </fill>
    <fill>
      <patternFill patternType="solid">
        <fgColor rgb="FFC6E0B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rgb="FF941100"/>
        <bgColor indexed="64"/>
      </patternFill>
    </fill>
    <fill>
      <patternFill patternType="solid">
        <fgColor theme="5"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double">
        <color indexed="64"/>
      </bottom>
      <diagonal/>
    </border>
    <border>
      <left/>
      <right/>
      <top style="medium">
        <color indexed="64"/>
      </top>
      <bottom/>
      <diagonal/>
    </border>
    <border>
      <left/>
      <right/>
      <top/>
      <bottom style="medium">
        <color indexed="64"/>
      </bottom>
      <diagonal/>
    </border>
    <border>
      <left/>
      <right style="medium">
        <color indexed="64"/>
      </right>
      <top/>
      <bottom style="thin">
        <color indexed="64"/>
      </bottom>
      <diagonal/>
    </border>
    <border>
      <left/>
      <right style="medium">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3">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7" fillId="0" borderId="0"/>
    <xf numFmtId="0" fontId="4" fillId="0" borderId="0"/>
  </cellStyleXfs>
  <cellXfs count="331">
    <xf numFmtId="0" fontId="0" fillId="0" borderId="0" xfId="0"/>
    <xf numFmtId="0" fontId="0" fillId="0" borderId="0" xfId="0" applyAlignment="1"/>
    <xf numFmtId="0" fontId="0" fillId="0" borderId="0" xfId="0" applyFill="1" applyAlignment="1"/>
    <xf numFmtId="0" fontId="5" fillId="0" borderId="0" xfId="0" applyFont="1"/>
    <xf numFmtId="0" fontId="6" fillId="0" borderId="0" xfId="0" applyFont="1"/>
    <xf numFmtId="0" fontId="7" fillId="0" borderId="0" xfId="0" applyFont="1"/>
    <xf numFmtId="0" fontId="5" fillId="2" borderId="1" xfId="0" applyFont="1" applyFill="1" applyBorder="1"/>
    <xf numFmtId="0" fontId="0" fillId="3" borderId="1" xfId="0" applyFill="1" applyBorder="1"/>
    <xf numFmtId="0" fontId="5" fillId="0" borderId="0" xfId="0" applyFont="1" applyAlignment="1"/>
    <xf numFmtId="0" fontId="5" fillId="0" borderId="0" xfId="0" applyFont="1" applyFill="1" applyBorder="1"/>
    <xf numFmtId="0" fontId="5" fillId="4" borderId="1" xfId="0" applyFont="1" applyFill="1" applyBorder="1"/>
    <xf numFmtId="0" fontId="8" fillId="0" borderId="2" xfId="0" applyFont="1" applyBorder="1" applyAlignment="1">
      <alignment horizontal="centerContinuous"/>
    </xf>
    <xf numFmtId="0" fontId="8" fillId="0" borderId="3" xfId="0" applyFont="1" applyBorder="1" applyAlignment="1">
      <alignment horizontal="centerContinuous"/>
    </xf>
    <xf numFmtId="0" fontId="8" fillId="0" borderId="4" xfId="0" applyFont="1" applyBorder="1" applyAlignment="1">
      <alignment horizontal="centerContinuous"/>
    </xf>
    <xf numFmtId="0" fontId="10" fillId="0" borderId="0" xfId="0" applyFont="1" applyAlignment="1">
      <alignment horizontal="right"/>
    </xf>
    <xf numFmtId="0" fontId="9" fillId="0" borderId="1" xfId="0" applyFont="1" applyBorder="1" applyAlignment="1">
      <alignment horizontal="center"/>
    </xf>
    <xf numFmtId="0" fontId="11" fillId="5" borderId="0" xfId="0" applyFont="1" applyFill="1"/>
    <xf numFmtId="0" fontId="0" fillId="5" borderId="0" xfId="0" applyFill="1" applyAlignment="1">
      <alignment horizontal="right"/>
    </xf>
    <xf numFmtId="0" fontId="0" fillId="5" borderId="0" xfId="0" applyFill="1" applyAlignment="1">
      <alignment wrapText="1"/>
    </xf>
    <xf numFmtId="3" fontId="0" fillId="5" borderId="0" xfId="0" applyNumberFormat="1" applyFill="1" applyAlignment="1">
      <alignment horizontal="right"/>
    </xf>
    <xf numFmtId="14" fontId="0" fillId="5" borderId="0" xfId="0" applyNumberFormat="1" applyFill="1" applyAlignment="1">
      <alignment horizontal="center"/>
    </xf>
    <xf numFmtId="0" fontId="11" fillId="5" borderId="0" xfId="0" applyFont="1" applyFill="1" applyBorder="1"/>
    <xf numFmtId="164" fontId="12" fillId="5" borderId="0" xfId="0" applyNumberFormat="1" applyFont="1" applyFill="1" applyBorder="1" applyAlignment="1">
      <alignment horizontal="right" vertical="top" wrapText="1"/>
    </xf>
    <xf numFmtId="164" fontId="13" fillId="5" borderId="0" xfId="0" applyNumberFormat="1" applyFont="1" applyFill="1" applyBorder="1" applyAlignment="1">
      <alignment horizontal="right" vertical="top" wrapText="1"/>
    </xf>
    <xf numFmtId="3" fontId="14" fillId="5" borderId="0" xfId="0" applyNumberFormat="1" applyFont="1" applyFill="1" applyBorder="1" applyAlignment="1">
      <alignment horizontal="right"/>
    </xf>
    <xf numFmtId="164" fontId="15" fillId="5" borderId="0" xfId="0" applyNumberFormat="1" applyFont="1" applyFill="1" applyBorder="1" applyAlignment="1">
      <alignment horizontal="right" vertical="top" wrapText="1"/>
    </xf>
    <xf numFmtId="3" fontId="11" fillId="5" borderId="0" xfId="0" applyNumberFormat="1" applyFont="1" applyFill="1" applyBorder="1" applyAlignment="1">
      <alignment horizontal="right"/>
    </xf>
    <xf numFmtId="1" fontId="11" fillId="5" borderId="0" xfId="0" applyNumberFormat="1" applyFont="1" applyFill="1" applyBorder="1"/>
    <xf numFmtId="0" fontId="11" fillId="5" borderId="0" xfId="0" applyFont="1" applyFill="1" applyBorder="1" applyAlignment="1">
      <alignment horizontal="right"/>
    </xf>
    <xf numFmtId="0" fontId="16" fillId="5" borderId="0" xfId="0" applyFont="1" applyFill="1" applyBorder="1" applyAlignment="1">
      <alignment horizontal="right" vertical="top" wrapText="1"/>
    </xf>
    <xf numFmtId="0" fontId="8" fillId="5" borderId="0" xfId="0" applyFont="1" applyFill="1" applyBorder="1"/>
    <xf numFmtId="165" fontId="15" fillId="5" borderId="0" xfId="0" applyNumberFormat="1" applyFont="1" applyFill="1" applyBorder="1" applyAlignment="1"/>
    <xf numFmtId="165" fontId="12" fillId="5" borderId="0" xfId="0" applyNumberFormat="1" applyFont="1" applyFill="1" applyBorder="1" applyAlignment="1"/>
    <xf numFmtId="0" fontId="14" fillId="5" borderId="0" xfId="0" applyFont="1" applyFill="1" applyBorder="1" applyAlignment="1">
      <alignment horizontal="right"/>
    </xf>
    <xf numFmtId="166" fontId="11" fillId="5" borderId="0" xfId="0" applyNumberFormat="1" applyFont="1" applyFill="1"/>
    <xf numFmtId="167" fontId="11" fillId="5" borderId="0" xfId="0" applyNumberFormat="1" applyFont="1" applyFill="1"/>
    <xf numFmtId="168" fontId="11" fillId="5" borderId="0" xfId="0" applyNumberFormat="1" applyFont="1" applyFill="1"/>
    <xf numFmtId="167" fontId="14" fillId="5" borderId="0" xfId="4" applyNumberFormat="1" applyFont="1" applyFill="1" applyAlignment="1">
      <alignment horizontal="right"/>
    </xf>
    <xf numFmtId="0" fontId="15" fillId="5" borderId="0" xfId="0" quotePrefix="1" applyFont="1" applyFill="1" applyBorder="1" applyAlignment="1">
      <alignment horizontal="left" vertical="top" wrapText="1"/>
    </xf>
    <xf numFmtId="0" fontId="15" fillId="5" borderId="0" xfId="0" quotePrefix="1" applyFont="1" applyFill="1" applyBorder="1" applyAlignment="1">
      <alignment horizontal="left"/>
    </xf>
    <xf numFmtId="0" fontId="15" fillId="5" borderId="0" xfId="0" quotePrefix="1" applyFont="1" applyFill="1" applyBorder="1" applyAlignment="1">
      <alignment horizontal="right" vertical="top" wrapText="1"/>
    </xf>
    <xf numFmtId="0" fontId="15" fillId="5" borderId="0" xfId="0" applyFont="1" applyFill="1" applyBorder="1" applyAlignment="1">
      <alignment vertical="top" wrapText="1"/>
    </xf>
    <xf numFmtId="167" fontId="11" fillId="5" borderId="0" xfId="5" applyNumberFormat="1" applyFont="1" applyFill="1" applyBorder="1"/>
    <xf numFmtId="0" fontId="16" fillId="5" borderId="0" xfId="0" quotePrefix="1" applyFont="1" applyFill="1" applyBorder="1" applyAlignment="1">
      <alignment horizontal="right" vertical="top" wrapText="1"/>
    </xf>
    <xf numFmtId="9" fontId="11" fillId="5" borderId="0" xfId="5" applyFont="1" applyFill="1"/>
    <xf numFmtId="0" fontId="8" fillId="5" borderId="6" xfId="0" applyFont="1" applyFill="1" applyBorder="1"/>
    <xf numFmtId="0" fontId="17" fillId="5" borderId="0" xfId="0" applyFont="1" applyFill="1" applyBorder="1"/>
    <xf numFmtId="0" fontId="15" fillId="5" borderId="0" xfId="0" applyFont="1" applyFill="1" applyBorder="1" applyAlignment="1"/>
    <xf numFmtId="0" fontId="8" fillId="5" borderId="0" xfId="0" applyFont="1" applyFill="1" applyAlignment="1">
      <alignment wrapText="1"/>
    </xf>
    <xf numFmtId="0" fontId="18" fillId="5" borderId="0" xfId="0" applyFont="1" applyFill="1" applyBorder="1" applyAlignment="1">
      <alignment vertical="top"/>
    </xf>
    <xf numFmtId="164" fontId="11" fillId="5" borderId="0" xfId="0" applyNumberFormat="1" applyFont="1" applyFill="1"/>
    <xf numFmtId="0" fontId="15" fillId="5" borderId="0" xfId="0" applyFont="1" applyFill="1" applyAlignment="1">
      <alignment vertical="top" wrapText="1"/>
    </xf>
    <xf numFmtId="164" fontId="14" fillId="5" borderId="0" xfId="0" quotePrefix="1" applyNumberFormat="1" applyFont="1" applyFill="1"/>
    <xf numFmtId="164" fontId="11" fillId="5" borderId="0" xfId="0" quotePrefix="1" applyNumberFormat="1" applyFont="1" applyFill="1"/>
    <xf numFmtId="164" fontId="14" fillId="5" borderId="0" xfId="0" applyNumberFormat="1" applyFont="1" applyFill="1"/>
    <xf numFmtId="1" fontId="14" fillId="5" borderId="0" xfId="0" applyNumberFormat="1" applyFont="1" applyFill="1"/>
    <xf numFmtId="0" fontId="21" fillId="5" borderId="0" xfId="0" applyFont="1" applyFill="1"/>
    <xf numFmtId="0" fontId="22" fillId="5" borderId="0" xfId="0" applyFont="1" applyFill="1"/>
    <xf numFmtId="167" fontId="11" fillId="5" borderId="0" xfId="4" applyNumberFormat="1" applyFont="1" applyFill="1"/>
    <xf numFmtId="0" fontId="14" fillId="5" borderId="0" xfId="0" applyFont="1" applyFill="1"/>
    <xf numFmtId="3" fontId="8" fillId="5" borderId="0" xfId="0" applyNumberFormat="1" applyFont="1" applyFill="1" applyAlignment="1"/>
    <xf numFmtId="0" fontId="19" fillId="0" borderId="0" xfId="0" applyFont="1" applyAlignment="1">
      <alignment vertical="center"/>
    </xf>
    <xf numFmtId="0" fontId="19" fillId="0" borderId="0" xfId="0" applyFont="1" applyAlignment="1">
      <alignment vertical="center" wrapText="1"/>
    </xf>
    <xf numFmtId="170" fontId="15" fillId="5" borderId="0" xfId="2" applyNumberFormat="1" applyFont="1" applyFill="1" applyBorder="1" applyAlignment="1"/>
    <xf numFmtId="43" fontId="11" fillId="5" borderId="0" xfId="1" applyFont="1" applyFill="1"/>
    <xf numFmtId="43" fontId="11" fillId="5" borderId="0" xfId="1" applyFont="1" applyFill="1" applyBorder="1"/>
    <xf numFmtId="0" fontId="3" fillId="0" borderId="1" xfId="12" applyFont="1" applyBorder="1" applyAlignment="1"/>
    <xf numFmtId="0" fontId="18" fillId="5" borderId="0" xfId="0" applyFont="1" applyFill="1" applyBorder="1" applyAlignment="1">
      <alignment horizontal="center" vertical="top"/>
    </xf>
    <xf numFmtId="0" fontId="5" fillId="0" borderId="1" xfId="12" applyFont="1" applyBorder="1" applyAlignment="1"/>
    <xf numFmtId="0" fontId="5" fillId="0" borderId="1" xfId="12" applyFont="1" applyBorder="1" applyAlignment="1">
      <alignment horizontal="center"/>
    </xf>
    <xf numFmtId="0" fontId="5" fillId="0" borderId="1" xfId="12" applyFont="1" applyBorder="1" applyAlignment="1">
      <alignment wrapText="1"/>
    </xf>
    <xf numFmtId="0" fontId="3" fillId="0" borderId="1" xfId="12" applyFont="1" applyBorder="1" applyAlignment="1">
      <alignment wrapText="1"/>
    </xf>
    <xf numFmtId="0" fontId="11" fillId="5" borderId="6" xfId="0" applyFont="1" applyFill="1" applyBorder="1"/>
    <xf numFmtId="0" fontId="11" fillId="5" borderId="11" xfId="0" applyFont="1" applyFill="1" applyBorder="1"/>
    <xf numFmtId="0" fontId="11" fillId="5" borderId="9" xfId="0" applyFont="1" applyFill="1" applyBorder="1"/>
    <xf numFmtId="0" fontId="15" fillId="5" borderId="9" xfId="0" applyFont="1" applyFill="1" applyBorder="1" applyAlignment="1"/>
    <xf numFmtId="0" fontId="15" fillId="5" borderId="9" xfId="0" quotePrefix="1" applyFont="1" applyFill="1" applyBorder="1" applyAlignment="1">
      <alignment horizontal="left"/>
    </xf>
    <xf numFmtId="0" fontId="15" fillId="5" borderId="9" xfId="0" quotePrefix="1" applyFont="1" applyFill="1" applyBorder="1" applyAlignment="1">
      <alignment horizontal="right"/>
    </xf>
    <xf numFmtId="0" fontId="11" fillId="5" borderId="9" xfId="0" quotePrefix="1" applyFont="1" applyFill="1" applyBorder="1" applyAlignment="1">
      <alignment horizontal="left" vertical="top" wrapText="1"/>
    </xf>
    <xf numFmtId="0" fontId="16" fillId="5" borderId="9" xfId="0" quotePrefix="1" applyFont="1" applyFill="1" applyBorder="1" applyAlignment="1">
      <alignment horizontal="right"/>
    </xf>
    <xf numFmtId="0" fontId="15" fillId="5" borderId="7" xfId="0" applyFont="1" applyFill="1" applyBorder="1" applyAlignment="1"/>
    <xf numFmtId="0" fontId="11" fillId="5" borderId="12" xfId="0" applyFont="1" applyFill="1" applyBorder="1"/>
    <xf numFmtId="0" fontId="15" fillId="5" borderId="9" xfId="0" applyFont="1" applyFill="1" applyBorder="1" applyAlignment="1">
      <alignment vertical="top" wrapText="1"/>
    </xf>
    <xf numFmtId="0" fontId="15" fillId="5" borderId="9" xfId="0" quotePrefix="1" applyFont="1" applyFill="1" applyBorder="1" applyAlignment="1">
      <alignment horizontal="left" vertical="top" wrapText="1"/>
    </xf>
    <xf numFmtId="0" fontId="15" fillId="5" borderId="9" xfId="0" quotePrefix="1" applyFont="1" applyFill="1" applyBorder="1" applyAlignment="1">
      <alignment horizontal="right" vertical="top" wrapText="1"/>
    </xf>
    <xf numFmtId="0" fontId="16" fillId="5" borderId="9" xfId="0" quotePrefix="1" applyFont="1" applyFill="1" applyBorder="1" applyAlignment="1">
      <alignment horizontal="right" vertical="top" wrapText="1"/>
    </xf>
    <xf numFmtId="43" fontId="11" fillId="5" borderId="8" xfId="1" applyFont="1" applyFill="1" applyBorder="1"/>
    <xf numFmtId="0" fontId="15" fillId="5" borderId="9" xfId="0" applyFont="1" applyFill="1" applyBorder="1" applyAlignment="1">
      <alignment horizontal="right" vertical="top" wrapText="1"/>
    </xf>
    <xf numFmtId="0" fontId="16" fillId="5" borderId="7" xfId="0" applyFont="1" applyFill="1" applyBorder="1" applyAlignment="1">
      <alignment horizontal="right" vertical="top" wrapText="1"/>
    </xf>
    <xf numFmtId="170" fontId="15" fillId="5" borderId="6" xfId="2" applyNumberFormat="1" applyFont="1" applyFill="1" applyBorder="1" applyAlignment="1"/>
    <xf numFmtId="0" fontId="8" fillId="5" borderId="0" xfId="0" applyFont="1" applyFill="1" applyBorder="1" applyAlignment="1">
      <alignment horizontal="right"/>
    </xf>
    <xf numFmtId="0" fontId="11" fillId="5" borderId="7" xfId="0" applyFont="1" applyFill="1" applyBorder="1"/>
    <xf numFmtId="0" fontId="8" fillId="5" borderId="6" xfId="0" applyFont="1" applyFill="1" applyBorder="1" applyAlignment="1">
      <alignment horizontal="right"/>
    </xf>
    <xf numFmtId="0" fontId="8" fillId="5" borderId="12" xfId="0" applyFont="1" applyFill="1" applyBorder="1"/>
    <xf numFmtId="167" fontId="11" fillId="5" borderId="11" xfId="4" applyNumberFormat="1" applyFont="1" applyFill="1" applyBorder="1"/>
    <xf numFmtId="0" fontId="20" fillId="5" borderId="7" xfId="0" applyFont="1" applyFill="1" applyBorder="1" applyAlignment="1">
      <alignment horizontal="left" wrapText="1"/>
    </xf>
    <xf numFmtId="0" fontId="20" fillId="5" borderId="6" xfId="0" applyFont="1" applyFill="1" applyBorder="1" applyAlignment="1">
      <alignment horizontal="left" wrapText="1"/>
    </xf>
    <xf numFmtId="0" fontId="8" fillId="5" borderId="11" xfId="0" applyFont="1" applyFill="1" applyBorder="1" applyAlignment="1"/>
    <xf numFmtId="0" fontId="17" fillId="5" borderId="9" xfId="0" applyFont="1" applyFill="1" applyBorder="1"/>
    <xf numFmtId="0" fontId="8" fillId="5" borderId="5" xfId="0" applyFont="1" applyFill="1" applyBorder="1"/>
    <xf numFmtId="0" fontId="15" fillId="5" borderId="7" xfId="0" quotePrefix="1" applyFont="1" applyFill="1" applyBorder="1" applyAlignment="1">
      <alignment horizontal="right"/>
    </xf>
    <xf numFmtId="0" fontId="15" fillId="5" borderId="6" xfId="0" quotePrefix="1" applyFont="1" applyFill="1" applyBorder="1" applyAlignment="1">
      <alignment horizontal="right"/>
    </xf>
    <xf numFmtId="0" fontId="15" fillId="5" borderId="12" xfId="0" quotePrefix="1" applyFont="1" applyFill="1" applyBorder="1" applyAlignment="1">
      <alignment horizontal="right"/>
    </xf>
    <xf numFmtId="0" fontId="15" fillId="5" borderId="11" xfId="0" quotePrefix="1" applyFont="1" applyFill="1" applyBorder="1" applyAlignment="1">
      <alignment horizontal="right"/>
    </xf>
    <xf numFmtId="43" fontId="16" fillId="5" borderId="8" xfId="1" applyFont="1" applyFill="1" applyBorder="1" applyAlignment="1">
      <alignment horizontal="right" vertical="top" wrapText="1"/>
    </xf>
    <xf numFmtId="0" fontId="15" fillId="5" borderId="7" xfId="0" quotePrefix="1" applyFont="1" applyFill="1" applyBorder="1" applyAlignment="1">
      <alignment horizontal="right" vertical="top" wrapText="1"/>
    </xf>
    <xf numFmtId="0" fontId="15" fillId="5" borderId="6" xfId="0" quotePrefix="1" applyFont="1" applyFill="1" applyBorder="1" applyAlignment="1">
      <alignment horizontal="right" vertical="top" wrapText="1"/>
    </xf>
    <xf numFmtId="0" fontId="15" fillId="5" borderId="12" xfId="0" applyFont="1" applyFill="1" applyBorder="1" applyAlignment="1">
      <alignment vertical="top" wrapText="1"/>
    </xf>
    <xf numFmtId="0" fontId="0" fillId="0" borderId="0" xfId="0" applyAlignment="1">
      <alignment wrapText="1"/>
    </xf>
    <xf numFmtId="0" fontId="11" fillId="0" borderId="18" xfId="0" applyFont="1" applyFill="1" applyBorder="1" applyAlignment="1">
      <alignment wrapText="1"/>
    </xf>
    <xf numFmtId="0" fontId="11" fillId="0" borderId="16" xfId="0" applyFont="1" applyFill="1" applyBorder="1" applyAlignment="1">
      <alignment wrapText="1"/>
    </xf>
    <xf numFmtId="0" fontId="11" fillId="0" borderId="14" xfId="0" applyFont="1" applyFill="1" applyBorder="1" applyAlignment="1">
      <alignment wrapText="1"/>
    </xf>
    <xf numFmtId="0" fontId="8" fillId="5" borderId="10" xfId="0" applyFont="1" applyFill="1" applyBorder="1" applyAlignment="1"/>
    <xf numFmtId="167" fontId="8" fillId="5" borderId="11" xfId="0" applyNumberFormat="1" applyFont="1" applyFill="1" applyBorder="1"/>
    <xf numFmtId="167" fontId="8" fillId="5" borderId="10" xfId="0" applyNumberFormat="1" applyFont="1" applyFill="1" applyBorder="1"/>
    <xf numFmtId="0" fontId="16" fillId="5" borderId="9" xfId="0" applyFont="1" applyFill="1" applyBorder="1" applyAlignment="1">
      <alignment horizontal="right" vertical="top" wrapText="1"/>
    </xf>
    <xf numFmtId="0" fontId="0" fillId="5" borderId="7" xfId="0" applyFill="1" applyBorder="1" applyAlignment="1">
      <alignment wrapText="1"/>
    </xf>
    <xf numFmtId="168" fontId="11" fillId="5" borderId="6" xfId="0" applyNumberFormat="1" applyFont="1" applyFill="1" applyBorder="1"/>
    <xf numFmtId="168" fontId="11" fillId="5" borderId="5" xfId="0" applyNumberFormat="1" applyFont="1" applyFill="1" applyBorder="1"/>
    <xf numFmtId="0" fontId="6" fillId="11" borderId="1" xfId="0" applyFont="1" applyFill="1" applyBorder="1"/>
    <xf numFmtId="0" fontId="0" fillId="9" borderId="1" xfId="0" applyFill="1" applyBorder="1"/>
    <xf numFmtId="170" fontId="11" fillId="5" borderId="0" xfId="2" applyNumberFormat="1" applyFont="1" applyFill="1" applyBorder="1" applyAlignment="1">
      <alignment horizontal="right"/>
    </xf>
    <xf numFmtId="170" fontId="11" fillId="5" borderId="8" xfId="2" applyNumberFormat="1" applyFont="1" applyFill="1" applyBorder="1" applyAlignment="1">
      <alignment horizontal="right"/>
    </xf>
    <xf numFmtId="170" fontId="14" fillId="5" borderId="0" xfId="2" applyNumberFormat="1" applyFont="1" applyFill="1" applyBorder="1" applyAlignment="1">
      <alignment horizontal="right"/>
    </xf>
    <xf numFmtId="170" fontId="14" fillId="5" borderId="8" xfId="2" applyNumberFormat="1" applyFont="1" applyFill="1" applyBorder="1" applyAlignment="1">
      <alignment horizontal="right"/>
    </xf>
    <xf numFmtId="170" fontId="15" fillId="5" borderId="8" xfId="2" applyNumberFormat="1" applyFont="1" applyFill="1" applyBorder="1" applyAlignment="1"/>
    <xf numFmtId="170" fontId="12" fillId="5" borderId="0" xfId="2" applyNumberFormat="1" applyFont="1" applyFill="1" applyBorder="1" applyAlignment="1"/>
    <xf numFmtId="170" fontId="12" fillId="5" borderId="8" xfId="2" applyNumberFormat="1" applyFont="1" applyFill="1" applyBorder="1" applyAlignment="1"/>
    <xf numFmtId="170" fontId="15" fillId="5" borderId="5" xfId="2" applyNumberFormat="1" applyFont="1" applyFill="1" applyBorder="1" applyAlignment="1"/>
    <xf numFmtId="170" fontId="15" fillId="5" borderId="0" xfId="2" applyNumberFormat="1" applyFont="1" applyFill="1" applyBorder="1" applyAlignment="1">
      <alignment horizontal="right" vertical="top" wrapText="1"/>
    </xf>
    <xf numFmtId="170" fontId="15" fillId="5" borderId="8" xfId="2" applyNumberFormat="1" applyFont="1" applyFill="1" applyBorder="1" applyAlignment="1">
      <alignment horizontal="right" vertical="top" wrapText="1"/>
    </xf>
    <xf numFmtId="170" fontId="12" fillId="5" borderId="0" xfId="2" applyNumberFormat="1" applyFont="1" applyFill="1" applyBorder="1" applyAlignment="1">
      <alignment horizontal="right" vertical="top" wrapText="1"/>
    </xf>
    <xf numFmtId="170" fontId="12" fillId="5" borderId="8" xfId="2" applyNumberFormat="1" applyFont="1" applyFill="1" applyBorder="1" applyAlignment="1">
      <alignment horizontal="right" vertical="top" wrapText="1"/>
    </xf>
    <xf numFmtId="170" fontId="13" fillId="5" borderId="0" xfId="2" applyNumberFormat="1" applyFont="1" applyFill="1" applyBorder="1" applyAlignment="1">
      <alignment horizontal="right" vertical="top" wrapText="1"/>
    </xf>
    <xf numFmtId="170" fontId="13" fillId="5" borderId="8" xfId="2" applyNumberFormat="1" applyFont="1" applyFill="1" applyBorder="1" applyAlignment="1">
      <alignment horizontal="right" vertical="top" wrapText="1"/>
    </xf>
    <xf numFmtId="0" fontId="18" fillId="5" borderId="0" xfId="0" applyFont="1" applyFill="1" applyBorder="1" applyAlignment="1">
      <alignment horizontal="center" vertical="top"/>
    </xf>
    <xf numFmtId="0" fontId="0" fillId="0" borderId="0" xfId="0" applyAlignment="1">
      <alignment horizontal="center" vertical="center" wrapText="1"/>
    </xf>
    <xf numFmtId="0" fontId="0" fillId="5" borderId="0" xfId="0" applyFill="1"/>
    <xf numFmtId="0" fontId="8" fillId="0" borderId="16" xfId="0" applyFont="1" applyFill="1" applyBorder="1" applyAlignment="1">
      <alignment wrapText="1"/>
    </xf>
    <xf numFmtId="0" fontId="11" fillId="0" borderId="0" xfId="0" applyFont="1" applyFill="1" applyBorder="1"/>
    <xf numFmtId="1" fontId="11" fillId="0" borderId="0" xfId="0" applyNumberFormat="1" applyFont="1" applyFill="1" applyBorder="1"/>
    <xf numFmtId="0" fontId="11" fillId="0" borderId="15" xfId="0" applyFont="1" applyFill="1" applyBorder="1"/>
    <xf numFmtId="0" fontId="24" fillId="0" borderId="0" xfId="0" applyFont="1" applyFill="1" applyBorder="1" applyAlignment="1">
      <alignment horizontal="left"/>
    </xf>
    <xf numFmtId="0" fontId="11" fillId="0" borderId="15" xfId="0" applyFont="1" applyBorder="1"/>
    <xf numFmtId="0" fontId="25" fillId="0" borderId="0" xfId="0" applyFont="1" applyFill="1" applyBorder="1" applyAlignment="1">
      <alignment horizontal="left"/>
    </xf>
    <xf numFmtId="0" fontId="11" fillId="0" borderId="0" xfId="5" applyNumberFormat="1" applyFont="1" applyFill="1" applyBorder="1"/>
    <xf numFmtId="0" fontId="11" fillId="0" borderId="21" xfId="0" applyNumberFormat="1" applyFont="1" applyFill="1" applyBorder="1"/>
    <xf numFmtId="0" fontId="11" fillId="0" borderId="13" xfId="0" applyFont="1" applyBorder="1"/>
    <xf numFmtId="0" fontId="11" fillId="0" borderId="16" xfId="0" applyFont="1" applyBorder="1"/>
    <xf numFmtId="0" fontId="0" fillId="0" borderId="16" xfId="0" applyBorder="1" applyAlignment="1">
      <alignment wrapText="1"/>
    </xf>
    <xf numFmtId="0" fontId="0" fillId="0" borderId="15" xfId="0" applyBorder="1"/>
    <xf numFmtId="0" fontId="0" fillId="2" borderId="4" xfId="0" applyFill="1" applyBorder="1" applyAlignment="1">
      <alignment wrapText="1"/>
    </xf>
    <xf numFmtId="0" fontId="0" fillId="2" borderId="3" xfId="0" applyFill="1" applyBorder="1" applyAlignment="1">
      <alignment wrapText="1"/>
    </xf>
    <xf numFmtId="0" fontId="0" fillId="2" borderId="2" xfId="0" applyFill="1" applyBorder="1" applyAlignment="1">
      <alignment wrapText="1"/>
    </xf>
    <xf numFmtId="0" fontId="9" fillId="0" borderId="12" xfId="0" applyFont="1" applyBorder="1" applyAlignment="1">
      <alignment wrapText="1"/>
    </xf>
    <xf numFmtId="0" fontId="9" fillId="0" borderId="11" xfId="0" applyFont="1" applyBorder="1" applyAlignment="1">
      <alignment wrapText="1"/>
    </xf>
    <xf numFmtId="0" fontId="9" fillId="0" borderId="10" xfId="0" applyFont="1" applyBorder="1" applyAlignment="1">
      <alignment wrapText="1"/>
    </xf>
    <xf numFmtId="0" fontId="9" fillId="0" borderId="9" xfId="0" applyFont="1" applyBorder="1" applyAlignment="1">
      <alignment wrapText="1"/>
    </xf>
    <xf numFmtId="0" fontId="9" fillId="0" borderId="0" xfId="0" applyFont="1" applyBorder="1" applyAlignment="1">
      <alignment wrapText="1"/>
    </xf>
    <xf numFmtId="0" fontId="9" fillId="0" borderId="8" xfId="0" applyFont="1" applyBorder="1" applyAlignment="1">
      <alignment wrapText="1"/>
    </xf>
    <xf numFmtId="0" fontId="9" fillId="0" borderId="7" xfId="0" applyFont="1" applyBorder="1" applyAlignment="1">
      <alignment wrapText="1"/>
    </xf>
    <xf numFmtId="0" fontId="9" fillId="0" borderId="6" xfId="0" applyFont="1" applyBorder="1" applyAlignment="1">
      <alignment wrapText="1"/>
    </xf>
    <xf numFmtId="0" fontId="9" fillId="0" borderId="5" xfId="0" applyFont="1" applyBorder="1" applyAlignment="1">
      <alignment wrapText="1"/>
    </xf>
    <xf numFmtId="0" fontId="18" fillId="5" borderId="0" xfId="0" applyFont="1" applyFill="1" applyBorder="1" applyAlignment="1">
      <alignment horizontal="center" vertical="top"/>
    </xf>
    <xf numFmtId="0" fontId="8" fillId="5" borderId="0" xfId="0" applyFont="1" applyFill="1" applyAlignment="1">
      <alignment horizontal="center"/>
    </xf>
    <xf numFmtId="0" fontId="17" fillId="5" borderId="4" xfId="0" applyFont="1" applyFill="1" applyBorder="1" applyAlignment="1">
      <alignment horizontal="center"/>
    </xf>
    <xf numFmtId="0" fontId="17" fillId="5" borderId="3" xfId="0" applyFont="1" applyFill="1" applyBorder="1" applyAlignment="1">
      <alignment horizontal="center"/>
    </xf>
    <xf numFmtId="0" fontId="17" fillId="5" borderId="2" xfId="0" applyFont="1" applyFill="1" applyBorder="1" applyAlignment="1">
      <alignment horizontal="center"/>
    </xf>
    <xf numFmtId="0" fontId="26" fillId="0" borderId="18" xfId="0" applyFont="1" applyFill="1" applyBorder="1" applyAlignment="1">
      <alignment horizontal="center"/>
    </xf>
    <xf numFmtId="0" fontId="26" fillId="0" borderId="20" xfId="0" applyFont="1" applyFill="1" applyBorder="1" applyAlignment="1">
      <alignment horizontal="center"/>
    </xf>
    <xf numFmtId="0" fontId="26" fillId="0" borderId="17" xfId="0" applyFont="1" applyFill="1" applyBorder="1" applyAlignment="1">
      <alignment horizontal="center"/>
    </xf>
    <xf numFmtId="0" fontId="0" fillId="0" borderId="0" xfId="0" applyAlignment="1">
      <alignment horizontal="center" vertical="center" wrapText="1"/>
    </xf>
    <xf numFmtId="170" fontId="11" fillId="5" borderId="0" xfId="0" applyNumberFormat="1" applyFont="1" applyFill="1"/>
    <xf numFmtId="43" fontId="11" fillId="5" borderId="0" xfId="0" applyNumberFormat="1" applyFont="1" applyFill="1"/>
    <xf numFmtId="165" fontId="11" fillId="5" borderId="0" xfId="0" applyNumberFormat="1" applyFont="1" applyFill="1" applyBorder="1"/>
    <xf numFmtId="0" fontId="20" fillId="5" borderId="0" xfId="0" applyFont="1" applyFill="1" applyBorder="1" applyAlignment="1">
      <alignment wrapText="1"/>
    </xf>
    <xf numFmtId="43" fontId="11" fillId="5" borderId="0" xfId="0" applyNumberFormat="1" applyFont="1" applyFill="1" applyBorder="1"/>
    <xf numFmtId="0" fontId="8" fillId="5" borderId="6" xfId="0" applyFont="1" applyFill="1" applyBorder="1" applyAlignment="1">
      <alignment horizontal="center"/>
    </xf>
    <xf numFmtId="0" fontId="8" fillId="5" borderId="6" xfId="0" applyFont="1" applyFill="1" applyBorder="1" applyAlignment="1">
      <alignment horizontal="center" wrapText="1"/>
    </xf>
    <xf numFmtId="9" fontId="11" fillId="9" borderId="0" xfId="5" applyNumberFormat="1" applyFont="1" applyFill="1" applyBorder="1"/>
    <xf numFmtId="8" fontId="11" fillId="12" borderId="17" xfId="0" applyNumberFormat="1" applyFont="1" applyFill="1" applyBorder="1"/>
    <xf numFmtId="8" fontId="11" fillId="12" borderId="22" xfId="0" applyNumberFormat="1" applyFont="1" applyFill="1" applyBorder="1"/>
    <xf numFmtId="8" fontId="11" fillId="10" borderId="15" xfId="4" applyNumberFormat="1" applyFont="1" applyFill="1" applyBorder="1"/>
    <xf numFmtId="0" fontId="8" fillId="5" borderId="0" xfId="0" applyFont="1" applyFill="1" applyAlignment="1">
      <alignment horizontal="center" wrapText="1"/>
    </xf>
    <xf numFmtId="9" fontId="11" fillId="6" borderId="1" xfId="3" applyFont="1" applyFill="1" applyBorder="1" applyAlignment="1">
      <alignment horizontal="center" vertical="center"/>
    </xf>
    <xf numFmtId="9" fontId="11" fillId="11" borderId="1" xfId="3" applyFont="1" applyFill="1" applyBorder="1" applyAlignment="1">
      <alignment horizontal="center" vertical="center"/>
    </xf>
    <xf numFmtId="0" fontId="11" fillId="5" borderId="1" xfId="0" applyFont="1" applyFill="1" applyBorder="1"/>
    <xf numFmtId="3" fontId="32" fillId="14" borderId="3" xfId="0" applyNumberFormat="1" applyFont="1" applyFill="1" applyBorder="1" applyAlignment="1">
      <alignment horizontal="center" vertical="center" wrapText="1"/>
    </xf>
    <xf numFmtId="0" fontId="32" fillId="14" borderId="3" xfId="0" applyFont="1" applyFill="1" applyBorder="1" applyAlignment="1">
      <alignment horizontal="center" vertical="center"/>
    </xf>
    <xf numFmtId="0" fontId="32" fillId="14" borderId="2" xfId="0" applyFont="1" applyFill="1" applyBorder="1" applyAlignment="1">
      <alignment horizontal="center" vertical="center"/>
    </xf>
    <xf numFmtId="9" fontId="11" fillId="7" borderId="1" xfId="3" applyFont="1" applyFill="1" applyBorder="1" applyAlignment="1">
      <alignment horizontal="center" vertical="center" wrapText="1"/>
    </xf>
    <xf numFmtId="9" fontId="11" fillId="7" borderId="1" xfId="3" applyFont="1" applyFill="1" applyBorder="1" applyAlignment="1">
      <alignment horizontal="center" vertical="center"/>
    </xf>
    <xf numFmtId="0" fontId="11" fillId="5" borderId="0" xfId="0" applyFont="1" applyFill="1" applyBorder="1" applyAlignment="1">
      <alignment horizontal="center" vertical="center"/>
    </xf>
    <xf numFmtId="165" fontId="11" fillId="5" borderId="0" xfId="0" applyNumberFormat="1" applyFont="1" applyFill="1" applyBorder="1" applyAlignment="1">
      <alignment horizontal="right"/>
    </xf>
    <xf numFmtId="175" fontId="11" fillId="5" borderId="0" xfId="5" applyNumberFormat="1" applyFont="1" applyFill="1" applyBorder="1"/>
    <xf numFmtId="165" fontId="11" fillId="5" borderId="0" xfId="5" applyNumberFormat="1" applyFont="1" applyFill="1" applyBorder="1"/>
    <xf numFmtId="181" fontId="11" fillId="5" borderId="8" xfId="1" applyNumberFormat="1" applyFont="1" applyFill="1" applyBorder="1"/>
    <xf numFmtId="181" fontId="11" fillId="10" borderId="8" xfId="1" applyNumberFormat="1" applyFont="1" applyFill="1" applyBorder="1"/>
    <xf numFmtId="181" fontId="15" fillId="9" borderId="11" xfId="2" applyNumberFormat="1" applyFont="1" applyFill="1" applyBorder="1" applyAlignment="1"/>
    <xf numFmtId="181" fontId="15" fillId="9" borderId="0" xfId="2" applyNumberFormat="1" applyFont="1" applyFill="1" applyBorder="1" applyAlignment="1"/>
    <xf numFmtId="181" fontId="15" fillId="9" borderId="6" xfId="2" applyNumberFormat="1" applyFont="1" applyFill="1" applyBorder="1" applyAlignment="1"/>
    <xf numFmtId="181" fontId="15" fillId="9" borderId="3" xfId="2" applyNumberFormat="1" applyFont="1" applyFill="1" applyBorder="1" applyAlignment="1"/>
    <xf numFmtId="181" fontId="15" fillId="9" borderId="19" xfId="2" applyNumberFormat="1" applyFont="1" applyFill="1" applyBorder="1" applyAlignment="1"/>
    <xf numFmtId="181" fontId="15" fillId="5" borderId="0" xfId="2" applyNumberFormat="1" applyFont="1" applyFill="1" applyBorder="1" applyAlignment="1"/>
    <xf numFmtId="181" fontId="14" fillId="10" borderId="5" xfId="1" applyNumberFormat="1" applyFont="1" applyFill="1" applyBorder="1"/>
    <xf numFmtId="181" fontId="11" fillId="10" borderId="5" xfId="1" applyNumberFormat="1" applyFont="1" applyFill="1" applyBorder="1"/>
    <xf numFmtId="181" fontId="23" fillId="10" borderId="5" xfId="1" applyNumberFormat="1" applyFont="1" applyFill="1" applyBorder="1"/>
    <xf numFmtId="181" fontId="11" fillId="10" borderId="0" xfId="1" applyNumberFormat="1" applyFont="1" applyFill="1" applyBorder="1"/>
    <xf numFmtId="8" fontId="11" fillId="10" borderId="15" xfId="0" applyNumberFormat="1" applyFont="1" applyFill="1" applyBorder="1"/>
    <xf numFmtId="8" fontId="25" fillId="9" borderId="22" xfId="0" applyNumberFormat="1" applyFont="1" applyFill="1" applyBorder="1"/>
    <xf numFmtId="8" fontId="0" fillId="5" borderId="0" xfId="0" applyNumberFormat="1" applyFill="1"/>
    <xf numFmtId="8" fontId="11" fillId="10" borderId="23" xfId="0" applyNumberFormat="1" applyFont="1" applyFill="1" applyBorder="1"/>
    <xf numFmtId="1" fontId="11" fillId="9" borderId="15" xfId="4" applyNumberFormat="1" applyFont="1" applyFill="1" applyBorder="1"/>
    <xf numFmtId="8" fontId="11" fillId="10" borderId="13" xfId="6" applyNumberFormat="1" applyFont="1" applyFill="1" applyBorder="1"/>
    <xf numFmtId="43" fontId="0" fillId="5" borderId="0" xfId="0" applyNumberFormat="1" applyFill="1"/>
    <xf numFmtId="8" fontId="11" fillId="10" borderId="22" xfId="0" applyNumberFormat="1" applyFont="1" applyFill="1" applyBorder="1"/>
    <xf numFmtId="0" fontId="31" fillId="15" borderId="5" xfId="0" applyFont="1" applyFill="1" applyBorder="1" applyAlignment="1">
      <alignment horizontal="right" wrapText="1"/>
    </xf>
    <xf numFmtId="0" fontId="31" fillId="15" borderId="2" xfId="0" applyFont="1" applyFill="1" applyBorder="1" applyAlignment="1">
      <alignment horizontal="right" wrapText="1"/>
    </xf>
    <xf numFmtId="0" fontId="31" fillId="16" borderId="2" xfId="0" applyFont="1" applyFill="1" applyBorder="1" applyAlignment="1">
      <alignment horizontal="right" wrapText="1"/>
    </xf>
    <xf numFmtId="0" fontId="31" fillId="16" borderId="2" xfId="0" applyFont="1" applyFill="1" applyBorder="1" applyAlignment="1">
      <alignment horizontal="right"/>
    </xf>
    <xf numFmtId="0" fontId="31" fillId="18" borderId="2" xfId="0" applyFont="1" applyFill="1" applyBorder="1" applyAlignment="1">
      <alignment horizontal="right" wrapText="1"/>
    </xf>
    <xf numFmtId="0" fontId="31" fillId="20" borderId="11" xfId="0" quotePrefix="1" applyFont="1" applyFill="1" applyBorder="1" applyAlignment="1">
      <alignment horizontal="right"/>
    </xf>
    <xf numFmtId="0" fontId="31" fillId="20" borderId="6" xfId="0" applyFont="1" applyFill="1" applyBorder="1" applyAlignment="1">
      <alignment horizontal="right"/>
    </xf>
    <xf numFmtId="0" fontId="31" fillId="21" borderId="11" xfId="0" applyFont="1" applyFill="1" applyBorder="1" applyAlignment="1">
      <alignment horizontal="right"/>
    </xf>
    <xf numFmtId="0" fontId="31" fillId="21" borderId="6" xfId="0" applyFont="1" applyFill="1" applyBorder="1" applyAlignment="1">
      <alignment horizontal="right"/>
    </xf>
    <xf numFmtId="0" fontId="31" fillId="14" borderId="25" xfId="0" applyFont="1" applyFill="1" applyBorder="1" applyAlignment="1">
      <alignment horizontal="center" vertical="center" wrapText="1"/>
    </xf>
    <xf numFmtId="0" fontId="31" fillId="14" borderId="1" xfId="0" applyFont="1" applyFill="1" applyBorder="1" applyAlignment="1">
      <alignment horizontal="center" vertical="center" wrapText="1"/>
    </xf>
    <xf numFmtId="0" fontId="31" fillId="14" borderId="1" xfId="0" applyFont="1" applyFill="1" applyBorder="1" applyAlignment="1">
      <alignment horizontal="center" vertical="center" wrapText="1"/>
    </xf>
    <xf numFmtId="0" fontId="31" fillId="14" borderId="24" xfId="0" applyFont="1" applyFill="1" applyBorder="1" applyAlignment="1">
      <alignment horizontal="center" vertical="center" wrapText="1"/>
    </xf>
    <xf numFmtId="0" fontId="31" fillId="14" borderId="26" xfId="0" applyFont="1" applyFill="1" applyBorder="1" applyAlignment="1">
      <alignment horizontal="center" vertical="center" wrapText="1"/>
    </xf>
    <xf numFmtId="0" fontId="32" fillId="14" borderId="24" xfId="0" applyFont="1" applyFill="1" applyBorder="1" applyAlignment="1">
      <alignment horizontal="center" wrapText="1"/>
    </xf>
    <xf numFmtId="0" fontId="32" fillId="14" borderId="25" xfId="0" applyFont="1" applyFill="1" applyBorder="1" applyAlignment="1">
      <alignment horizontal="center" wrapText="1"/>
    </xf>
    <xf numFmtId="0" fontId="33" fillId="14" borderId="24" xfId="0" applyFont="1" applyFill="1" applyBorder="1" applyAlignment="1">
      <alignment horizontal="center" vertical="top"/>
    </xf>
    <xf numFmtId="0" fontId="32" fillId="14" borderId="24" xfId="0" applyFont="1" applyFill="1" applyBorder="1" applyAlignment="1">
      <alignment horizontal="center"/>
    </xf>
    <xf numFmtId="181" fontId="11" fillId="14" borderId="0" xfId="0" applyNumberFormat="1" applyFont="1" applyFill="1" applyBorder="1" applyAlignment="1">
      <alignment horizontal="center" vertical="center"/>
    </xf>
    <xf numFmtId="0" fontId="11" fillId="14" borderId="0" xfId="0" applyFont="1" applyFill="1" applyBorder="1"/>
    <xf numFmtId="181" fontId="11" fillId="22" borderId="1" xfId="0" applyNumberFormat="1" applyFont="1" applyFill="1" applyBorder="1" applyAlignment="1">
      <alignment horizontal="center" vertical="center"/>
    </xf>
    <xf numFmtId="181" fontId="11" fillId="13" borderId="1" xfId="0" applyNumberFormat="1" applyFont="1" applyFill="1" applyBorder="1" applyAlignment="1">
      <alignment horizontal="center" vertical="center"/>
    </xf>
    <xf numFmtId="181" fontId="11" fillId="19" borderId="1" xfId="0" applyNumberFormat="1" applyFont="1" applyFill="1" applyBorder="1" applyAlignment="1">
      <alignment horizontal="center" vertical="center"/>
    </xf>
    <xf numFmtId="181" fontId="11" fillId="17" borderId="1" xfId="0" applyNumberFormat="1" applyFont="1" applyFill="1" applyBorder="1" applyAlignment="1">
      <alignment horizontal="center" vertical="center"/>
    </xf>
    <xf numFmtId="0" fontId="31" fillId="14" borderId="4" xfId="0" applyFont="1" applyFill="1" applyBorder="1" applyAlignment="1">
      <alignment horizontal="right" vertical="top" wrapText="1"/>
    </xf>
    <xf numFmtId="0" fontId="31" fillId="14" borderId="4" xfId="0" applyFont="1" applyFill="1" applyBorder="1" applyAlignment="1">
      <alignment horizontal="right"/>
    </xf>
    <xf numFmtId="0" fontId="11" fillId="5" borderId="12" xfId="0" applyFont="1" applyFill="1" applyBorder="1" applyAlignment="1">
      <alignment horizontal="center" vertical="center"/>
    </xf>
    <xf numFmtId="0" fontId="11" fillId="5" borderId="11" xfId="0" applyFont="1" applyFill="1" applyBorder="1" applyAlignment="1">
      <alignment horizontal="center" vertical="center"/>
    </xf>
    <xf numFmtId="0" fontId="8" fillId="5" borderId="11" xfId="0" applyFont="1" applyFill="1" applyBorder="1" applyAlignment="1">
      <alignment horizontal="center" vertical="center"/>
    </xf>
    <xf numFmtId="3" fontId="8" fillId="5" borderId="10"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0" fontId="17" fillId="5" borderId="7" xfId="0" applyFont="1" applyFill="1" applyBorder="1" applyAlignment="1">
      <alignment horizontal="left" vertical="center"/>
    </xf>
    <xf numFmtId="0" fontId="17" fillId="5" borderId="6" xfId="0" applyFont="1" applyFill="1" applyBorder="1" applyAlignment="1">
      <alignment horizontal="left" vertical="center"/>
    </xf>
    <xf numFmtId="0" fontId="8" fillId="5" borderId="11" xfId="0" applyFont="1" applyFill="1" applyBorder="1" applyAlignment="1">
      <alignment horizontal="center"/>
    </xf>
    <xf numFmtId="3" fontId="8" fillId="5" borderId="10" xfId="0" applyNumberFormat="1" applyFont="1" applyFill="1" applyBorder="1" applyAlignment="1">
      <alignment horizontal="center"/>
    </xf>
    <xf numFmtId="0" fontId="8" fillId="5" borderId="5" xfId="0" applyFont="1" applyFill="1" applyBorder="1" applyAlignment="1">
      <alignment horizontal="center"/>
    </xf>
    <xf numFmtId="167" fontId="8" fillId="5" borderId="11" xfId="4" applyNumberFormat="1" applyFont="1" applyFill="1" applyBorder="1" applyAlignment="1">
      <alignment horizontal="center" vertical="center"/>
    </xf>
    <xf numFmtId="1" fontId="8" fillId="5" borderId="6" xfId="6"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1" fontId="8" fillId="5" borderId="5" xfId="6" applyNumberFormat="1" applyFont="1" applyFill="1" applyBorder="1" applyAlignment="1">
      <alignment horizontal="center" vertical="center"/>
    </xf>
    <xf numFmtId="1" fontId="8" fillId="5" borderId="5" xfId="0" applyNumberFormat="1" applyFont="1" applyFill="1" applyBorder="1" applyAlignment="1">
      <alignment horizontal="center" vertical="center"/>
    </xf>
    <xf numFmtId="0" fontId="18" fillId="5" borderId="27" xfId="0" applyFont="1" applyFill="1" applyBorder="1" applyAlignment="1">
      <alignment horizontal="center" vertical="top"/>
    </xf>
    <xf numFmtId="0" fontId="18" fillId="5" borderId="28" xfId="0" applyFont="1" applyFill="1" applyBorder="1" applyAlignment="1">
      <alignment horizontal="center" vertical="top"/>
    </xf>
    <xf numFmtId="0" fontId="18" fillId="5" borderId="29" xfId="0" applyFont="1" applyFill="1" applyBorder="1" applyAlignment="1">
      <alignment horizontal="center" vertical="top"/>
    </xf>
    <xf numFmtId="9" fontId="11" fillId="8" borderId="0" xfId="3" applyFont="1" applyFill="1" applyBorder="1"/>
    <xf numFmtId="181" fontId="11" fillId="10" borderId="21" xfId="4" applyNumberFormat="1" applyFont="1" applyFill="1" applyBorder="1"/>
    <xf numFmtId="181" fontId="0" fillId="9" borderId="0" xfId="0" applyNumberFormat="1" applyFill="1" applyBorder="1"/>
    <xf numFmtId="181" fontId="11" fillId="10" borderId="0" xfId="4" applyNumberFormat="1" applyFont="1" applyFill="1" applyBorder="1"/>
    <xf numFmtId="10" fontId="11" fillId="17" borderId="1" xfId="3" applyNumberFormat="1" applyFont="1" applyFill="1" applyBorder="1" applyAlignment="1">
      <alignment horizontal="center"/>
    </xf>
    <xf numFmtId="9" fontId="11" fillId="19" borderId="1" xfId="3" applyFont="1" applyFill="1" applyBorder="1" applyAlignment="1">
      <alignment horizontal="center" vertical="center"/>
    </xf>
    <xf numFmtId="43" fontId="11" fillId="17" borderId="1" xfId="0" applyNumberFormat="1" applyFont="1" applyFill="1" applyBorder="1" applyAlignment="1">
      <alignment horizontal="center" vertical="center"/>
    </xf>
    <xf numFmtId="10" fontId="11" fillId="19" borderId="1" xfId="3" applyNumberFormat="1" applyFont="1" applyFill="1" applyBorder="1" applyAlignment="1">
      <alignment horizontal="center"/>
    </xf>
    <xf numFmtId="0" fontId="32" fillId="14" borderId="10" xfId="0" applyFont="1" applyFill="1" applyBorder="1" applyAlignment="1">
      <alignment horizontal="center" wrapText="1"/>
    </xf>
    <xf numFmtId="0" fontId="32" fillId="14" borderId="5" xfId="0" applyFont="1" applyFill="1" applyBorder="1" applyAlignment="1">
      <alignment horizontal="center" wrapText="1"/>
    </xf>
    <xf numFmtId="0" fontId="34" fillId="5" borderId="18" xfId="0" applyFont="1" applyFill="1" applyBorder="1" applyAlignment="1">
      <alignment horizontal="center"/>
    </xf>
    <xf numFmtId="0" fontId="34" fillId="5" borderId="17" xfId="0" applyFont="1" applyFill="1" applyBorder="1" applyAlignment="1">
      <alignment horizontal="center"/>
    </xf>
    <xf numFmtId="0" fontId="34" fillId="5" borderId="16" xfId="0" applyFont="1" applyFill="1" applyBorder="1" applyAlignment="1">
      <alignment horizontal="center"/>
    </xf>
    <xf numFmtId="0" fontId="34" fillId="5" borderId="15" xfId="0" applyFont="1" applyFill="1" applyBorder="1" applyAlignment="1">
      <alignment horizontal="center"/>
    </xf>
    <xf numFmtId="0" fontId="34" fillId="5" borderId="18" xfId="0" applyFont="1" applyFill="1" applyBorder="1" applyAlignment="1">
      <alignment horizontal="center" vertical="center"/>
    </xf>
    <xf numFmtId="0" fontId="34" fillId="5" borderId="17" xfId="0" applyFont="1" applyFill="1" applyBorder="1" applyAlignment="1">
      <alignment horizontal="center" vertical="center"/>
    </xf>
    <xf numFmtId="0" fontId="34" fillId="5" borderId="16" xfId="0" applyFont="1" applyFill="1" applyBorder="1" applyAlignment="1">
      <alignment horizontal="center" vertical="center"/>
    </xf>
    <xf numFmtId="0" fontId="34" fillId="5" borderId="15" xfId="0" applyFont="1" applyFill="1" applyBorder="1" applyAlignment="1">
      <alignment horizontal="center" vertical="center"/>
    </xf>
    <xf numFmtId="0" fontId="34" fillId="5" borderId="14" xfId="0" applyFont="1" applyFill="1" applyBorder="1" applyAlignment="1">
      <alignment horizontal="center" vertical="center"/>
    </xf>
    <xf numFmtId="0" fontId="34" fillId="5" borderId="13" xfId="0" applyFont="1" applyFill="1" applyBorder="1" applyAlignment="1">
      <alignment horizontal="center" vertical="center"/>
    </xf>
    <xf numFmtId="0" fontId="11" fillId="5" borderId="0" xfId="0" applyFont="1" applyFill="1" applyAlignment="1"/>
    <xf numFmtId="0" fontId="0" fillId="0" borderId="0" xfId="0" applyAlignment="1">
      <alignment vertical="center" wrapText="1"/>
    </xf>
    <xf numFmtId="0" fontId="28" fillId="5" borderId="0" xfId="0" applyFont="1" applyFill="1"/>
    <xf numFmtId="0" fontId="0" fillId="5" borderId="0" xfId="0" applyFill="1" applyBorder="1"/>
    <xf numFmtId="9" fontId="28" fillId="5" borderId="0" xfId="3" applyFont="1" applyFill="1" applyBorder="1"/>
    <xf numFmtId="0" fontId="19" fillId="5" borderId="0" xfId="0" applyFont="1" applyFill="1" applyBorder="1" applyAlignment="1">
      <alignment horizontal="center"/>
    </xf>
    <xf numFmtId="181" fontId="11" fillId="5" borderId="0" xfId="2" applyNumberFormat="1" applyFont="1" applyFill="1"/>
    <xf numFmtId="0" fontId="32" fillId="14" borderId="7" xfId="0" applyFont="1" applyFill="1" applyBorder="1" applyAlignment="1">
      <alignment horizontal="center" wrapText="1"/>
    </xf>
    <xf numFmtId="9" fontId="11" fillId="11" borderId="4" xfId="3" applyFont="1" applyFill="1" applyBorder="1" applyAlignment="1">
      <alignment horizontal="center" vertical="center"/>
    </xf>
    <xf numFmtId="0" fontId="18" fillId="5" borderId="18" xfId="0" applyFont="1" applyFill="1" applyBorder="1" applyAlignment="1">
      <alignment horizontal="center" vertical="center" wrapText="1"/>
    </xf>
    <xf numFmtId="0" fontId="18" fillId="5" borderId="20" xfId="0" applyFont="1" applyFill="1" applyBorder="1" applyAlignment="1">
      <alignment horizontal="center" vertical="center" wrapText="1"/>
    </xf>
    <xf numFmtId="0" fontId="18" fillId="5" borderId="17" xfId="0" applyFont="1" applyFill="1" applyBorder="1" applyAlignment="1">
      <alignment horizontal="center" vertical="center" wrapText="1"/>
    </xf>
    <xf numFmtId="0" fontId="18" fillId="5" borderId="16" xfId="0" applyFont="1" applyFill="1" applyBorder="1" applyAlignment="1">
      <alignment horizontal="center" vertical="center" wrapText="1"/>
    </xf>
    <xf numFmtId="0" fontId="18" fillId="5" borderId="0"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18" fillId="5" borderId="14" xfId="0" applyFont="1" applyFill="1" applyBorder="1" applyAlignment="1">
      <alignment horizontal="center" vertical="center" wrapText="1"/>
    </xf>
    <xf numFmtId="0" fontId="18" fillId="5" borderId="21" xfId="0" applyFont="1" applyFill="1" applyBorder="1" applyAlignment="1">
      <alignment horizontal="center" vertical="center" wrapText="1"/>
    </xf>
    <xf numFmtId="0" fontId="18" fillId="5" borderId="13" xfId="0" applyFont="1" applyFill="1" applyBorder="1" applyAlignment="1">
      <alignment horizontal="center" vertical="center" wrapText="1"/>
    </xf>
    <xf numFmtId="9" fontId="11" fillId="5" borderId="2" xfId="3" applyFont="1" applyFill="1" applyBorder="1"/>
    <xf numFmtId="9" fontId="11" fillId="5" borderId="25" xfId="3" applyFont="1" applyFill="1" applyBorder="1"/>
    <xf numFmtId="0" fontId="35" fillId="14" borderId="27" xfId="0" applyFont="1" applyFill="1" applyBorder="1" applyAlignment="1">
      <alignment horizontal="center"/>
    </xf>
    <xf numFmtId="0" fontId="35" fillId="14" borderId="28" xfId="0" applyFont="1" applyFill="1" applyBorder="1" applyAlignment="1">
      <alignment horizontal="center"/>
    </xf>
    <xf numFmtId="0" fontId="35" fillId="14" borderId="29" xfId="0" applyFont="1" applyFill="1" applyBorder="1" applyAlignment="1">
      <alignment horizontal="center"/>
    </xf>
    <xf numFmtId="0" fontId="35" fillId="14" borderId="30" xfId="0" applyFont="1" applyFill="1" applyBorder="1" applyAlignment="1">
      <alignment horizontal="center" vertical="center" wrapText="1"/>
    </xf>
    <xf numFmtId="0" fontId="35" fillId="14" borderId="31" xfId="0" applyFont="1" applyFill="1" applyBorder="1" applyAlignment="1">
      <alignment horizontal="center" vertical="center" wrapText="1"/>
    </xf>
    <xf numFmtId="0" fontId="35" fillId="14" borderId="32" xfId="0" applyFont="1" applyFill="1" applyBorder="1" applyAlignment="1">
      <alignment horizontal="center" vertical="center" wrapText="1"/>
    </xf>
    <xf numFmtId="0" fontId="0" fillId="0" borderId="0" xfId="0" applyAlignment="1">
      <alignment horizontal="center" wrapText="1"/>
    </xf>
    <xf numFmtId="0" fontId="19" fillId="0" borderId="0" xfId="0" applyFont="1" applyAlignment="1">
      <alignment horizontal="left" vertical="center" wrapText="1"/>
    </xf>
    <xf numFmtId="0" fontId="11" fillId="0" borderId="1" xfId="0" applyFont="1" applyFill="1" applyBorder="1" applyAlignment="1">
      <alignment horizontal="center" wrapText="1"/>
    </xf>
    <xf numFmtId="9" fontId="11" fillId="8" borderId="1" xfId="5" applyFont="1" applyFill="1" applyBorder="1"/>
    <xf numFmtId="8" fontId="11" fillId="8" borderId="1" xfId="5" applyNumberFormat="1" applyFont="1" applyFill="1" applyBorder="1"/>
    <xf numFmtId="1" fontId="11" fillId="8" borderId="1" xfId="0" applyNumberFormat="1" applyFont="1" applyFill="1" applyBorder="1"/>
    <xf numFmtId="0" fontId="36" fillId="5" borderId="9" xfId="0" applyFont="1" applyFill="1" applyBorder="1"/>
    <xf numFmtId="0" fontId="35" fillId="14" borderId="30" xfId="0" applyFont="1" applyFill="1" applyBorder="1" applyAlignment="1">
      <alignment horizontal="center" vertical="center" wrapText="1"/>
    </xf>
    <xf numFmtId="10" fontId="11" fillId="5" borderId="5" xfId="3" applyNumberFormat="1" applyFont="1" applyFill="1" applyBorder="1"/>
    <xf numFmtId="8" fontId="28" fillId="5" borderId="25" xfId="0" applyNumberFormat="1" applyFont="1" applyFill="1" applyBorder="1"/>
    <xf numFmtId="0" fontId="18" fillId="5" borderId="18" xfId="0" applyFont="1" applyFill="1" applyBorder="1" applyAlignment="1">
      <alignment horizontal="center" wrapText="1"/>
    </xf>
    <xf numFmtId="0" fontId="18" fillId="5" borderId="20" xfId="0" applyFont="1" applyFill="1" applyBorder="1" applyAlignment="1">
      <alignment horizontal="center" wrapText="1"/>
    </xf>
    <xf numFmtId="0" fontId="18" fillId="5" borderId="16" xfId="0" applyFont="1" applyFill="1" applyBorder="1" applyAlignment="1">
      <alignment horizontal="center" wrapText="1"/>
    </xf>
    <xf numFmtId="0" fontId="18" fillId="5" borderId="0" xfId="0" applyFont="1" applyFill="1" applyBorder="1" applyAlignment="1">
      <alignment horizontal="center" wrapText="1"/>
    </xf>
    <xf numFmtId="0" fontId="18" fillId="5" borderId="14" xfId="0" applyFont="1" applyFill="1" applyBorder="1" applyAlignment="1">
      <alignment horizontal="center" wrapText="1"/>
    </xf>
    <xf numFmtId="0" fontId="18" fillId="5" borderId="21" xfId="0" applyFont="1" applyFill="1" applyBorder="1" applyAlignment="1">
      <alignment horizontal="center" wrapText="1"/>
    </xf>
    <xf numFmtId="0" fontId="18" fillId="5" borderId="17" xfId="0" applyFont="1" applyFill="1" applyBorder="1" applyAlignment="1">
      <alignment horizontal="center" wrapText="1"/>
    </xf>
    <xf numFmtId="0" fontId="18" fillId="5" borderId="15" xfId="0" applyFont="1" applyFill="1" applyBorder="1" applyAlignment="1">
      <alignment horizontal="center" wrapText="1"/>
    </xf>
    <xf numFmtId="0" fontId="18" fillId="5" borderId="13" xfId="0" applyFont="1" applyFill="1" applyBorder="1" applyAlignment="1">
      <alignment horizontal="center" wrapText="1"/>
    </xf>
    <xf numFmtId="181" fontId="28" fillId="5" borderId="0" xfId="0" applyNumberFormat="1" applyFont="1" applyFill="1" applyAlignment="1">
      <alignment horizontal="center" vertical="center"/>
    </xf>
    <xf numFmtId="9" fontId="11" fillId="5" borderId="5" xfId="3" applyFont="1" applyFill="1" applyBorder="1" applyAlignment="1">
      <alignment horizontal="center" vertical="center"/>
    </xf>
    <xf numFmtId="9" fontId="11" fillId="5" borderId="25" xfId="3" applyFont="1" applyFill="1" applyBorder="1" applyAlignment="1">
      <alignment horizontal="center" vertical="center"/>
    </xf>
    <xf numFmtId="0" fontId="35" fillId="14" borderId="21" xfId="0" applyFont="1" applyFill="1" applyBorder="1" applyAlignment="1"/>
    <xf numFmtId="0" fontId="35" fillId="14" borderId="13" xfId="0" applyFont="1" applyFill="1" applyBorder="1" applyAlignment="1"/>
  </cellXfs>
  <cellStyles count="13">
    <cellStyle name="Comma" xfId="1" builtinId="3"/>
    <cellStyle name="Comma 2" xfId="4" xr:uid="{4ADA2150-C909-4DDA-90AF-66EAB8CACFF3}"/>
    <cellStyle name="Comma 3" xfId="8" xr:uid="{C2DB6BEA-D941-4628-A32C-43BB8F2F2978}"/>
    <cellStyle name="Currency" xfId="2" builtinId="4"/>
    <cellStyle name="Currency 2" xfId="6" xr:uid="{5160EA2C-D436-4068-9859-E9F2298D1AC1}"/>
    <cellStyle name="Currency 3" xfId="9" xr:uid="{669286AE-4F92-4B65-921A-2FC350D28A53}"/>
    <cellStyle name="Normal" xfId="0" builtinId="0"/>
    <cellStyle name="Normal 2" xfId="11" xr:uid="{35CCDE69-41DE-4A12-B7A3-EECA226D6ED2}"/>
    <cellStyle name="Normal 2 2" xfId="12" xr:uid="{EE94803B-D7C7-429E-AE3B-839B962C4F71}"/>
    <cellStyle name="Normal 3" xfId="7" xr:uid="{083D3A3A-B088-4647-9C6B-4EEEA3B8D0E2}"/>
    <cellStyle name="Percent" xfId="3" builtinId="5"/>
    <cellStyle name="Percent 2" xfId="5" xr:uid="{205B21F4-FCCA-4735-B721-FA5F15B5390C}"/>
    <cellStyle name="Percent 3" xfId="10" xr:uid="{B2D656B5-413A-4AB2-BC40-A0DF11679CA2}"/>
  </cellStyles>
  <dxfs count="0"/>
  <tableStyles count="0" defaultTableStyle="TableStyleMedium2" defaultPivotStyle="PivotStyleLight16"/>
  <colors>
    <mruColors>
      <color rgb="FF73FDD6"/>
      <color rgb="FF9437FF"/>
      <color rgb="FF941100"/>
      <color rgb="FFD883FF"/>
      <color rgb="FF7A81FF"/>
      <color rgb="FF73FB79"/>
      <color rgb="FFFF9300"/>
      <color rgb="FFFFD579"/>
      <color rgb="FFFFFF99"/>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Downloads/Project%20#2 -Financial Forecasting - She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ctual"/>
      <sheetName val="Inputs &amp; Historical Analysis"/>
      <sheetName val="Simple Projection"/>
      <sheetName val="Complete Projection"/>
      <sheetName val="Explanations"/>
    </sheetNames>
    <sheetDataSet>
      <sheetData sheetId="0"/>
      <sheetData sheetId="1">
        <row r="4">
          <cell r="D4" t="str">
            <v>Actual</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24B90-3498-4AC6-8978-201A855F7AE3}">
  <sheetPr codeName="Sheet1"/>
  <dimension ref="A1:N42"/>
  <sheetViews>
    <sheetView topLeftCell="A17" workbookViewId="0">
      <selection activeCell="B15" sqref="B15"/>
    </sheetView>
  </sheetViews>
  <sheetFormatPr baseColWidth="10" defaultColWidth="8.83203125" defaultRowHeight="13" x14ac:dyDescent="0.15"/>
  <cols>
    <col min="2" max="2" width="12.5" bestFit="1" customWidth="1"/>
    <col min="11" max="11" width="38.5" customWidth="1"/>
    <col min="12" max="12" width="13.1640625" customWidth="1"/>
    <col min="13" max="13" width="19.1640625" customWidth="1"/>
    <col min="14" max="14" width="33" customWidth="1"/>
  </cols>
  <sheetData>
    <row r="1" spans="2:14" ht="16" x14ac:dyDescent="0.2">
      <c r="B1" s="13" t="s">
        <v>117</v>
      </c>
      <c r="C1" s="12"/>
      <c r="D1" s="12"/>
      <c r="E1" s="12"/>
      <c r="F1" s="12"/>
      <c r="G1" s="12"/>
      <c r="H1" s="12"/>
      <c r="I1" s="11"/>
    </row>
    <row r="3" spans="2:14" ht="14" x14ac:dyDescent="0.15">
      <c r="B3" s="14" t="s">
        <v>10</v>
      </c>
      <c r="C3" s="151"/>
      <c r="D3" s="152"/>
      <c r="E3" s="152"/>
      <c r="F3" s="152"/>
      <c r="G3" s="152"/>
      <c r="H3" s="152"/>
      <c r="I3" s="153"/>
    </row>
    <row r="4" spans="2:14" ht="14" x14ac:dyDescent="0.15">
      <c r="B4" s="14"/>
    </row>
    <row r="5" spans="2:14" ht="14" x14ac:dyDescent="0.15">
      <c r="B5" s="14" t="s">
        <v>9</v>
      </c>
      <c r="C5" s="15">
        <f>M22</f>
        <v>0</v>
      </c>
    </row>
    <row r="6" spans="2:14" ht="14" x14ac:dyDescent="0.15">
      <c r="B6" s="14"/>
    </row>
    <row r="7" spans="2:14" ht="14" x14ac:dyDescent="0.15">
      <c r="B7" s="14" t="s">
        <v>8</v>
      </c>
      <c r="C7" s="154"/>
      <c r="D7" s="155"/>
      <c r="E7" s="155"/>
      <c r="F7" s="155"/>
      <c r="G7" s="155"/>
      <c r="H7" s="155"/>
      <c r="I7" s="156"/>
    </row>
    <row r="8" spans="2:14" x14ac:dyDescent="0.15">
      <c r="C8" s="157"/>
      <c r="D8" s="158"/>
      <c r="E8" s="158"/>
      <c r="F8" s="158"/>
      <c r="G8" s="158"/>
      <c r="H8" s="158"/>
      <c r="I8" s="159"/>
    </row>
    <row r="9" spans="2:14" x14ac:dyDescent="0.15">
      <c r="C9" s="157"/>
      <c r="D9" s="158"/>
      <c r="E9" s="158"/>
      <c r="F9" s="158"/>
      <c r="G9" s="158"/>
      <c r="H9" s="158"/>
      <c r="I9" s="159"/>
    </row>
    <row r="10" spans="2:14" x14ac:dyDescent="0.15">
      <c r="C10" s="157"/>
      <c r="D10" s="158"/>
      <c r="E10" s="158"/>
      <c r="F10" s="158"/>
      <c r="G10" s="158"/>
      <c r="H10" s="158"/>
      <c r="I10" s="159"/>
    </row>
    <row r="11" spans="2:14" x14ac:dyDescent="0.15">
      <c r="C11" s="160"/>
      <c r="D11" s="161"/>
      <c r="E11" s="161"/>
      <c r="F11" s="161"/>
      <c r="G11" s="161"/>
      <c r="H11" s="161"/>
      <c r="I11" s="162"/>
    </row>
    <row r="13" spans="2:14" ht="16" x14ac:dyDescent="0.2">
      <c r="B13" s="13" t="s">
        <v>7</v>
      </c>
      <c r="C13" s="12"/>
      <c r="D13" s="12"/>
      <c r="E13" s="12"/>
      <c r="F13" s="12"/>
      <c r="G13" s="12"/>
      <c r="H13" s="12"/>
      <c r="I13" s="11"/>
    </row>
    <row r="14" spans="2:14" ht="14" x14ac:dyDescent="0.15">
      <c r="B14" s="3"/>
      <c r="C14" s="3"/>
      <c r="D14" s="3"/>
    </row>
    <row r="15" spans="2:14" ht="14" x14ac:dyDescent="0.15">
      <c r="B15" s="10"/>
      <c r="C15" s="9"/>
      <c r="D15" s="8" t="s">
        <v>6</v>
      </c>
      <c r="K15" s="69" t="s">
        <v>96</v>
      </c>
      <c r="L15" s="69" t="s">
        <v>97</v>
      </c>
      <c r="M15" s="69" t="s">
        <v>98</v>
      </c>
      <c r="N15" s="69" t="s">
        <v>99</v>
      </c>
    </row>
    <row r="16" spans="2:14" ht="16" x14ac:dyDescent="0.2">
      <c r="B16" s="3"/>
      <c r="C16" s="3"/>
      <c r="D16" s="3" t="s">
        <v>5</v>
      </c>
      <c r="K16" s="70" t="s">
        <v>100</v>
      </c>
      <c r="L16" s="70">
        <v>25</v>
      </c>
      <c r="M16" s="70"/>
      <c r="N16" s="71"/>
    </row>
    <row r="17" spans="2:14" ht="16" x14ac:dyDescent="0.2">
      <c r="B17" s="3"/>
      <c r="C17" s="3"/>
      <c r="D17" s="3"/>
      <c r="K17" s="70" t="s">
        <v>105</v>
      </c>
      <c r="L17" s="70">
        <v>5</v>
      </c>
      <c r="M17" s="70"/>
      <c r="N17" s="71"/>
    </row>
    <row r="18" spans="2:14" ht="16" x14ac:dyDescent="0.2">
      <c r="B18" s="7"/>
      <c r="D18" s="3" t="s">
        <v>4</v>
      </c>
      <c r="K18" s="70" t="s">
        <v>101</v>
      </c>
      <c r="L18" s="70">
        <v>10</v>
      </c>
      <c r="M18" s="70"/>
      <c r="N18" s="71"/>
    </row>
    <row r="19" spans="2:14" ht="16" x14ac:dyDescent="0.2">
      <c r="D19" s="3" t="s">
        <v>3</v>
      </c>
      <c r="K19" s="70" t="s">
        <v>104</v>
      </c>
      <c r="L19" s="70">
        <v>5</v>
      </c>
      <c r="M19" s="70"/>
      <c r="N19" s="71"/>
    </row>
    <row r="20" spans="2:14" ht="16" x14ac:dyDescent="0.2">
      <c r="D20" s="3" t="s">
        <v>2</v>
      </c>
      <c r="K20" s="70" t="s">
        <v>110</v>
      </c>
      <c r="L20" s="70">
        <v>5</v>
      </c>
      <c r="M20" s="70"/>
      <c r="N20" s="71"/>
    </row>
    <row r="21" spans="2:14" ht="76" x14ac:dyDescent="0.2">
      <c r="K21" s="70" t="s">
        <v>102</v>
      </c>
      <c r="L21" s="70">
        <v>0</v>
      </c>
      <c r="M21" s="70"/>
      <c r="N21" s="71"/>
    </row>
    <row r="22" spans="2:14" ht="16" x14ac:dyDescent="0.2">
      <c r="B22" s="6"/>
      <c r="C22" s="3"/>
      <c r="D22" s="3" t="s">
        <v>1</v>
      </c>
      <c r="K22" s="70" t="s">
        <v>103</v>
      </c>
      <c r="L22" s="68">
        <v>50</v>
      </c>
      <c r="M22" s="68">
        <f>SUM(M16:M21)</f>
        <v>0</v>
      </c>
      <c r="N22" s="66"/>
    </row>
    <row r="23" spans="2:14" ht="14" x14ac:dyDescent="0.15">
      <c r="B23" s="3"/>
      <c r="C23" s="3"/>
      <c r="D23" s="3" t="s">
        <v>0</v>
      </c>
    </row>
    <row r="24" spans="2:14" x14ac:dyDescent="0.15">
      <c r="B24" s="4"/>
      <c r="C24" s="4"/>
    </row>
    <row r="25" spans="2:14" ht="14" x14ac:dyDescent="0.15">
      <c r="B25" s="3"/>
      <c r="C25" s="4"/>
      <c r="D25" s="3"/>
    </row>
    <row r="26" spans="2:14" ht="14" x14ac:dyDescent="0.15">
      <c r="B26" s="119"/>
      <c r="C26" s="4"/>
      <c r="D26" s="3" t="s">
        <v>112</v>
      </c>
      <c r="F26" s="3"/>
    </row>
    <row r="27" spans="2:14" ht="14" x14ac:dyDescent="0.15">
      <c r="B27" s="5"/>
      <c r="C27" s="4"/>
      <c r="D27" s="3"/>
    </row>
    <row r="30" spans="2:14" ht="14" x14ac:dyDescent="0.15">
      <c r="B30" s="120"/>
      <c r="D30" s="3" t="s">
        <v>111</v>
      </c>
    </row>
    <row r="36" spans="1:9" x14ac:dyDescent="0.15">
      <c r="B36" s="2"/>
      <c r="C36" s="2"/>
      <c r="D36" s="1"/>
    </row>
    <row r="37" spans="1:9" x14ac:dyDescent="0.15">
      <c r="B37" s="2"/>
      <c r="C37" s="2"/>
      <c r="D37" s="1"/>
    </row>
    <row r="38" spans="1:9" ht="11.25" customHeight="1" x14ac:dyDescent="0.15">
      <c r="A38" s="2"/>
      <c r="D38" s="2"/>
      <c r="E38" s="2"/>
      <c r="F38" s="2"/>
      <c r="G38" s="2"/>
      <c r="H38" s="2"/>
    </row>
    <row r="39" spans="1:9" x14ac:dyDescent="0.15">
      <c r="A39" s="2"/>
      <c r="D39" s="2"/>
      <c r="E39" s="2"/>
      <c r="F39" s="2"/>
      <c r="G39" s="2"/>
      <c r="H39" s="2"/>
    </row>
    <row r="40" spans="1:9" x14ac:dyDescent="0.15">
      <c r="E40" s="1"/>
      <c r="F40" s="1"/>
      <c r="G40" s="1"/>
      <c r="H40" s="1"/>
      <c r="I40" s="1"/>
    </row>
    <row r="41" spans="1:9" x14ac:dyDescent="0.15">
      <c r="I41" s="1"/>
    </row>
    <row r="42" spans="1:9" x14ac:dyDescent="0.15">
      <c r="I42" s="1"/>
    </row>
  </sheetData>
  <mergeCells count="2">
    <mergeCell ref="C3:I3"/>
    <mergeCell ref="C7: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6126-8A8D-4302-A412-91FB2D63B50E}">
  <sheetPr codeName="Sheet2"/>
  <dimension ref="B1:K115"/>
  <sheetViews>
    <sheetView workbookViewId="0">
      <selection activeCell="E18" sqref="E18"/>
    </sheetView>
  </sheetViews>
  <sheetFormatPr baseColWidth="10" defaultColWidth="10.6640625" defaultRowHeight="16" x14ac:dyDescent="0.2"/>
  <cols>
    <col min="1" max="1" width="10.6640625" style="16"/>
    <col min="2" max="2" width="34.33203125" style="16" customWidth="1"/>
    <col min="3" max="5" width="14.33203125" style="16" bestFit="1" customWidth="1"/>
    <col min="6" max="6" width="10.6640625" style="16" customWidth="1"/>
    <col min="7" max="7" width="25.5" style="16" customWidth="1"/>
    <col min="8" max="8" width="12.1640625" style="16" customWidth="1"/>
    <col min="9" max="10" width="14.33203125" style="16" bestFit="1" customWidth="1"/>
    <col min="11" max="16384" width="10.6640625" style="16"/>
  </cols>
  <sheetData>
    <row r="1" spans="2:11" ht="18" customHeight="1" x14ac:dyDescent="0.2">
      <c r="B1" s="163" t="s">
        <v>44</v>
      </c>
      <c r="C1" s="163"/>
      <c r="D1" s="163"/>
      <c r="E1" s="163"/>
      <c r="F1" s="163"/>
      <c r="G1" s="163"/>
      <c r="H1" s="163"/>
      <c r="I1" s="163"/>
      <c r="J1" s="163"/>
    </row>
    <row r="2" spans="2:11" ht="18" customHeight="1" x14ac:dyDescent="0.2">
      <c r="B2" s="163"/>
      <c r="C2" s="163"/>
      <c r="D2" s="163"/>
      <c r="E2" s="163"/>
      <c r="F2" s="163"/>
      <c r="G2" s="163"/>
      <c r="H2" s="163"/>
      <c r="I2" s="163"/>
      <c r="J2" s="163"/>
    </row>
    <row r="3" spans="2:11" x14ac:dyDescent="0.2">
      <c r="B3" s="164" t="s">
        <v>43</v>
      </c>
      <c r="C3" s="164"/>
      <c r="D3" s="164"/>
      <c r="E3" s="164"/>
      <c r="F3" s="164"/>
      <c r="G3" s="164"/>
      <c r="H3" s="164"/>
      <c r="I3" s="164"/>
      <c r="J3" s="164"/>
    </row>
    <row r="4" spans="2:11" x14ac:dyDescent="0.2">
      <c r="K4" s="17"/>
    </row>
    <row r="5" spans="2:11" x14ac:dyDescent="0.2">
      <c r="K5" s="20"/>
    </row>
    <row r="6" spans="2:11" x14ac:dyDescent="0.2">
      <c r="B6" s="81"/>
      <c r="C6" s="113" t="s">
        <v>29</v>
      </c>
      <c r="D6" s="113" t="s">
        <v>29</v>
      </c>
      <c r="E6" s="114" t="s">
        <v>29</v>
      </c>
      <c r="G6" s="81"/>
      <c r="H6" s="97" t="s">
        <v>29</v>
      </c>
      <c r="I6" s="97" t="s">
        <v>29</v>
      </c>
      <c r="J6" s="112" t="s">
        <v>29</v>
      </c>
      <c r="K6" s="19"/>
    </row>
    <row r="7" spans="2:11" x14ac:dyDescent="0.2">
      <c r="B7" s="98" t="s">
        <v>28</v>
      </c>
      <c r="C7" s="45">
        <v>2017</v>
      </c>
      <c r="D7" s="45">
        <v>2018</v>
      </c>
      <c r="E7" s="99">
        <v>2019</v>
      </c>
      <c r="G7" s="98" t="s">
        <v>42</v>
      </c>
      <c r="H7" s="45">
        <v>2017</v>
      </c>
      <c r="I7" s="45">
        <v>2018</v>
      </c>
      <c r="J7" s="99">
        <v>2019</v>
      </c>
      <c r="K7" s="19"/>
    </row>
    <row r="8" spans="2:11" ht="17" x14ac:dyDescent="0.2">
      <c r="B8" s="82" t="s">
        <v>27</v>
      </c>
      <c r="C8" s="121">
        <v>7487</v>
      </c>
      <c r="D8" s="121">
        <v>6364</v>
      </c>
      <c r="E8" s="122">
        <v>7007</v>
      </c>
      <c r="G8" s="75" t="s">
        <v>41</v>
      </c>
      <c r="H8" s="121">
        <v>34412</v>
      </c>
      <c r="I8" s="121">
        <v>36705</v>
      </c>
      <c r="J8" s="122">
        <v>37448</v>
      </c>
      <c r="K8" s="19"/>
    </row>
    <row r="9" spans="2:11" ht="17" x14ac:dyDescent="0.2">
      <c r="B9" s="83" t="s">
        <v>26</v>
      </c>
      <c r="C9" s="121">
        <v>661</v>
      </c>
      <c r="D9" s="121">
        <v>277</v>
      </c>
      <c r="E9" s="122">
        <v>291</v>
      </c>
      <c r="G9" s="75" t="s">
        <v>40</v>
      </c>
      <c r="H9" s="121">
        <v>21341</v>
      </c>
      <c r="I9" s="121">
        <v>23557</v>
      </c>
      <c r="J9" s="122">
        <v>24505</v>
      </c>
      <c r="K9" s="17"/>
    </row>
    <row r="10" spans="2:11" ht="17" x14ac:dyDescent="0.2">
      <c r="B10" s="82" t="s">
        <v>25</v>
      </c>
      <c r="C10" s="121">
        <v>1076</v>
      </c>
      <c r="D10" s="121">
        <v>1406</v>
      </c>
      <c r="E10" s="122">
        <v>1491</v>
      </c>
      <c r="G10" s="76" t="s">
        <v>39</v>
      </c>
      <c r="H10" s="121">
        <v>11747</v>
      </c>
      <c r="I10" s="121">
        <v>11817</v>
      </c>
      <c r="J10" s="122">
        <v>10909</v>
      </c>
      <c r="K10" s="19"/>
    </row>
    <row r="11" spans="2:11" ht="17" x14ac:dyDescent="0.2">
      <c r="B11" s="82" t="s">
        <v>24</v>
      </c>
      <c r="C11" s="123">
        <v>2726</v>
      </c>
      <c r="D11" s="123">
        <v>3139</v>
      </c>
      <c r="E11" s="124">
        <v>2832</v>
      </c>
      <c r="G11" s="75" t="s">
        <v>38</v>
      </c>
      <c r="H11" s="123">
        <v>3240</v>
      </c>
      <c r="I11" s="123">
        <v>3183</v>
      </c>
      <c r="J11" s="124">
        <v>3092</v>
      </c>
      <c r="K11" s="19"/>
    </row>
    <row r="12" spans="2:11" ht="17" x14ac:dyDescent="0.2">
      <c r="B12" s="84" t="s">
        <v>23</v>
      </c>
      <c r="C12" s="129">
        <v>11950</v>
      </c>
      <c r="D12" s="129">
        <v>11186</v>
      </c>
      <c r="E12" s="130">
        <v>11621</v>
      </c>
      <c r="G12" s="77" t="s">
        <v>37</v>
      </c>
      <c r="H12" s="63">
        <v>-1916</v>
      </c>
      <c r="I12" s="63">
        <v>-1852</v>
      </c>
      <c r="J12" s="125">
        <v>-1058</v>
      </c>
      <c r="K12" s="17"/>
    </row>
    <row r="13" spans="2:11" ht="17" x14ac:dyDescent="0.2">
      <c r="B13" s="82" t="s">
        <v>22</v>
      </c>
      <c r="C13" s="123">
        <v>73670</v>
      </c>
      <c r="D13" s="123">
        <v>73671</v>
      </c>
      <c r="E13" s="124">
        <v>73672</v>
      </c>
      <c r="G13" s="78" t="s">
        <v>36</v>
      </c>
      <c r="H13" s="121">
        <v>38</v>
      </c>
      <c r="I13" s="121">
        <v>33</v>
      </c>
      <c r="J13" s="122">
        <v>14</v>
      </c>
      <c r="K13" s="19"/>
    </row>
    <row r="14" spans="2:11" ht="17" x14ac:dyDescent="0.2">
      <c r="B14" s="85" t="s">
        <v>21</v>
      </c>
      <c r="C14" s="131">
        <v>85620</v>
      </c>
      <c r="D14" s="131">
        <v>84857</v>
      </c>
      <c r="E14" s="132">
        <v>85293</v>
      </c>
      <c r="G14" s="76" t="s">
        <v>35</v>
      </c>
      <c r="H14" s="123">
        <v>594</v>
      </c>
      <c r="I14" s="123">
        <v>839</v>
      </c>
      <c r="J14" s="124">
        <v>1020</v>
      </c>
      <c r="K14" s="17"/>
    </row>
    <row r="15" spans="2:11" x14ac:dyDescent="0.2">
      <c r="B15" s="85"/>
      <c r="C15" s="131"/>
      <c r="D15" s="131"/>
      <c r="E15" s="132"/>
      <c r="G15" s="77" t="s">
        <v>34</v>
      </c>
      <c r="H15" s="63">
        <v>-2472</v>
      </c>
      <c r="I15" s="63">
        <v>-2658</v>
      </c>
      <c r="J15" s="125">
        <v>-2064</v>
      </c>
      <c r="K15" s="19"/>
    </row>
    <row r="16" spans="2:11" ht="17" x14ac:dyDescent="0.2">
      <c r="B16" s="83" t="s">
        <v>20</v>
      </c>
      <c r="C16" s="121">
        <v>1863</v>
      </c>
      <c r="D16" s="121">
        <v>2047</v>
      </c>
      <c r="E16" s="122">
        <v>1956</v>
      </c>
      <c r="G16" s="76" t="s">
        <v>33</v>
      </c>
      <c r="H16" s="123">
        <v>-742</v>
      </c>
      <c r="I16" s="123">
        <v>-797</v>
      </c>
      <c r="J16" s="124">
        <v>-619</v>
      </c>
      <c r="K16" s="17"/>
    </row>
    <row r="17" spans="2:11" ht="17" x14ac:dyDescent="0.2">
      <c r="B17" s="82" t="s">
        <v>19</v>
      </c>
      <c r="C17" s="121">
        <v>2664</v>
      </c>
      <c r="D17" s="121">
        <v>1940</v>
      </c>
      <c r="E17" s="122">
        <v>2270</v>
      </c>
      <c r="G17" s="79" t="s">
        <v>32</v>
      </c>
      <c r="H17" s="126">
        <v>-1730</v>
      </c>
      <c r="I17" s="126">
        <v>-1861</v>
      </c>
      <c r="J17" s="127">
        <v>-1445</v>
      </c>
      <c r="K17" s="17"/>
    </row>
    <row r="18" spans="2:11" ht="17" x14ac:dyDescent="0.2">
      <c r="B18" s="83" t="s">
        <v>18</v>
      </c>
      <c r="C18" s="133">
        <v>2241</v>
      </c>
      <c r="D18" s="133">
        <v>5651</v>
      </c>
      <c r="E18" s="134">
        <v>9074</v>
      </c>
      <c r="G18" s="75" t="s">
        <v>31</v>
      </c>
      <c r="H18" s="63">
        <v>0</v>
      </c>
      <c r="I18" s="63">
        <v>0</v>
      </c>
      <c r="J18" s="125">
        <v>0</v>
      </c>
      <c r="K18" s="17"/>
    </row>
    <row r="19" spans="2:11" ht="17" x14ac:dyDescent="0.2">
      <c r="B19" s="84" t="s">
        <v>17</v>
      </c>
      <c r="C19" s="129">
        <v>6768</v>
      </c>
      <c r="D19" s="129">
        <v>9638</v>
      </c>
      <c r="E19" s="130">
        <v>13300</v>
      </c>
      <c r="G19" s="80" t="s">
        <v>30</v>
      </c>
      <c r="H19" s="89">
        <v>-1730</v>
      </c>
      <c r="I19" s="89">
        <v>-1861</v>
      </c>
      <c r="J19" s="128">
        <v>-1445</v>
      </c>
      <c r="K19" s="17"/>
    </row>
    <row r="20" spans="2:11" ht="17" x14ac:dyDescent="0.2">
      <c r="B20" s="83" t="s">
        <v>16</v>
      </c>
      <c r="C20" s="133">
        <v>8251</v>
      </c>
      <c r="D20" s="133">
        <v>7100</v>
      </c>
      <c r="E20" s="134">
        <v>6544</v>
      </c>
      <c r="K20" s="17"/>
    </row>
    <row r="21" spans="2:11" ht="17" x14ac:dyDescent="0.2">
      <c r="B21" s="87" t="s">
        <v>15</v>
      </c>
      <c r="C21" s="129">
        <v>15019</v>
      </c>
      <c r="D21" s="129">
        <v>16738</v>
      </c>
      <c r="E21" s="130">
        <v>19844</v>
      </c>
      <c r="K21" s="17"/>
    </row>
    <row r="22" spans="2:11" x14ac:dyDescent="0.2">
      <c r="B22" s="76" t="s">
        <v>14</v>
      </c>
      <c r="C22" s="129">
        <v>72543</v>
      </c>
      <c r="D22" s="129">
        <v>71922</v>
      </c>
      <c r="E22" s="130">
        <v>70697</v>
      </c>
      <c r="K22" s="17"/>
    </row>
    <row r="23" spans="2:11" ht="17" x14ac:dyDescent="0.2">
      <c r="B23" s="83" t="s">
        <v>13</v>
      </c>
      <c r="C23" s="123">
        <v>-1942</v>
      </c>
      <c r="D23" s="123">
        <v>-3803</v>
      </c>
      <c r="E23" s="124">
        <v>-5248</v>
      </c>
      <c r="F23" s="44"/>
      <c r="K23" s="19"/>
    </row>
    <row r="24" spans="2:11" ht="17" x14ac:dyDescent="0.2">
      <c r="B24" s="87" t="s">
        <v>12</v>
      </c>
      <c r="C24" s="133">
        <v>70601</v>
      </c>
      <c r="D24" s="133">
        <v>68119</v>
      </c>
      <c r="E24" s="134">
        <v>65449</v>
      </c>
    </row>
    <row r="25" spans="2:11" ht="17" x14ac:dyDescent="0.2">
      <c r="B25" s="115" t="s">
        <v>11</v>
      </c>
      <c r="C25" s="131">
        <v>85620</v>
      </c>
      <c r="D25" s="131">
        <v>84857</v>
      </c>
      <c r="E25" s="132">
        <v>85293</v>
      </c>
      <c r="G25" s="37"/>
      <c r="H25" s="37"/>
      <c r="I25" s="37"/>
      <c r="J25" s="19"/>
      <c r="K25" s="17"/>
    </row>
    <row r="26" spans="2:11" x14ac:dyDescent="0.2">
      <c r="B26" s="116"/>
      <c r="C26" s="117">
        <f>C14-C25</f>
        <v>0</v>
      </c>
      <c r="D26" s="117">
        <f>D14-D25</f>
        <v>0</v>
      </c>
      <c r="E26" s="118">
        <f>E14-E25</f>
        <v>0</v>
      </c>
      <c r="H26" s="18"/>
      <c r="I26" s="17"/>
      <c r="J26" s="17"/>
      <c r="K26" s="17"/>
    </row>
    <row r="27" spans="2:11" x14ac:dyDescent="0.2">
      <c r="H27" s="18"/>
      <c r="I27" s="17"/>
      <c r="J27" s="17"/>
      <c r="K27" s="20"/>
    </row>
    <row r="28" spans="2:11" x14ac:dyDescent="0.2">
      <c r="B28" s="21"/>
      <c r="C28" s="42"/>
      <c r="D28" s="42"/>
      <c r="E28" s="42"/>
      <c r="K28" s="19"/>
    </row>
    <row r="29" spans="2:11" x14ac:dyDescent="0.2">
      <c r="F29" s="38"/>
      <c r="K29" s="17"/>
    </row>
    <row r="30" spans="2:11" x14ac:dyDescent="0.2">
      <c r="K30" s="19"/>
    </row>
    <row r="31" spans="2:11" x14ac:dyDescent="0.2">
      <c r="K31" s="19"/>
    </row>
    <row r="32" spans="2:11" x14ac:dyDescent="0.2">
      <c r="K32" s="17"/>
    </row>
    <row r="33" spans="3:11" x14ac:dyDescent="0.2">
      <c r="K33" s="17"/>
    </row>
    <row r="34" spans="3:11" x14ac:dyDescent="0.2">
      <c r="K34" s="17"/>
    </row>
    <row r="35" spans="3:11" x14ac:dyDescent="0.2">
      <c r="K35" s="17"/>
    </row>
    <row r="36" spans="3:11" x14ac:dyDescent="0.2">
      <c r="K36" s="17"/>
    </row>
    <row r="37" spans="3:11" x14ac:dyDescent="0.2">
      <c r="K37" s="19"/>
    </row>
    <row r="38" spans="3:11" x14ac:dyDescent="0.2">
      <c r="K38" s="19"/>
    </row>
    <row r="39" spans="3:11" x14ac:dyDescent="0.2">
      <c r="K39" s="17"/>
    </row>
    <row r="40" spans="3:11" x14ac:dyDescent="0.2">
      <c r="C40" s="35"/>
      <c r="D40" s="35"/>
      <c r="E40" s="35"/>
      <c r="K40" s="19"/>
    </row>
    <row r="41" spans="3:11" x14ac:dyDescent="0.2">
      <c r="C41" s="34"/>
      <c r="D41" s="34"/>
      <c r="E41" s="34"/>
      <c r="K41" s="17"/>
    </row>
    <row r="42" spans="3:11" x14ac:dyDescent="0.2">
      <c r="C42" s="26"/>
      <c r="D42" s="26"/>
      <c r="E42" s="26"/>
      <c r="H42" s="18"/>
      <c r="I42" s="17"/>
      <c r="J42" s="17"/>
      <c r="K42" s="17"/>
    </row>
    <row r="43" spans="3:11" x14ac:dyDescent="0.2">
      <c r="C43" s="26"/>
      <c r="H43" s="18"/>
      <c r="I43" s="17"/>
      <c r="J43" s="17"/>
      <c r="K43" s="17"/>
    </row>
    <row r="44" spans="3:11" x14ac:dyDescent="0.2">
      <c r="C44" s="26"/>
      <c r="H44" s="18"/>
      <c r="I44" s="17"/>
      <c r="J44" s="17"/>
      <c r="K44" s="17"/>
    </row>
    <row r="45" spans="3:11" x14ac:dyDescent="0.2">
      <c r="C45" s="24"/>
      <c r="H45" s="18"/>
      <c r="I45" s="17"/>
      <c r="J45" s="17"/>
      <c r="K45" s="17"/>
    </row>
    <row r="46" spans="3:11" x14ac:dyDescent="0.2">
      <c r="C46" s="31"/>
      <c r="H46" s="18"/>
      <c r="I46" s="17"/>
      <c r="J46" s="17"/>
      <c r="K46" s="19"/>
    </row>
    <row r="47" spans="3:11" x14ac:dyDescent="0.2">
      <c r="C47" s="28"/>
      <c r="H47" s="18"/>
      <c r="I47" s="19"/>
      <c r="J47" s="19"/>
      <c r="K47" s="17"/>
    </row>
    <row r="48" spans="3:11" x14ac:dyDescent="0.2">
      <c r="C48" s="33"/>
      <c r="H48" s="18"/>
      <c r="I48" s="17"/>
      <c r="J48" s="17"/>
      <c r="K48" s="17"/>
    </row>
    <row r="49" spans="3:11" x14ac:dyDescent="0.2">
      <c r="C49" s="31"/>
      <c r="H49" s="18"/>
      <c r="I49" s="17"/>
      <c r="J49" s="17"/>
      <c r="K49" s="20"/>
    </row>
    <row r="50" spans="3:11" x14ac:dyDescent="0.2">
      <c r="C50" s="33"/>
      <c r="H50" s="18"/>
      <c r="I50" s="20"/>
      <c r="J50" s="20"/>
      <c r="K50" s="17"/>
    </row>
    <row r="51" spans="3:11" x14ac:dyDescent="0.2">
      <c r="C51" s="32"/>
      <c r="H51" s="18"/>
      <c r="I51" s="17"/>
      <c r="J51" s="17"/>
      <c r="K51" s="19"/>
    </row>
    <row r="52" spans="3:11" x14ac:dyDescent="0.2">
      <c r="C52" s="31"/>
      <c r="H52" s="18"/>
      <c r="I52" s="19"/>
      <c r="J52" s="19"/>
      <c r="K52" s="17"/>
    </row>
    <row r="53" spans="3:11" x14ac:dyDescent="0.2">
      <c r="C53" s="31"/>
      <c r="H53" s="18"/>
      <c r="I53" s="17"/>
      <c r="J53" s="17"/>
      <c r="K53" s="17"/>
    </row>
    <row r="54" spans="3:11" x14ac:dyDescent="0.2">
      <c r="C54" s="21"/>
      <c r="H54" s="18"/>
      <c r="I54" s="17"/>
      <c r="J54" s="17"/>
      <c r="K54" s="19"/>
    </row>
    <row r="55" spans="3:11" x14ac:dyDescent="0.2">
      <c r="C55" s="30"/>
      <c r="H55" s="18"/>
      <c r="I55" s="19"/>
      <c r="J55" s="19"/>
      <c r="K55" s="17"/>
    </row>
    <row r="56" spans="3:11" x14ac:dyDescent="0.2">
      <c r="C56" s="29"/>
      <c r="H56" s="18"/>
      <c r="I56" s="17"/>
      <c r="J56" s="17"/>
      <c r="K56" s="19"/>
    </row>
    <row r="57" spans="3:11" x14ac:dyDescent="0.2">
      <c r="C57" s="26"/>
      <c r="H57" s="18"/>
      <c r="I57" s="19"/>
      <c r="J57" s="19"/>
      <c r="K57" s="19"/>
    </row>
    <row r="58" spans="3:11" x14ac:dyDescent="0.2">
      <c r="C58" s="28"/>
      <c r="H58" s="18"/>
      <c r="I58" s="19"/>
      <c r="J58" s="19"/>
      <c r="K58" s="17"/>
    </row>
    <row r="59" spans="3:11" x14ac:dyDescent="0.2">
      <c r="C59" s="26"/>
      <c r="H59" s="18"/>
      <c r="I59" s="17"/>
      <c r="J59" s="17"/>
      <c r="K59" s="19"/>
    </row>
    <row r="60" spans="3:11" x14ac:dyDescent="0.2">
      <c r="C60" s="24"/>
      <c r="H60" s="18"/>
      <c r="I60" s="17"/>
      <c r="J60" s="17"/>
      <c r="K60" s="17"/>
    </row>
    <row r="61" spans="3:11" x14ac:dyDescent="0.2">
      <c r="C61" s="25"/>
      <c r="H61" s="18"/>
      <c r="I61" s="17"/>
      <c r="J61" s="17"/>
      <c r="K61" s="19"/>
    </row>
    <row r="62" spans="3:11" x14ac:dyDescent="0.2">
      <c r="C62" s="24"/>
      <c r="H62" s="18"/>
      <c r="I62" s="19"/>
      <c r="J62" s="19"/>
      <c r="K62" s="17"/>
    </row>
    <row r="63" spans="3:11" x14ac:dyDescent="0.2">
      <c r="C63" s="22"/>
      <c r="H63" s="18"/>
      <c r="I63" s="17"/>
      <c r="J63" s="17"/>
      <c r="K63" s="17"/>
    </row>
    <row r="64" spans="3:11" x14ac:dyDescent="0.2">
      <c r="C64" s="27"/>
      <c r="H64" s="18"/>
      <c r="I64" s="17"/>
      <c r="J64" s="17"/>
      <c r="K64" s="19"/>
    </row>
    <row r="65" spans="3:11" x14ac:dyDescent="0.2">
      <c r="C65" s="26"/>
      <c r="H65" s="18"/>
      <c r="I65" s="19"/>
      <c r="J65" s="19"/>
      <c r="K65" s="17"/>
    </row>
    <row r="66" spans="3:11" x14ac:dyDescent="0.2">
      <c r="C66" s="26"/>
      <c r="H66" s="18"/>
      <c r="I66" s="17"/>
      <c r="J66" s="17"/>
      <c r="K66" s="19"/>
    </row>
    <row r="67" spans="3:11" x14ac:dyDescent="0.2">
      <c r="C67" s="23"/>
      <c r="H67" s="18"/>
      <c r="I67" s="19"/>
      <c r="J67" s="19"/>
      <c r="K67" s="17"/>
    </row>
    <row r="68" spans="3:11" x14ac:dyDescent="0.2">
      <c r="C68" s="25"/>
      <c r="H68" s="18"/>
      <c r="I68" s="17"/>
      <c r="J68" s="17"/>
      <c r="K68" s="19"/>
    </row>
    <row r="69" spans="3:11" x14ac:dyDescent="0.2">
      <c r="C69" s="23"/>
      <c r="H69" s="18"/>
      <c r="I69" s="19"/>
      <c r="J69" s="19"/>
      <c r="K69" s="19"/>
    </row>
    <row r="70" spans="3:11" x14ac:dyDescent="0.2">
      <c r="C70" s="25"/>
      <c r="H70" s="18"/>
      <c r="I70" s="19"/>
      <c r="J70" s="19"/>
      <c r="K70" s="17"/>
    </row>
    <row r="71" spans="3:11" x14ac:dyDescent="0.2">
      <c r="C71" s="25"/>
      <c r="H71" s="18"/>
      <c r="I71" s="17"/>
      <c r="J71" s="17"/>
      <c r="K71" s="17"/>
    </row>
    <row r="72" spans="3:11" x14ac:dyDescent="0.2">
      <c r="C72" s="24"/>
      <c r="H72" s="18"/>
      <c r="I72" s="17"/>
      <c r="J72" s="17"/>
      <c r="K72" s="19"/>
    </row>
    <row r="73" spans="3:11" x14ac:dyDescent="0.2">
      <c r="C73" s="23"/>
      <c r="H73" s="18"/>
      <c r="I73" s="19"/>
      <c r="J73" s="19"/>
      <c r="K73" s="19"/>
    </row>
    <row r="74" spans="3:11" x14ac:dyDescent="0.2">
      <c r="C74" s="22"/>
      <c r="H74" s="18"/>
      <c r="I74" s="19"/>
      <c r="J74" s="19"/>
    </row>
    <row r="75" spans="3:11" x14ac:dyDescent="0.2">
      <c r="C75" s="21"/>
      <c r="K75" s="17"/>
    </row>
    <row r="76" spans="3:11" x14ac:dyDescent="0.2">
      <c r="C76" s="21"/>
      <c r="H76" s="18"/>
      <c r="I76" s="17"/>
      <c r="J76" s="17"/>
      <c r="K76" s="20"/>
    </row>
    <row r="77" spans="3:11" x14ac:dyDescent="0.2">
      <c r="C77" s="21"/>
      <c r="H77" s="18"/>
      <c r="I77" s="20"/>
      <c r="J77" s="20"/>
      <c r="K77" s="17"/>
    </row>
    <row r="78" spans="3:11" x14ac:dyDescent="0.2">
      <c r="C78" s="21"/>
      <c r="H78" s="18"/>
      <c r="I78" s="19"/>
      <c r="J78" s="19"/>
      <c r="K78" s="19"/>
    </row>
    <row r="79" spans="3:11" x14ac:dyDescent="0.2">
      <c r="C79" s="21"/>
      <c r="H79" s="18"/>
      <c r="I79" s="19"/>
      <c r="J79" s="19"/>
      <c r="K79" s="17"/>
    </row>
    <row r="80" spans="3:11" x14ac:dyDescent="0.2">
      <c r="C80" s="21"/>
      <c r="H80" s="18"/>
      <c r="I80" s="19"/>
      <c r="J80" s="17"/>
      <c r="K80" s="17"/>
    </row>
    <row r="81" spans="3:11" x14ac:dyDescent="0.2">
      <c r="C81" s="21"/>
      <c r="H81" s="18"/>
      <c r="I81" s="17"/>
      <c r="J81" s="17"/>
      <c r="K81" s="17"/>
    </row>
    <row r="82" spans="3:11" x14ac:dyDescent="0.2">
      <c r="C82" s="21"/>
      <c r="H82" s="18"/>
      <c r="I82" s="17"/>
      <c r="J82" s="17"/>
      <c r="K82" s="19"/>
    </row>
    <row r="83" spans="3:11" x14ac:dyDescent="0.2">
      <c r="C83" s="21"/>
      <c r="H83" s="18"/>
      <c r="I83" s="19"/>
      <c r="J83" s="17"/>
      <c r="K83" s="17"/>
    </row>
    <row r="84" spans="3:11" x14ac:dyDescent="0.2">
      <c r="C84" s="21"/>
      <c r="H84" s="18"/>
      <c r="I84" s="17"/>
      <c r="J84" s="17"/>
      <c r="K84" s="17"/>
    </row>
    <row r="85" spans="3:11" x14ac:dyDescent="0.2">
      <c r="H85" s="18"/>
      <c r="I85" s="17"/>
      <c r="J85" s="17"/>
      <c r="K85" s="20"/>
    </row>
    <row r="86" spans="3:11" x14ac:dyDescent="0.2">
      <c r="H86" s="18"/>
      <c r="I86" s="20"/>
      <c r="J86" s="20"/>
      <c r="K86" s="17"/>
    </row>
    <row r="87" spans="3:11" x14ac:dyDescent="0.2">
      <c r="H87" s="18"/>
      <c r="I87" s="17"/>
      <c r="J87" s="17"/>
      <c r="K87" s="17"/>
    </row>
    <row r="88" spans="3:11" x14ac:dyDescent="0.2">
      <c r="H88" s="18"/>
      <c r="I88" s="17"/>
      <c r="J88" s="17"/>
      <c r="K88" s="17"/>
    </row>
    <row r="89" spans="3:11" x14ac:dyDescent="0.2">
      <c r="H89" s="18"/>
      <c r="I89" s="17"/>
      <c r="J89" s="17"/>
      <c r="K89" s="19"/>
    </row>
    <row r="90" spans="3:11" x14ac:dyDescent="0.2">
      <c r="H90" s="18"/>
      <c r="I90" s="17"/>
      <c r="J90" s="17"/>
      <c r="K90" s="19"/>
    </row>
    <row r="91" spans="3:11" x14ac:dyDescent="0.2">
      <c r="H91" s="18"/>
      <c r="I91" s="17"/>
      <c r="J91" s="17"/>
      <c r="K91" s="17"/>
    </row>
    <row r="92" spans="3:11" x14ac:dyDescent="0.2">
      <c r="H92" s="18"/>
      <c r="I92" s="17"/>
      <c r="J92" s="17"/>
      <c r="K92" s="17"/>
    </row>
    <row r="93" spans="3:11" x14ac:dyDescent="0.2">
      <c r="H93" s="18"/>
      <c r="I93" s="17"/>
      <c r="J93" s="17"/>
      <c r="K93" s="20"/>
    </row>
    <row r="94" spans="3:11" x14ac:dyDescent="0.2">
      <c r="H94" s="18"/>
      <c r="I94" s="20"/>
      <c r="J94" s="20"/>
      <c r="K94" s="17"/>
    </row>
    <row r="95" spans="3:11" x14ac:dyDescent="0.2">
      <c r="H95" s="18"/>
      <c r="I95" s="19"/>
      <c r="J95" s="17"/>
      <c r="K95" s="17"/>
    </row>
    <row r="96" spans="3:11" x14ac:dyDescent="0.2">
      <c r="H96" s="18"/>
      <c r="I96" s="17"/>
      <c r="J96" s="17"/>
      <c r="K96" s="17"/>
    </row>
    <row r="97" spans="8:11" x14ac:dyDescent="0.2">
      <c r="H97" s="18"/>
      <c r="I97" s="17"/>
      <c r="J97" s="17"/>
      <c r="K97" s="17"/>
    </row>
    <row r="98" spans="8:11" x14ac:dyDescent="0.2">
      <c r="H98" s="18"/>
      <c r="I98" s="17"/>
      <c r="J98" s="17"/>
      <c r="K98" s="17"/>
    </row>
    <row r="99" spans="8:11" x14ac:dyDescent="0.2">
      <c r="H99" s="18"/>
      <c r="I99" s="17"/>
      <c r="J99" s="17"/>
      <c r="K99" s="19"/>
    </row>
    <row r="100" spans="8:11" x14ac:dyDescent="0.2">
      <c r="H100" s="18"/>
      <c r="I100" s="19"/>
      <c r="J100" s="19"/>
      <c r="K100" s="17"/>
    </row>
    <row r="101" spans="8:11" x14ac:dyDescent="0.2">
      <c r="H101" s="18"/>
      <c r="I101" s="17"/>
      <c r="J101" s="17"/>
      <c r="K101" s="19"/>
    </row>
    <row r="102" spans="8:11" x14ac:dyDescent="0.2">
      <c r="H102" s="18"/>
      <c r="I102" s="17"/>
      <c r="J102" s="19"/>
      <c r="K102" s="19"/>
    </row>
    <row r="103" spans="8:11" x14ac:dyDescent="0.2">
      <c r="H103" s="18"/>
      <c r="I103" s="19"/>
      <c r="J103" s="19"/>
      <c r="K103" s="19"/>
    </row>
    <row r="104" spans="8:11" x14ac:dyDescent="0.2">
      <c r="H104" s="18"/>
      <c r="I104" s="19"/>
      <c r="J104" s="19"/>
    </row>
    <row r="114" spans="8:11" x14ac:dyDescent="0.2">
      <c r="K114" s="17"/>
    </row>
    <row r="115" spans="8:11" x14ac:dyDescent="0.2">
      <c r="H115" s="18"/>
      <c r="I115" s="17"/>
      <c r="J115" s="17"/>
    </row>
  </sheetData>
  <mergeCells count="2">
    <mergeCell ref="B1:J2"/>
    <mergeCell ref="B3:J3"/>
  </mergeCells>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D91D1-784F-4DE1-93B4-171166B908DA}">
  <sheetPr codeName="Sheet3"/>
  <dimension ref="A2:R42"/>
  <sheetViews>
    <sheetView zoomScale="75" zoomScaleNormal="70" workbookViewId="0">
      <selection activeCell="J11" sqref="J11:J18"/>
    </sheetView>
  </sheetViews>
  <sheetFormatPr baseColWidth="10" defaultColWidth="10.6640625" defaultRowHeight="16" x14ac:dyDescent="0.2"/>
  <cols>
    <col min="1" max="1" width="10.6640625" style="16"/>
    <col min="2" max="2" width="22.5" style="16" customWidth="1"/>
    <col min="3" max="3" width="35.33203125" style="16" customWidth="1"/>
    <col min="4" max="4" width="12.5" style="16" customWidth="1"/>
    <col min="5" max="5" width="21.1640625" style="16" customWidth="1"/>
    <col min="6" max="6" width="12" style="16" customWidth="1"/>
    <col min="7" max="7" width="18" style="16" customWidth="1"/>
    <col min="8" max="8" width="12.5" style="16" customWidth="1"/>
    <col min="9" max="9" width="12.1640625" style="16" customWidth="1"/>
    <col min="10" max="13" width="10.6640625" style="16"/>
    <col min="14" max="14" width="22.33203125" style="16" customWidth="1"/>
    <col min="15" max="16384" width="10.6640625" style="16"/>
  </cols>
  <sheetData>
    <row r="2" spans="2:18" ht="31" customHeight="1" thickBot="1" x14ac:dyDescent="0.25">
      <c r="D2" s="183"/>
      <c r="E2" s="49"/>
      <c r="F2" s="49"/>
    </row>
    <row r="3" spans="2:18" ht="15" customHeight="1" x14ac:dyDescent="0.2">
      <c r="B3" s="275" t="s">
        <v>63</v>
      </c>
      <c r="C3" s="276"/>
      <c r="D3" s="178"/>
      <c r="E3" s="48"/>
      <c r="F3" s="48"/>
    </row>
    <row r="4" spans="2:18" x14ac:dyDescent="0.2">
      <c r="B4" s="277"/>
      <c r="C4" s="278"/>
      <c r="D4" s="269" t="s">
        <v>88</v>
      </c>
      <c r="E4" s="230" t="s">
        <v>89</v>
      </c>
      <c r="F4" s="230" t="s">
        <v>115</v>
      </c>
    </row>
    <row r="5" spans="2:18" ht="17" thickBot="1" x14ac:dyDescent="0.25">
      <c r="B5" s="279"/>
      <c r="C5" s="280"/>
      <c r="D5" s="270"/>
      <c r="E5" s="231"/>
      <c r="F5" s="288"/>
    </row>
    <row r="6" spans="2:18" ht="17" x14ac:dyDescent="0.2">
      <c r="B6" s="229" t="s">
        <v>116</v>
      </c>
      <c r="C6" s="216" t="s">
        <v>61</v>
      </c>
      <c r="D6" s="184">
        <v>0.02</v>
      </c>
      <c r="E6" s="185">
        <v>0.03</v>
      </c>
      <c r="F6" s="289"/>
    </row>
    <row r="7" spans="2:18" ht="18" thickBot="1" x14ac:dyDescent="0.25">
      <c r="B7" s="229"/>
      <c r="C7" s="217" t="s">
        <v>60</v>
      </c>
      <c r="D7" s="184">
        <v>0.62</v>
      </c>
      <c r="E7" s="185">
        <v>0.66</v>
      </c>
      <c r="F7" s="289"/>
    </row>
    <row r="8" spans="2:18" ht="17" x14ac:dyDescent="0.2">
      <c r="B8" s="229"/>
      <c r="C8" s="217" t="s">
        <v>59</v>
      </c>
      <c r="D8" s="184">
        <v>0.28999999999999998</v>
      </c>
      <c r="E8" s="185">
        <v>0.28999999999999998</v>
      </c>
      <c r="F8" s="185"/>
      <c r="I8" s="290" t="s">
        <v>144</v>
      </c>
      <c r="J8" s="291"/>
      <c r="K8" s="292"/>
    </row>
    <row r="9" spans="2:18" ht="18" thickBot="1" x14ac:dyDescent="0.25">
      <c r="B9" s="225"/>
      <c r="C9" s="217" t="s">
        <v>58</v>
      </c>
      <c r="D9" s="184">
        <v>0.05</v>
      </c>
      <c r="E9" s="185">
        <v>0.05</v>
      </c>
      <c r="F9" s="185"/>
      <c r="I9" s="293"/>
      <c r="J9" s="294"/>
      <c r="K9" s="295"/>
      <c r="L9" s="192"/>
      <c r="M9" s="192"/>
      <c r="N9" s="192"/>
      <c r="O9" s="192"/>
      <c r="P9" s="192"/>
      <c r="Q9" s="192"/>
      <c r="R9" s="192"/>
    </row>
    <row r="10" spans="2:18" ht="18" thickBot="1" x14ac:dyDescent="0.25">
      <c r="B10" s="228" t="s">
        <v>106</v>
      </c>
      <c r="C10" s="218" t="s">
        <v>57</v>
      </c>
      <c r="D10" s="184">
        <v>0.15</v>
      </c>
      <c r="E10" s="185">
        <v>0.15</v>
      </c>
      <c r="F10" s="185"/>
      <c r="I10" s="296"/>
      <c r="J10" s="297"/>
      <c r="K10" s="298"/>
      <c r="L10" s="301" t="s">
        <v>142</v>
      </c>
      <c r="M10" s="302"/>
      <c r="N10" s="302"/>
      <c r="O10" s="302"/>
      <c r="P10" s="302"/>
      <c r="Q10" s="302"/>
      <c r="R10" s="303"/>
    </row>
    <row r="11" spans="2:18" ht="17" x14ac:dyDescent="0.2">
      <c r="B11" s="229"/>
      <c r="C11" s="218" t="s">
        <v>56</v>
      </c>
      <c r="D11" s="184">
        <v>0.04</v>
      </c>
      <c r="E11" s="185">
        <v>0.04</v>
      </c>
      <c r="F11" s="185"/>
      <c r="J11" s="304" t="s">
        <v>143</v>
      </c>
      <c r="K11" s="287">
        <f>'Complete Proj.'!I29</f>
        <v>2817.7786160000105</v>
      </c>
      <c r="L11" s="300">
        <v>-0.1</v>
      </c>
      <c r="M11" s="300">
        <v>-0.05</v>
      </c>
      <c r="N11" s="300">
        <v>0</v>
      </c>
      <c r="O11" s="300">
        <v>0.05</v>
      </c>
      <c r="P11" s="300">
        <v>0.1</v>
      </c>
      <c r="Q11" s="300">
        <v>0.15</v>
      </c>
      <c r="R11" s="300">
        <v>0.2</v>
      </c>
    </row>
    <row r="12" spans="2:18" ht="17" customHeight="1" x14ac:dyDescent="0.2">
      <c r="B12" s="229"/>
      <c r="C12" s="218" t="s">
        <v>55</v>
      </c>
      <c r="D12" s="184">
        <v>7.0000000000000007E-2</v>
      </c>
      <c r="E12" s="185">
        <v>7.0000000000000007E-2</v>
      </c>
      <c r="F12" s="185"/>
      <c r="J12" s="305"/>
      <c r="K12" s="299">
        <v>0</v>
      </c>
      <c r="L12" s="186">
        <f t="dataTable" ref="L12:R18" dt2D="1" dtr="1" r1="H28" r2="H39"/>
        <v>-5111.9102799999964</v>
      </c>
      <c r="M12" s="186">
        <v>-1807.8732399999863</v>
      </c>
      <c r="N12" s="186">
        <v>1496.1638000000094</v>
      </c>
      <c r="O12" s="186">
        <v>4800.200840000005</v>
      </c>
      <c r="P12" s="186">
        <v>8104.2378800000006</v>
      </c>
      <c r="Q12" s="186">
        <v>11408.274920000011</v>
      </c>
      <c r="R12" s="186">
        <v>14712.311959999992</v>
      </c>
    </row>
    <row r="13" spans="2:18" ht="17" x14ac:dyDescent="0.2">
      <c r="B13" s="229"/>
      <c r="C13" s="218" t="s">
        <v>54</v>
      </c>
      <c r="D13" s="184">
        <v>1.8</v>
      </c>
      <c r="E13" s="185">
        <v>1.75</v>
      </c>
      <c r="F13" s="185"/>
      <c r="J13" s="305"/>
      <c r="K13" s="299">
        <v>0.05</v>
      </c>
      <c r="L13" s="186">
        <v>-5111.9102799999964</v>
      </c>
      <c r="M13" s="186">
        <v>-1807.8732399999863</v>
      </c>
      <c r="N13" s="186">
        <v>1496.1638000000094</v>
      </c>
      <c r="O13" s="186">
        <v>4800.200840000005</v>
      </c>
      <c r="P13" s="186">
        <v>8104.2378800000006</v>
      </c>
      <c r="Q13" s="186">
        <v>11408.274920000011</v>
      </c>
      <c r="R13" s="186">
        <v>14712.311959999992</v>
      </c>
    </row>
    <row r="14" spans="2:18" ht="27.75" customHeight="1" x14ac:dyDescent="0.2">
      <c r="B14" s="229"/>
      <c r="C14" s="219" t="s">
        <v>52</v>
      </c>
      <c r="D14" s="184">
        <v>0.05</v>
      </c>
      <c r="E14" s="185">
        <v>0.05</v>
      </c>
      <c r="F14" s="185"/>
      <c r="J14" s="305"/>
      <c r="K14" s="299">
        <v>0.1</v>
      </c>
      <c r="L14" s="186">
        <v>-5111.9102799999964</v>
      </c>
      <c r="M14" s="186">
        <v>-1807.8732399999863</v>
      </c>
      <c r="N14" s="186">
        <v>1496.1638000000094</v>
      </c>
      <c r="O14" s="186">
        <v>4800.200840000005</v>
      </c>
      <c r="P14" s="186">
        <v>8104.2378800000006</v>
      </c>
      <c r="Q14" s="186">
        <v>11408.274920000011</v>
      </c>
      <c r="R14" s="186">
        <v>14712.311959999992</v>
      </c>
    </row>
    <row r="15" spans="2:18" ht="18.75" customHeight="1" x14ac:dyDescent="0.2">
      <c r="B15" s="225"/>
      <c r="C15" s="218" t="s">
        <v>53</v>
      </c>
      <c r="D15" s="184">
        <v>0.06</v>
      </c>
      <c r="E15" s="185">
        <v>0.06</v>
      </c>
      <c r="F15" s="185"/>
      <c r="J15" s="305"/>
      <c r="K15" s="299">
        <v>0.15</v>
      </c>
      <c r="L15" s="186">
        <v>-5111.9102799999964</v>
      </c>
      <c r="M15" s="186">
        <v>-1807.8732399999863</v>
      </c>
      <c r="N15" s="186">
        <v>1496.1638000000094</v>
      </c>
      <c r="O15" s="186">
        <v>4800.200840000005</v>
      </c>
      <c r="P15" s="186">
        <v>8104.2378800000006</v>
      </c>
      <c r="Q15" s="186">
        <v>11408.274920000011</v>
      </c>
      <c r="R15" s="186">
        <v>14712.311959999992</v>
      </c>
    </row>
    <row r="16" spans="2:18" ht="17" x14ac:dyDescent="0.2">
      <c r="B16" s="227" t="s">
        <v>107</v>
      </c>
      <c r="C16" s="220" t="s">
        <v>51</v>
      </c>
      <c r="D16" s="184">
        <v>0.3</v>
      </c>
      <c r="E16" s="185">
        <v>0.3</v>
      </c>
      <c r="F16" s="185"/>
      <c r="J16" s="305"/>
      <c r="K16" s="299">
        <v>0.2</v>
      </c>
      <c r="L16" s="186">
        <v>-5111.9102799999964</v>
      </c>
      <c r="M16" s="186">
        <v>-1807.8732399999863</v>
      </c>
      <c r="N16" s="186">
        <v>1496.1638000000094</v>
      </c>
      <c r="O16" s="186">
        <v>4800.200840000005</v>
      </c>
      <c r="P16" s="186">
        <v>8104.2378800000006</v>
      </c>
      <c r="Q16" s="186">
        <v>11408.274920000011</v>
      </c>
      <c r="R16" s="186">
        <v>14712.311959999992</v>
      </c>
    </row>
    <row r="17" spans="1:18" ht="15" customHeight="1" x14ac:dyDescent="0.2">
      <c r="B17" s="228" t="s">
        <v>47</v>
      </c>
      <c r="C17" s="221" t="s">
        <v>46</v>
      </c>
      <c r="D17" s="184">
        <v>0</v>
      </c>
      <c r="E17" s="185">
        <v>0</v>
      </c>
      <c r="F17" s="185"/>
      <c r="J17" s="305"/>
      <c r="K17" s="299">
        <v>0.25</v>
      </c>
      <c r="L17" s="186">
        <v>-5111.9102799999964</v>
      </c>
      <c r="M17" s="186">
        <v>-1807.8732399999863</v>
      </c>
      <c r="N17" s="186">
        <v>1496.1638000000094</v>
      </c>
      <c r="O17" s="186">
        <v>4800.200840000005</v>
      </c>
      <c r="P17" s="186">
        <v>8104.2378800000006</v>
      </c>
      <c r="Q17" s="186">
        <v>11408.274920000011</v>
      </c>
      <c r="R17" s="186">
        <v>14712.311959999992</v>
      </c>
    </row>
    <row r="18" spans="1:18" ht="17" thickBot="1" x14ac:dyDescent="0.25">
      <c r="B18" s="225"/>
      <c r="C18" s="222" t="s">
        <v>45</v>
      </c>
      <c r="D18" s="184">
        <v>0.09</v>
      </c>
      <c r="E18" s="185">
        <v>0.09</v>
      </c>
      <c r="F18" s="185"/>
      <c r="J18" s="306"/>
      <c r="K18" s="299">
        <v>0.3</v>
      </c>
      <c r="L18" s="186">
        <v>-5111.9102799999964</v>
      </c>
      <c r="M18" s="186">
        <v>-1807.8732399999863</v>
      </c>
      <c r="N18" s="186">
        <v>1496.1638000000094</v>
      </c>
      <c r="O18" s="186">
        <v>4800.200840000005</v>
      </c>
      <c r="P18" s="186">
        <v>8104.2378800000006</v>
      </c>
      <c r="Q18" s="186">
        <v>11408.274920000011</v>
      </c>
      <c r="R18" s="186">
        <v>14712.311959999992</v>
      </c>
    </row>
    <row r="19" spans="1:18" ht="16" customHeight="1" x14ac:dyDescent="0.2">
      <c r="B19" s="228" t="s">
        <v>50</v>
      </c>
      <c r="C19" s="223" t="s">
        <v>49</v>
      </c>
      <c r="D19" s="184">
        <v>0.05</v>
      </c>
      <c r="E19" s="185">
        <v>0.05</v>
      </c>
      <c r="F19" s="185"/>
    </row>
    <row r="20" spans="1:18" x14ac:dyDescent="0.2">
      <c r="B20" s="225"/>
      <c r="C20" s="224" t="s">
        <v>48</v>
      </c>
      <c r="D20" s="184">
        <v>0.08</v>
      </c>
      <c r="E20" s="185">
        <v>0.08</v>
      </c>
      <c r="F20" s="185"/>
    </row>
    <row r="21" spans="1:18" x14ac:dyDescent="0.2">
      <c r="D21" s="64"/>
      <c r="E21" s="64"/>
    </row>
    <row r="22" spans="1:18" x14ac:dyDescent="0.2">
      <c r="D22" s="64"/>
      <c r="E22" s="64"/>
    </row>
    <row r="23" spans="1:18" ht="2" customHeight="1" thickBot="1" x14ac:dyDescent="0.25">
      <c r="A23" s="21"/>
      <c r="B23" s="21"/>
      <c r="C23" s="21"/>
      <c r="D23" s="64"/>
      <c r="E23" s="64"/>
    </row>
    <row r="24" spans="1:18" ht="16" customHeight="1" x14ac:dyDescent="0.2">
      <c r="A24" s="21"/>
      <c r="B24" s="271" t="s">
        <v>44</v>
      </c>
      <c r="C24" s="272"/>
      <c r="D24" s="64"/>
      <c r="E24" s="64"/>
    </row>
    <row r="25" spans="1:18" ht="16" customHeight="1" x14ac:dyDescent="0.2">
      <c r="A25" s="21"/>
      <c r="B25" s="273"/>
      <c r="C25" s="274"/>
      <c r="D25" s="49"/>
      <c r="E25" s="49"/>
      <c r="F25" s="49"/>
      <c r="G25" s="49"/>
      <c r="H25" s="49"/>
      <c r="I25" s="49"/>
    </row>
    <row r="26" spans="1:18" ht="5" customHeight="1" x14ac:dyDescent="0.2">
      <c r="A26" s="21"/>
      <c r="B26" s="273"/>
      <c r="C26" s="274"/>
      <c r="D26" s="281"/>
      <c r="E26" s="281"/>
      <c r="F26" s="281"/>
      <c r="G26" s="281"/>
      <c r="H26" s="48" t="s">
        <v>131</v>
      </c>
      <c r="I26" s="48"/>
    </row>
    <row r="27" spans="1:18" ht="18" customHeight="1" thickBot="1" x14ac:dyDescent="0.25">
      <c r="A27" s="21"/>
      <c r="B27" s="279"/>
      <c r="C27" s="280"/>
      <c r="D27" s="188">
        <f>'Hist Financials'!H7</f>
        <v>2017</v>
      </c>
      <c r="E27" s="188">
        <f>'Hist Financials'!I7</f>
        <v>2018</v>
      </c>
      <c r="F27" s="188">
        <f>'Hist Financials'!J7</f>
        <v>2019</v>
      </c>
      <c r="G27" s="187" t="s">
        <v>62</v>
      </c>
      <c r="H27" s="189" t="s">
        <v>130</v>
      </c>
    </row>
    <row r="28" spans="1:18" ht="15" customHeight="1" x14ac:dyDescent="0.2">
      <c r="B28" s="225" t="s">
        <v>116</v>
      </c>
      <c r="C28" s="216" t="s">
        <v>61</v>
      </c>
      <c r="D28" s="190" t="s">
        <v>127</v>
      </c>
      <c r="E28" s="190">
        <f>('Hist Financials'!I8-'Hist Financials'!H8)/'Hist Financials'!H8</f>
        <v>6.6633732418923633E-2</v>
      </c>
      <c r="F28" s="190">
        <f>('Hist Financials'!J8-'Hist Financials'!I8)/'Hist Financials'!I8</f>
        <v>2.0242473777414522E-2</v>
      </c>
      <c r="G28" s="190">
        <f>AVERAGE(D28:F28)</f>
        <v>4.3438103098169076E-2</v>
      </c>
      <c r="H28" s="184">
        <v>0.02</v>
      </c>
      <c r="I28" s="64"/>
    </row>
    <row r="29" spans="1:18" ht="17" x14ac:dyDescent="0.2">
      <c r="B29" s="226"/>
      <c r="C29" s="217" t="s">
        <v>60</v>
      </c>
      <c r="D29" s="190">
        <f>'Hist Financials'!H9/'Hist Financials'!H8</f>
        <v>0.62016157154481</v>
      </c>
      <c r="E29" s="190">
        <f>'Hist Financials'!I9/'Hist Financials'!I8</f>
        <v>0.64179267129818829</v>
      </c>
      <c r="F29" s="190">
        <f>'Hist Financials'!J9/'Hist Financials'!J8</f>
        <v>0.65437406537064735</v>
      </c>
      <c r="G29" s="190">
        <f t="shared" ref="G29:G42" si="0">AVERAGE(D29:F29)</f>
        <v>0.63877610273788188</v>
      </c>
      <c r="H29" s="184">
        <v>0.62</v>
      </c>
      <c r="I29" s="64"/>
    </row>
    <row r="30" spans="1:18" ht="17" x14ac:dyDescent="0.2">
      <c r="B30" s="226"/>
      <c r="C30" s="217" t="s">
        <v>59</v>
      </c>
      <c r="D30" s="190">
        <f>'Hist Financials'!H10/'Hist Financials'!H8</f>
        <v>0.34136347785656168</v>
      </c>
      <c r="E30" s="190">
        <f>'Hist Financials'!I10/'Hist Financials'!I8</f>
        <v>0.32194523906824685</v>
      </c>
      <c r="F30" s="190">
        <f>'Hist Financials'!J10/'Hist Financials'!J8</f>
        <v>0.29131061738944669</v>
      </c>
      <c r="G30" s="190">
        <f t="shared" si="0"/>
        <v>0.31820644477141841</v>
      </c>
      <c r="H30" s="184">
        <v>0.28999999999999998</v>
      </c>
      <c r="I30" s="64"/>
    </row>
    <row r="31" spans="1:18" ht="17" x14ac:dyDescent="0.2">
      <c r="B31" s="226"/>
      <c r="C31" s="217" t="s">
        <v>58</v>
      </c>
      <c r="D31" s="190">
        <f>'Hist Financials'!H11/'Hist Financials'!C13</f>
        <v>4.3979910411293607E-2</v>
      </c>
      <c r="E31" s="190">
        <f>'Hist Financials'!I11/'Hist Financials'!D13</f>
        <v>4.3205603290304193E-2</v>
      </c>
      <c r="F31" s="190">
        <f>'Hist Financials'!J11/'Hist Financials'!E13</f>
        <v>4.1969812140297533E-2</v>
      </c>
      <c r="G31" s="190">
        <f t="shared" si="0"/>
        <v>4.3051775280631775E-2</v>
      </c>
      <c r="H31" s="184">
        <v>0.05</v>
      </c>
      <c r="I31" s="64"/>
    </row>
    <row r="32" spans="1:18" ht="17" x14ac:dyDescent="0.2">
      <c r="B32" s="226" t="s">
        <v>106</v>
      </c>
      <c r="C32" s="218" t="s">
        <v>57</v>
      </c>
      <c r="D32" s="190">
        <f>'Hist Financials'!C8/'Hist Financials'!H8</f>
        <v>0.21756945251656398</v>
      </c>
      <c r="E32" s="190">
        <f>'Hist Financials'!D8/'Hist Financials'!I8</f>
        <v>0.17338237297370931</v>
      </c>
      <c r="F32" s="190">
        <f>'Hist Financials'!E8/'Hist Financials'!J8</f>
        <v>0.1871127964110233</v>
      </c>
      <c r="G32" s="191">
        <f t="shared" si="0"/>
        <v>0.19268820730043221</v>
      </c>
      <c r="H32" s="184">
        <v>0.15</v>
      </c>
      <c r="I32" s="64"/>
    </row>
    <row r="33" spans="2:9" ht="17" x14ac:dyDescent="0.2">
      <c r="B33" s="226"/>
      <c r="C33" s="218" t="s">
        <v>56</v>
      </c>
      <c r="D33" s="190">
        <f>'Hist Financials'!C10/'Hist Financials'!H8</f>
        <v>3.1268162268975941E-2</v>
      </c>
      <c r="E33" s="190">
        <f>'Hist Financials'!D10/'Hist Financials'!I8</f>
        <v>3.8305407982563683E-2</v>
      </c>
      <c r="F33" s="190">
        <f>'Hist Financials'!E10/'Hist Financials'!J8</f>
        <v>3.9815210425122836E-2</v>
      </c>
      <c r="G33" s="191">
        <f t="shared" si="0"/>
        <v>3.6462926892220825E-2</v>
      </c>
      <c r="H33" s="184">
        <v>0.04</v>
      </c>
      <c r="I33" s="64"/>
    </row>
    <row r="34" spans="2:9" ht="15" customHeight="1" x14ac:dyDescent="0.2">
      <c r="B34" s="226"/>
      <c r="C34" s="218" t="s">
        <v>55</v>
      </c>
      <c r="D34" s="190">
        <f>'Hist Financials'!C11/'Hist Financials'!H8</f>
        <v>7.9216552365453913E-2</v>
      </c>
      <c r="E34" s="190">
        <f>'Hist Financials'!D11/'Hist Financials'!I8</f>
        <v>8.5519683966762017E-2</v>
      </c>
      <c r="F34" s="190">
        <f>'Hist Financials'!E11/'Hist Financials'!J8</f>
        <v>7.5624866481521044E-2</v>
      </c>
      <c r="G34" s="191">
        <f t="shared" si="0"/>
        <v>8.0120367604578982E-2</v>
      </c>
      <c r="H34" s="184">
        <v>7.0000000000000007E-2</v>
      </c>
      <c r="I34" s="64"/>
    </row>
    <row r="35" spans="2:9" ht="17" x14ac:dyDescent="0.2">
      <c r="B35" s="226"/>
      <c r="C35" s="218" t="s">
        <v>54</v>
      </c>
      <c r="D35" s="190">
        <f>'Hist Financials'!C13/'Hist Financials'!H8</f>
        <v>2.1408229687318379</v>
      </c>
      <c r="E35" s="190">
        <f>'Hist Financials'!D13/'Hist Financials'!I8</f>
        <v>2.0071107478545156</v>
      </c>
      <c r="F35" s="190">
        <f>'Hist Financials'!E13/'Hist Financials'!J8</f>
        <v>1.967314676351207</v>
      </c>
      <c r="G35" s="191">
        <f t="shared" si="0"/>
        <v>2.0384161309791868</v>
      </c>
      <c r="H35" s="184">
        <v>1.8</v>
      </c>
      <c r="I35" s="64"/>
    </row>
    <row r="36" spans="2:9" x14ac:dyDescent="0.2">
      <c r="B36" s="226"/>
      <c r="C36" s="219" t="s">
        <v>52</v>
      </c>
      <c r="D36" s="190">
        <f>'Hist Financials'!C16/'Hist Financials'!H8</f>
        <v>5.4138091363477858E-2</v>
      </c>
      <c r="E36" s="190">
        <f>'Hist Financials'!D16/'Hist Financials'!I8</f>
        <v>5.5768968805339873E-2</v>
      </c>
      <c r="F36" s="190">
        <f>'Hist Financials'!E16/'Hist Financials'!J8</f>
        <v>5.2232428968169195E-2</v>
      </c>
      <c r="G36" s="191">
        <f t="shared" si="0"/>
        <v>5.4046496378995647E-2</v>
      </c>
      <c r="H36" s="184">
        <v>0.05</v>
      </c>
      <c r="I36" s="64"/>
    </row>
    <row r="37" spans="2:9" ht="19" customHeight="1" x14ac:dyDescent="0.2">
      <c r="B37" s="226"/>
      <c r="C37" s="218" t="s">
        <v>53</v>
      </c>
      <c r="D37" s="190">
        <f>'Hist Financials'!C17/'Hist Financials'!H8</f>
        <v>7.7414855283040804E-2</v>
      </c>
      <c r="E37" s="190">
        <f>'Hist Financials'!D17/'Hist Financials'!I8</f>
        <v>5.2853834627434954E-2</v>
      </c>
      <c r="F37" s="190">
        <f>'Hist Financials'!E17/'Hist Financials'!J8</f>
        <v>6.0617389446699421E-2</v>
      </c>
      <c r="G37" s="191">
        <f t="shared" si="0"/>
        <v>6.3628693119058388E-2</v>
      </c>
      <c r="H37" s="184">
        <v>0.06</v>
      </c>
      <c r="I37" s="64"/>
    </row>
    <row r="38" spans="2:9" ht="22" customHeight="1" x14ac:dyDescent="0.2">
      <c r="B38" s="227" t="s">
        <v>107</v>
      </c>
      <c r="C38" s="220" t="s">
        <v>51</v>
      </c>
      <c r="D38" s="190">
        <f>'Hist Financials'!H16/'Hist Financials'!H15</f>
        <v>0.30016181229773464</v>
      </c>
      <c r="E38" s="190">
        <f>'Hist Financials'!I16/'Hist Financials'!I15</f>
        <v>0.29984951091045897</v>
      </c>
      <c r="F38" s="190">
        <f>'Hist Financials'!J16/'Hist Financials'!J15</f>
        <v>0.29990310077519378</v>
      </c>
      <c r="G38" s="190">
        <f t="shared" si="0"/>
        <v>0.29997147466112911</v>
      </c>
      <c r="H38" s="184">
        <v>0.3</v>
      </c>
      <c r="I38" s="64"/>
    </row>
    <row r="39" spans="2:9" ht="17" x14ac:dyDescent="0.2">
      <c r="B39" s="226" t="s">
        <v>47</v>
      </c>
      <c r="C39" s="221" t="s">
        <v>46</v>
      </c>
      <c r="D39" s="190" t="s">
        <v>127</v>
      </c>
      <c r="E39" s="190">
        <f>IF('Hist Financials'!H18&gt;0,('Hist Financials'!I18-'Hist Financials'!H18)/'Hist Financials'!H18, 0)</f>
        <v>0</v>
      </c>
      <c r="F39" s="190">
        <f>IF('Hist Financials'!I18&gt;0,('Hist Financials'!J18-'Hist Financials'!I18)/'Hist Financials'!I18, 0)</f>
        <v>0</v>
      </c>
      <c r="G39" s="190">
        <f t="shared" si="0"/>
        <v>0</v>
      </c>
      <c r="H39" s="184">
        <v>0</v>
      </c>
      <c r="I39" s="64"/>
    </row>
    <row r="40" spans="2:9" ht="23" customHeight="1" x14ac:dyDescent="0.2">
      <c r="B40" s="226"/>
      <c r="C40" s="222" t="s">
        <v>45</v>
      </c>
      <c r="D40" s="190">
        <f>'Hist Financials'!C20/('Hist Financials'!C8+'Hist Financials'!C10+'Hist Financials'!C11+'Hist Financials'!C14)</f>
        <v>8.5141730902186588E-2</v>
      </c>
      <c r="E40" s="190">
        <f>'Hist Financials'!D20/('Hist Financials'!D8+'Hist Financials'!D10+'Hist Financials'!D11+'Hist Financials'!D14)</f>
        <v>7.4139047261032098E-2</v>
      </c>
      <c r="F40" s="190">
        <f>'Hist Financials'!E20/('Hist Financials'!E8+'Hist Financials'!E10+'Hist Financials'!E11+'Hist Financials'!E14)</f>
        <v>6.7727145710648598E-2</v>
      </c>
      <c r="G40" s="190">
        <f t="shared" si="0"/>
        <v>7.5669307957955748E-2</v>
      </c>
      <c r="H40" s="184">
        <v>0.09</v>
      </c>
      <c r="I40" s="64"/>
    </row>
    <row r="41" spans="2:9" x14ac:dyDescent="0.2">
      <c r="B41" s="226" t="s">
        <v>50</v>
      </c>
      <c r="C41" s="223" t="s">
        <v>49</v>
      </c>
      <c r="D41" s="190"/>
      <c r="E41" s="190">
        <f>'Hist Financials'!H13/'Hist Financials'!C9</f>
        <v>5.7488653555219364E-2</v>
      </c>
      <c r="F41" s="190">
        <f>'Hist Financials'!I13/'Hist Financials'!D9</f>
        <v>0.11913357400722022</v>
      </c>
      <c r="G41" s="190">
        <f t="shared" si="0"/>
        <v>8.8311113781219794E-2</v>
      </c>
      <c r="H41" s="184">
        <v>0.05</v>
      </c>
      <c r="I41" s="64"/>
    </row>
    <row r="42" spans="2:9" x14ac:dyDescent="0.2">
      <c r="B42" s="226"/>
      <c r="C42" s="224" t="s">
        <v>48</v>
      </c>
      <c r="D42" s="190"/>
      <c r="E42" s="190">
        <f>'Hist Financials'!I14/('Hist Financials'!C18+'Hist Financials'!C20)</f>
        <v>7.9965688143347313E-2</v>
      </c>
      <c r="F42" s="190">
        <f>'Hist Financials'!J14/('Hist Financials'!D18+'Hist Financials'!D20)</f>
        <v>7.9993725982275901E-2</v>
      </c>
      <c r="G42" s="190">
        <f t="shared" si="0"/>
        <v>7.99797070628116E-2</v>
      </c>
      <c r="H42" s="184">
        <v>0.08</v>
      </c>
      <c r="I42" s="64"/>
    </row>
  </sheetData>
  <mergeCells count="19">
    <mergeCell ref="L9:R9"/>
    <mergeCell ref="I8:K10"/>
    <mergeCell ref="L10:R10"/>
    <mergeCell ref="J11:J18"/>
    <mergeCell ref="E4:E5"/>
    <mergeCell ref="D4:D5"/>
    <mergeCell ref="F4:F5"/>
    <mergeCell ref="D2:D3"/>
    <mergeCell ref="B27:C27"/>
    <mergeCell ref="B3:C5"/>
    <mergeCell ref="B24:C26"/>
    <mergeCell ref="B28:B31"/>
    <mergeCell ref="B32:B37"/>
    <mergeCell ref="B41:B42"/>
    <mergeCell ref="B39:B40"/>
    <mergeCell ref="B6:B9"/>
    <mergeCell ref="B10:B15"/>
    <mergeCell ref="B17:B18"/>
    <mergeCell ref="B19:B20"/>
  </mergeCells>
  <conditionalFormatting sqref="L12:R18">
    <cfRule type="colorScale" priority="1">
      <colorScale>
        <cfvo type="min"/>
        <cfvo type="percentile" val="50"/>
        <cfvo type="max"/>
        <color rgb="FFF8696B"/>
        <color rgb="FFFFEB84"/>
        <color rgb="FF63BE7B"/>
      </colorScale>
    </cfRule>
  </conditionalFormatting>
  <pageMargins left="0.75" right="0.75" top="1" bottom="1" header="0.5" footer="0.5"/>
  <headerFooter alignWithMargin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85999-99F8-4E9E-A260-395AFE0C90EF}">
  <sheetPr codeName="Sheet4"/>
  <dimension ref="B1:P25"/>
  <sheetViews>
    <sheetView workbookViewId="0">
      <selection activeCell="J15" sqref="J15"/>
    </sheetView>
  </sheetViews>
  <sheetFormatPr baseColWidth="10" defaultColWidth="10.6640625" defaultRowHeight="16" x14ac:dyDescent="0.2"/>
  <cols>
    <col min="1" max="1" width="10.6640625" style="16"/>
    <col min="2" max="2" width="30.5" style="16" customWidth="1"/>
    <col min="3" max="3" width="6.1640625" style="16" customWidth="1"/>
    <col min="4" max="4" width="3" style="16" customWidth="1"/>
    <col min="5" max="5" width="11.5" style="16" bestFit="1" customWidth="1"/>
    <col min="6" max="6" width="16.33203125" style="16" customWidth="1"/>
    <col min="7" max="8" width="10.6640625" style="16"/>
    <col min="9" max="9" width="32.6640625" style="16" bestFit="1" customWidth="1"/>
    <col min="10" max="10" width="16" style="16" customWidth="1"/>
    <col min="11" max="11" width="18.5" style="16" customWidth="1"/>
    <col min="12" max="12" width="13.1640625" style="16" customWidth="1"/>
    <col min="13" max="13" width="17" style="16" bestFit="1" customWidth="1"/>
    <col min="14" max="14" width="10.6640625" style="16"/>
    <col min="15" max="15" width="11.1640625" style="16" bestFit="1" customWidth="1"/>
    <col min="16" max="16384" width="10.6640625" style="16"/>
  </cols>
  <sheetData>
    <row r="1" spans="2:16" ht="18" customHeight="1" x14ac:dyDescent="0.2">
      <c r="B1" s="163" t="s">
        <v>44</v>
      </c>
      <c r="C1" s="163"/>
      <c r="D1" s="163"/>
      <c r="E1" s="163"/>
      <c r="F1" s="163"/>
      <c r="G1" s="163"/>
      <c r="H1" s="163"/>
      <c r="I1" s="49"/>
      <c r="J1" s="49"/>
      <c r="K1" s="49"/>
    </row>
    <row r="2" spans="2:16" ht="18" customHeight="1" x14ac:dyDescent="0.2">
      <c r="B2" s="49"/>
      <c r="C2" s="49"/>
      <c r="D2" s="49"/>
      <c r="E2" s="49"/>
      <c r="F2" s="49"/>
      <c r="G2" s="49"/>
      <c r="H2" s="49"/>
      <c r="I2" s="49"/>
      <c r="J2" s="232">
        <v>2017</v>
      </c>
      <c r="K2" s="232">
        <v>2018</v>
      </c>
      <c r="L2" s="233">
        <v>2019</v>
      </c>
      <c r="M2" s="233">
        <v>2020</v>
      </c>
      <c r="N2" s="21"/>
      <c r="O2" s="21"/>
      <c r="P2" s="21"/>
    </row>
    <row r="3" spans="2:16" ht="17" x14ac:dyDescent="0.2">
      <c r="B3" s="102"/>
      <c r="C3" s="103"/>
      <c r="D3" s="73"/>
      <c r="E3" s="250" t="s">
        <v>29</v>
      </c>
      <c r="F3" s="251" t="s">
        <v>69</v>
      </c>
      <c r="G3" s="21"/>
      <c r="H3" s="21"/>
      <c r="I3" s="240" t="s">
        <v>91</v>
      </c>
      <c r="J3" s="236">
        <f>'Hist Financials'!H12</f>
        <v>-1916</v>
      </c>
      <c r="K3" s="237">
        <f>'Hist Financials'!I12</f>
        <v>-1852</v>
      </c>
      <c r="L3" s="238">
        <f>'Hist Financials'!J12</f>
        <v>-1058</v>
      </c>
      <c r="M3" s="239">
        <f>F24</f>
        <v>0</v>
      </c>
      <c r="N3" s="21"/>
      <c r="O3" s="21"/>
      <c r="P3" s="21"/>
    </row>
    <row r="4" spans="2:16" ht="17" x14ac:dyDescent="0.2">
      <c r="B4" s="91"/>
      <c r="C4" s="72"/>
      <c r="D4" s="72"/>
      <c r="E4" s="177">
        <f>E19</f>
        <v>2019</v>
      </c>
      <c r="F4" s="252">
        <f>FCF!E4+1</f>
        <v>2020</v>
      </c>
      <c r="G4" s="21"/>
      <c r="H4" s="21"/>
      <c r="I4" s="240" t="s">
        <v>92</v>
      </c>
      <c r="J4" s="236">
        <f>J3-(J3*'Estimated Inputs'!D38)</f>
        <v>-1340.8899676375404</v>
      </c>
      <c r="K4" s="237">
        <f>K3-(K3*'Estimated Inputs'!E38)</f>
        <v>-1296.67870579383</v>
      </c>
      <c r="L4" s="238">
        <f>L3-(L3*'Estimated Inputs'!F38)</f>
        <v>-740.70251937984494</v>
      </c>
      <c r="M4" s="239">
        <f>M3-(M3*'Estimated Inputs'!H38)</f>
        <v>0</v>
      </c>
      <c r="N4" s="30"/>
      <c r="O4" s="21"/>
      <c r="P4" s="21"/>
    </row>
    <row r="5" spans="2:16" x14ac:dyDescent="0.2">
      <c r="B5" s="98" t="s">
        <v>68</v>
      </c>
      <c r="C5" s="46"/>
      <c r="D5" s="21"/>
      <c r="E5" s="29"/>
      <c r="F5" s="104"/>
      <c r="G5" s="21"/>
      <c r="H5" s="21"/>
      <c r="I5" s="241" t="s">
        <v>93</v>
      </c>
      <c r="J5" s="236">
        <f>'Hist Financials'!C8+'Hist Financials'!C10+'Hist Financials'!C11-'Hist Financials'!C16-'Hist Financials'!C17+'Hist Financials'!C13</f>
        <v>80432</v>
      </c>
      <c r="K5" s="237">
        <f>'Hist Financials'!D8+'Hist Financials'!D10+'Hist Financials'!D11-'Hist Financials'!D16-'Hist Financials'!D17+'Hist Financials'!D13</f>
        <v>80593</v>
      </c>
      <c r="L5" s="238">
        <f>'Hist Financials'!E8+'Hist Financials'!E10+'Hist Financials'!E11-'Hist Financials'!E16-'Hist Financials'!E17+'Hist Financials'!E13</f>
        <v>80776</v>
      </c>
      <c r="M5" s="239">
        <f>F11-F15</f>
        <v>74484.072000000015</v>
      </c>
      <c r="N5" s="30"/>
      <c r="O5" s="175"/>
      <c r="P5" s="21"/>
    </row>
    <row r="6" spans="2:16" ht="17" x14ac:dyDescent="0.2">
      <c r="B6" s="82" t="s">
        <v>27</v>
      </c>
      <c r="C6" s="41"/>
      <c r="D6" s="21"/>
      <c r="E6" s="199">
        <f>'Hist Financials'!E8</f>
        <v>7007</v>
      </c>
      <c r="F6" s="197">
        <f>$F$20*'Estimated Inputs'!H32</f>
        <v>5729.5439999999999</v>
      </c>
      <c r="G6" s="21"/>
      <c r="H6" s="21"/>
      <c r="I6" s="241" t="s">
        <v>94</v>
      </c>
      <c r="J6" s="234"/>
      <c r="K6" s="237">
        <f>K5-J5</f>
        <v>161</v>
      </c>
      <c r="L6" s="238">
        <f t="shared" ref="L6:M6" si="0">L5-K5</f>
        <v>183</v>
      </c>
      <c r="M6" s="239">
        <f t="shared" si="0"/>
        <v>-6291.9279999999853</v>
      </c>
      <c r="N6" s="65"/>
      <c r="O6" s="176"/>
      <c r="P6" s="21"/>
    </row>
    <row r="7" spans="2:16" ht="17" x14ac:dyDescent="0.2">
      <c r="B7" s="82" t="s">
        <v>67</v>
      </c>
      <c r="C7" s="41"/>
      <c r="D7" s="21"/>
      <c r="E7" s="199">
        <f>'Hist Financials'!E10</f>
        <v>1491</v>
      </c>
      <c r="F7" s="197">
        <f>F20*'Estimated Inputs'!H33</f>
        <v>1527.8784000000001</v>
      </c>
      <c r="G7" s="21"/>
      <c r="H7" s="21"/>
      <c r="I7" s="241" t="s">
        <v>90</v>
      </c>
      <c r="J7" s="234"/>
      <c r="K7" s="237">
        <f>K4-K6</f>
        <v>-1457.67870579383</v>
      </c>
      <c r="L7" s="238">
        <f t="shared" ref="L7:M7" si="1">L4-L6</f>
        <v>-923.70251937984494</v>
      </c>
      <c r="M7" s="239">
        <f t="shared" si="1"/>
        <v>6291.9279999999853</v>
      </c>
      <c r="N7" s="65"/>
      <c r="O7" s="176"/>
      <c r="P7" s="21"/>
    </row>
    <row r="8" spans="2:16" ht="17" x14ac:dyDescent="0.2">
      <c r="B8" s="82" t="s">
        <v>24</v>
      </c>
      <c r="C8" s="41"/>
      <c r="D8" s="21"/>
      <c r="E8" s="200">
        <f>'Hist Financials'!E11</f>
        <v>2832</v>
      </c>
      <c r="F8" s="197">
        <f>F20*'Estimated Inputs'!H34</f>
        <v>2673.7872000000002</v>
      </c>
      <c r="G8" s="21"/>
      <c r="H8" s="21"/>
      <c r="I8" s="241" t="s">
        <v>128</v>
      </c>
      <c r="J8" s="235"/>
      <c r="K8" s="235"/>
      <c r="L8" s="268">
        <f>(L7-K7)/K7</f>
        <v>-0.36631953549955276</v>
      </c>
      <c r="M8" s="265">
        <f>(M7-L7)/L7</f>
        <v>-7.8116388858874801</v>
      </c>
      <c r="N8" s="65"/>
      <c r="O8" s="21"/>
      <c r="P8" s="21"/>
    </row>
    <row r="9" spans="2:16" ht="17" x14ac:dyDescent="0.2">
      <c r="B9" s="84" t="s">
        <v>66</v>
      </c>
      <c r="C9" s="40"/>
      <c r="D9" s="21"/>
      <c r="E9" s="199">
        <f>SUM(E6:E8)</f>
        <v>11330</v>
      </c>
      <c r="F9" s="197">
        <f>SUM(F6:F8)</f>
        <v>9931.2096000000001</v>
      </c>
      <c r="G9" s="21"/>
      <c r="H9" s="21"/>
      <c r="I9" s="241" t="s">
        <v>95</v>
      </c>
      <c r="J9" s="235"/>
      <c r="K9" s="235"/>
      <c r="L9" s="266">
        <f>L4/K5</f>
        <v>-9.190655756453352E-3</v>
      </c>
      <c r="M9" s="267">
        <f>M4/L5</f>
        <v>0</v>
      </c>
      <c r="N9" s="65"/>
      <c r="O9" s="21"/>
      <c r="P9" s="21"/>
    </row>
    <row r="10" spans="2:16" ht="17" x14ac:dyDescent="0.2">
      <c r="B10" s="82" t="s">
        <v>22</v>
      </c>
      <c r="C10" s="41"/>
      <c r="D10" s="21"/>
      <c r="E10" s="200">
        <f>'Hist Financials'!E13</f>
        <v>73672</v>
      </c>
      <c r="F10" s="197">
        <f>'Estimated Inputs'!H35*F20</f>
        <v>68754.528000000006</v>
      </c>
      <c r="G10" s="21"/>
      <c r="H10" s="21"/>
      <c r="I10" s="21"/>
      <c r="J10" s="193"/>
      <c r="K10" s="193"/>
      <c r="L10" s="193"/>
      <c r="M10" s="65"/>
      <c r="N10" s="65"/>
      <c r="O10" s="21"/>
      <c r="P10" s="21"/>
    </row>
    <row r="11" spans="2:16" ht="17" x14ac:dyDescent="0.2">
      <c r="B11" s="85" t="s">
        <v>65</v>
      </c>
      <c r="C11" s="43"/>
      <c r="D11" s="21"/>
      <c r="E11" s="199">
        <f>E9+E10</f>
        <v>85002</v>
      </c>
      <c r="F11" s="197">
        <f>F9+F10</f>
        <v>78685.737600000008</v>
      </c>
      <c r="G11" s="21"/>
      <c r="H11" s="21"/>
      <c r="I11" s="21"/>
      <c r="J11" s="193"/>
      <c r="K11" s="193"/>
      <c r="L11" s="193"/>
      <c r="M11" s="65"/>
      <c r="N11" s="65"/>
      <c r="O11" s="21"/>
      <c r="P11" s="21"/>
    </row>
    <row r="12" spans="2:16" ht="17" customHeight="1" x14ac:dyDescent="0.2">
      <c r="B12" s="74"/>
      <c r="C12" s="21"/>
      <c r="D12" s="21"/>
      <c r="E12" s="203"/>
      <c r="F12" s="86"/>
      <c r="G12" s="21"/>
      <c r="H12" s="21"/>
      <c r="I12" s="21"/>
      <c r="J12" s="174"/>
      <c r="K12" s="174"/>
      <c r="L12" s="194"/>
      <c r="M12" s="65"/>
      <c r="N12" s="65"/>
      <c r="O12" s="21"/>
      <c r="P12" s="21"/>
    </row>
    <row r="13" spans="2:16" ht="20" customHeight="1" x14ac:dyDescent="0.2">
      <c r="B13" s="83" t="s">
        <v>20</v>
      </c>
      <c r="C13" s="38"/>
      <c r="D13" s="21"/>
      <c r="E13" s="199">
        <f>'Hist Financials'!E16</f>
        <v>1956</v>
      </c>
      <c r="F13" s="197">
        <f>F20*'Estimated Inputs'!H36</f>
        <v>1909.848</v>
      </c>
      <c r="G13" s="21"/>
      <c r="H13" s="21"/>
      <c r="I13" s="21"/>
      <c r="J13" s="195"/>
      <c r="K13" s="194"/>
      <c r="L13" s="194"/>
      <c r="M13" s="21"/>
      <c r="N13" s="21"/>
      <c r="O13" s="21"/>
      <c r="P13" s="21"/>
    </row>
    <row r="14" spans="2:16" ht="17" x14ac:dyDescent="0.2">
      <c r="B14" s="82" t="s">
        <v>19</v>
      </c>
      <c r="C14" s="41"/>
      <c r="D14" s="21"/>
      <c r="E14" s="199">
        <f>'Hist Financials'!E17</f>
        <v>2270</v>
      </c>
      <c r="F14" s="197">
        <f>F20*'Estimated Inputs'!H37</f>
        <v>2291.8175999999999</v>
      </c>
      <c r="G14" s="21"/>
      <c r="H14" s="21"/>
      <c r="I14" s="21"/>
      <c r="J14" s="21"/>
      <c r="K14" s="21"/>
      <c r="L14" s="21"/>
      <c r="M14" s="21"/>
      <c r="N14" s="21"/>
      <c r="O14" s="21"/>
      <c r="P14" s="21"/>
    </row>
    <row r="15" spans="2:16" ht="17" x14ac:dyDescent="0.2">
      <c r="B15" s="105" t="s">
        <v>64</v>
      </c>
      <c r="C15" s="106"/>
      <c r="D15" s="72"/>
      <c r="E15" s="200">
        <f>E13+E14</f>
        <v>4226</v>
      </c>
      <c r="F15" s="197">
        <f>SUM(F13:F14)</f>
        <v>4201.6656000000003</v>
      </c>
    </row>
    <row r="18" spans="2:8" x14ac:dyDescent="0.2">
      <c r="B18" s="242"/>
      <c r="C18" s="243"/>
      <c r="D18" s="243"/>
      <c r="E18" s="244" t="s">
        <v>29</v>
      </c>
      <c r="F18" s="245" t="s">
        <v>69</v>
      </c>
    </row>
    <row r="19" spans="2:8" x14ac:dyDescent="0.2">
      <c r="B19" s="248" t="s">
        <v>70</v>
      </c>
      <c r="C19" s="249"/>
      <c r="D19" s="249"/>
      <c r="E19" s="246">
        <f>'Hist Financials'!J7</f>
        <v>2019</v>
      </c>
      <c r="F19" s="247">
        <f>FCF!E19+1</f>
        <v>2020</v>
      </c>
    </row>
    <row r="20" spans="2:8" x14ac:dyDescent="0.2">
      <c r="B20" s="75" t="s">
        <v>41</v>
      </c>
      <c r="C20" s="47"/>
      <c r="D20" s="21"/>
      <c r="E20" s="199">
        <f>'Hist Financials'!J8</f>
        <v>37448</v>
      </c>
      <c r="F20" s="197">
        <f>E20*(1+'Estimated Inputs'!H28)</f>
        <v>38196.959999999999</v>
      </c>
    </row>
    <row r="21" spans="2:8" x14ac:dyDescent="0.2">
      <c r="B21" s="75" t="s">
        <v>40</v>
      </c>
      <c r="C21" s="47"/>
      <c r="D21" s="21"/>
      <c r="E21" s="199">
        <f>'Hist Financials'!J9</f>
        <v>24505</v>
      </c>
      <c r="F21" s="197">
        <f>F20*'Estimated Inputs'!H29</f>
        <v>23682.1152</v>
      </c>
    </row>
    <row r="22" spans="2:8" x14ac:dyDescent="0.2">
      <c r="B22" s="76" t="s">
        <v>39</v>
      </c>
      <c r="C22" s="39"/>
      <c r="D22" s="21"/>
      <c r="E22" s="199">
        <f>'Hist Financials'!J10</f>
        <v>10909</v>
      </c>
      <c r="F22" s="197">
        <f>'Estimated Inputs'!H30*$F$20</f>
        <v>11077.118399999999</v>
      </c>
    </row>
    <row r="23" spans="2:8" x14ac:dyDescent="0.2">
      <c r="B23" s="75" t="s">
        <v>38</v>
      </c>
      <c r="C23" s="47"/>
      <c r="D23" s="21"/>
      <c r="E23" s="199">
        <f>'Hist Financials'!J11</f>
        <v>3092</v>
      </c>
      <c r="F23" s="197">
        <f>'Estimated Inputs'!H31*$F$10</f>
        <v>3437.7264000000005</v>
      </c>
      <c r="G23" s="41"/>
      <c r="H23" s="25"/>
    </row>
    <row r="24" spans="2:8" ht="17.25" customHeight="1" x14ac:dyDescent="0.2">
      <c r="B24" s="100" t="s">
        <v>37</v>
      </c>
      <c r="C24" s="101"/>
      <c r="D24" s="72"/>
      <c r="E24" s="200">
        <f>E20-E21-E22-E23</f>
        <v>-1058</v>
      </c>
      <c r="F24" s="197">
        <f>F20-F21-F22-F23</f>
        <v>0</v>
      </c>
      <c r="G24" s="172"/>
    </row>
    <row r="25" spans="2:8" x14ac:dyDescent="0.2">
      <c r="B25" s="29"/>
      <c r="C25" s="29"/>
    </row>
  </sheetData>
  <mergeCells count="2">
    <mergeCell ref="B1:H1"/>
    <mergeCell ref="B19:D19"/>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F378-775F-41C5-93E9-30C63DE79667}">
  <sheetPr codeName="Sheet5"/>
  <dimension ref="C1:J61"/>
  <sheetViews>
    <sheetView topLeftCell="A10" workbookViewId="0">
      <selection activeCell="I9" sqref="I9"/>
    </sheetView>
  </sheetViews>
  <sheetFormatPr baseColWidth="10" defaultColWidth="10.6640625" defaultRowHeight="16" x14ac:dyDescent="0.2"/>
  <cols>
    <col min="1" max="1" width="6.6640625" style="16" customWidth="1"/>
    <col min="2" max="2" width="7.6640625" style="16" customWidth="1"/>
    <col min="3" max="3" width="39.33203125" style="16" customWidth="1"/>
    <col min="4" max="4" width="13.33203125" style="16" customWidth="1"/>
    <col min="5" max="5" width="14.5" style="16" customWidth="1"/>
    <col min="6" max="6" width="14.1640625" style="16" customWidth="1"/>
    <col min="7" max="7" width="32.5" style="16" customWidth="1"/>
    <col min="8" max="8" width="12.6640625" style="16" bestFit="1" customWidth="1"/>
    <col min="9" max="9" width="13.6640625" style="16" bestFit="1" customWidth="1"/>
    <col min="10" max="10" width="11.1640625" style="16" bestFit="1" customWidth="1"/>
    <col min="11" max="11" width="20" style="16" customWidth="1"/>
    <col min="12" max="12" width="10.6640625" style="16"/>
    <col min="13" max="13" width="13.5" style="16" customWidth="1"/>
    <col min="14" max="16384" width="10.6640625" style="16"/>
  </cols>
  <sheetData>
    <row r="1" spans="3:10" ht="17" thickBot="1" x14ac:dyDescent="0.25"/>
    <row r="2" spans="3:10" ht="48.75" customHeight="1" thickBot="1" x14ac:dyDescent="0.25">
      <c r="C2" s="258" t="s">
        <v>44</v>
      </c>
      <c r="D2" s="259"/>
      <c r="E2" s="259"/>
      <c r="F2" s="259"/>
      <c r="G2" s="259"/>
      <c r="H2" s="259"/>
      <c r="I2" s="260"/>
      <c r="J2" s="49"/>
    </row>
    <row r="3" spans="3:10" ht="48.75" customHeight="1" x14ac:dyDescent="0.2">
      <c r="C3" s="135"/>
      <c r="D3" s="135"/>
      <c r="E3" s="135"/>
      <c r="F3" s="135"/>
      <c r="G3" s="135"/>
      <c r="H3" s="135"/>
      <c r="I3" s="135"/>
      <c r="J3" s="49"/>
    </row>
    <row r="4" spans="3:10" ht="32.25" customHeight="1" x14ac:dyDescent="0.2">
      <c r="C4" s="165" t="s">
        <v>28</v>
      </c>
      <c r="D4" s="166"/>
      <c r="E4" s="167"/>
      <c r="F4" s="67"/>
      <c r="G4" s="135"/>
      <c r="H4" s="135"/>
      <c r="I4" s="135"/>
      <c r="J4" s="49"/>
    </row>
    <row r="5" spans="3:10" ht="29" customHeight="1" x14ac:dyDescent="0.2">
      <c r="C5" s="81"/>
      <c r="D5" s="253" t="s">
        <v>29</v>
      </c>
      <c r="E5" s="245" t="s">
        <v>69</v>
      </c>
      <c r="F5" s="60"/>
      <c r="G5" s="165" t="s">
        <v>42</v>
      </c>
      <c r="H5" s="166"/>
      <c r="I5" s="167"/>
    </row>
    <row r="6" spans="3:10" x14ac:dyDescent="0.2">
      <c r="C6" s="91"/>
      <c r="D6" s="254">
        <f>'Complete Proj.'!H7</f>
        <v>2019</v>
      </c>
      <c r="E6" s="256">
        <f>'Complete Proj.'!I7</f>
        <v>2020</v>
      </c>
      <c r="G6" s="81"/>
      <c r="H6" s="253" t="str">
        <f>[1]Actual!D4</f>
        <v>Actual</v>
      </c>
      <c r="I6" s="245" t="str">
        <f>FCF!F18</f>
        <v>Projected</v>
      </c>
    </row>
    <row r="7" spans="3:10" ht="17" x14ac:dyDescent="0.2">
      <c r="C7" s="107" t="s">
        <v>27</v>
      </c>
      <c r="D7" s="198">
        <f>FCF!E6</f>
        <v>7007</v>
      </c>
      <c r="E7" s="197">
        <f>FCF!F6</f>
        <v>5729.5439999999999</v>
      </c>
      <c r="F7" s="36"/>
      <c r="G7" s="91"/>
      <c r="H7" s="254">
        <f>'Hist Financials'!J7</f>
        <v>2019</v>
      </c>
      <c r="I7" s="255">
        <f>FCF!F19</f>
        <v>2020</v>
      </c>
    </row>
    <row r="8" spans="3:10" ht="17" x14ac:dyDescent="0.2">
      <c r="C8" s="83" t="s">
        <v>26</v>
      </c>
      <c r="D8" s="199">
        <f>'Hist Financials'!E9</f>
        <v>291</v>
      </c>
      <c r="E8" s="197">
        <f>IF(I2&lt;0,-I29,0)</f>
        <v>0</v>
      </c>
      <c r="F8" s="36"/>
      <c r="G8" s="75" t="s">
        <v>41</v>
      </c>
      <c r="H8" s="199">
        <f>FCF!E20</f>
        <v>37448</v>
      </c>
      <c r="I8" s="199">
        <f>FCF!F20</f>
        <v>38196.959999999999</v>
      </c>
    </row>
    <row r="9" spans="3:10" ht="17" x14ac:dyDescent="0.2">
      <c r="C9" s="82" t="s">
        <v>67</v>
      </c>
      <c r="D9" s="199">
        <f>FCF!E7</f>
        <v>1491</v>
      </c>
      <c r="E9" s="197">
        <f>FCF!F7</f>
        <v>1527.8784000000001</v>
      </c>
      <c r="F9" s="36"/>
      <c r="G9" s="75" t="s">
        <v>40</v>
      </c>
      <c r="H9" s="199">
        <f>FCF!E21</f>
        <v>24505</v>
      </c>
      <c r="I9" s="199">
        <f>FCF!F21</f>
        <v>23682.1152</v>
      </c>
    </row>
    <row r="10" spans="3:10" ht="17" x14ac:dyDescent="0.2">
      <c r="C10" s="82" t="s">
        <v>24</v>
      </c>
      <c r="D10" s="200">
        <f>FCF!E8</f>
        <v>2832</v>
      </c>
      <c r="E10" s="197">
        <f>FCF!F8</f>
        <v>2673.7872000000002</v>
      </c>
      <c r="F10" s="58"/>
      <c r="G10" s="76" t="s">
        <v>39</v>
      </c>
      <c r="H10" s="199">
        <f>FCF!E22</f>
        <v>10909</v>
      </c>
      <c r="I10" s="199">
        <f>FCF!F22</f>
        <v>11077.118399999999</v>
      </c>
    </row>
    <row r="11" spans="3:10" ht="17" x14ac:dyDescent="0.2">
      <c r="C11" s="84" t="s">
        <v>23</v>
      </c>
      <c r="D11" s="201">
        <f>SUM(D7:D10)</f>
        <v>11621</v>
      </c>
      <c r="E11" s="197">
        <f>SUM(E7:E10)</f>
        <v>9931.2096000000001</v>
      </c>
      <c r="F11" s="36"/>
      <c r="G11" s="75" t="s">
        <v>38</v>
      </c>
      <c r="H11" s="199">
        <f>FCF!E23</f>
        <v>3092</v>
      </c>
      <c r="I11" s="199">
        <f>FCF!F23</f>
        <v>3437.7264000000005</v>
      </c>
    </row>
    <row r="12" spans="3:10" ht="17" x14ac:dyDescent="0.2">
      <c r="C12" s="82" t="s">
        <v>22</v>
      </c>
      <c r="D12" s="201">
        <f>'Hist Financials'!E13</f>
        <v>73672</v>
      </c>
      <c r="E12" s="197">
        <f>FCF!F10</f>
        <v>68754.528000000006</v>
      </c>
      <c r="F12" s="36"/>
      <c r="G12" s="77" t="s">
        <v>37</v>
      </c>
      <c r="H12" s="199">
        <f>FCF!E24</f>
        <v>-1058</v>
      </c>
      <c r="I12" s="197">
        <f>I8-SUM(I9:I11)</f>
        <v>0</v>
      </c>
    </row>
    <row r="13" spans="3:10" ht="18" thickBot="1" x14ac:dyDescent="0.25">
      <c r="C13" s="85" t="s">
        <v>21</v>
      </c>
      <c r="D13" s="202">
        <f>'Hist Financials'!E14</f>
        <v>85293</v>
      </c>
      <c r="E13" s="197">
        <f>E11+E12</f>
        <v>78685.737600000008</v>
      </c>
      <c r="F13" s="36"/>
      <c r="G13" s="78" t="s">
        <v>36</v>
      </c>
      <c r="H13" s="199">
        <f>'Hist Financials'!J13</f>
        <v>14</v>
      </c>
      <c r="I13" s="197">
        <f>D8*'Estimated Inputs'!H41</f>
        <v>14.55</v>
      </c>
    </row>
    <row r="14" spans="3:10" ht="20" thickTop="1" x14ac:dyDescent="0.35">
      <c r="C14" s="85"/>
      <c r="D14" s="203"/>
      <c r="E14" s="196"/>
      <c r="F14" s="36"/>
      <c r="G14" s="76" t="s">
        <v>35</v>
      </c>
      <c r="H14" s="199">
        <f>'Hist Financials'!J14</f>
        <v>1020</v>
      </c>
      <c r="I14" s="206">
        <f>(D17+D19)*'Estimated Inputs'!H42</f>
        <v>1249.44</v>
      </c>
    </row>
    <row r="15" spans="3:10" ht="17" x14ac:dyDescent="0.2">
      <c r="C15" s="83" t="s">
        <v>20</v>
      </c>
      <c r="D15" s="199">
        <f>FCF!E13</f>
        <v>1956</v>
      </c>
      <c r="E15" s="197">
        <f>FCF!F13</f>
        <v>1909.848</v>
      </c>
      <c r="F15" s="36"/>
      <c r="G15" s="77" t="s">
        <v>34</v>
      </c>
      <c r="H15" s="199">
        <f>'Hist Financials'!J15</f>
        <v>-2064</v>
      </c>
      <c r="I15" s="197">
        <f>I12+I13-I14</f>
        <v>-1234.8900000000001</v>
      </c>
    </row>
    <row r="16" spans="3:10" ht="17" x14ac:dyDescent="0.2">
      <c r="C16" s="82" t="s">
        <v>19</v>
      </c>
      <c r="D16" s="199">
        <f>FCF!E14</f>
        <v>2270</v>
      </c>
      <c r="E16" s="197">
        <f>FCF!F14</f>
        <v>2291.8175999999999</v>
      </c>
      <c r="F16" s="36"/>
      <c r="G16" s="76" t="s">
        <v>33</v>
      </c>
      <c r="H16" s="200">
        <f>H15*'Estimated Inputs'!F38</f>
        <v>-619</v>
      </c>
      <c r="I16" s="207">
        <f>I15*'Estimated Inputs'!H38</f>
        <v>-370.46700000000004</v>
      </c>
    </row>
    <row r="17" spans="3:9" ht="17" x14ac:dyDescent="0.2">
      <c r="C17" s="83" t="s">
        <v>18</v>
      </c>
      <c r="D17" s="200">
        <f>'Hist Financials'!E18</f>
        <v>9074</v>
      </c>
      <c r="E17" s="197">
        <f>IF(I29&gt;0,I29,0)</f>
        <v>2817.7786160000105</v>
      </c>
      <c r="F17" s="36"/>
      <c r="G17" s="79" t="s">
        <v>32</v>
      </c>
      <c r="H17" s="199">
        <f>H15-H16</f>
        <v>-1445</v>
      </c>
      <c r="I17" s="197">
        <f>I15-I16</f>
        <v>-864.423</v>
      </c>
    </row>
    <row r="18" spans="3:9" ht="17" x14ac:dyDescent="0.2">
      <c r="C18" s="84" t="s">
        <v>17</v>
      </c>
      <c r="D18" s="199">
        <f>SUM(D15:D17)</f>
        <v>13300</v>
      </c>
      <c r="E18" s="197">
        <f>SUM(E15:E17)</f>
        <v>7019.4442160000108</v>
      </c>
      <c r="F18" s="36"/>
      <c r="G18" s="75" t="s">
        <v>31</v>
      </c>
      <c r="H18" s="199">
        <f>'Hist Financials'!J18</f>
        <v>0</v>
      </c>
      <c r="I18" s="197">
        <v>0</v>
      </c>
    </row>
    <row r="19" spans="3:9" ht="17" x14ac:dyDescent="0.2">
      <c r="C19" s="83" t="s">
        <v>16</v>
      </c>
      <c r="D19" s="199">
        <f>'Hist Financials'!E20</f>
        <v>6544</v>
      </c>
      <c r="E19" s="197">
        <f>'Estimated Inputs'!H40*('Complete Proj.'!E7+'Complete Proj.'!E9+'Complete Proj.'!E10+'Complete Proj.'!E12)</f>
        <v>7081.7163840000003</v>
      </c>
      <c r="F19" s="36"/>
      <c r="G19" s="80" t="s">
        <v>30</v>
      </c>
      <c r="H19" s="200">
        <f>'Hist Financials'!J19</f>
        <v>-1445</v>
      </c>
      <c r="I19" s="205">
        <f>I17-I18</f>
        <v>-864.423</v>
      </c>
    </row>
    <row r="20" spans="3:9" ht="17" x14ac:dyDescent="0.2">
      <c r="C20" s="87" t="s">
        <v>15</v>
      </c>
      <c r="D20" s="200">
        <f>D18+D19</f>
        <v>19844</v>
      </c>
      <c r="E20" s="197">
        <f>E18+E19</f>
        <v>14101.16060000001</v>
      </c>
      <c r="F20" s="36"/>
    </row>
    <row r="21" spans="3:9" x14ac:dyDescent="0.2">
      <c r="C21" s="76" t="s">
        <v>14</v>
      </c>
      <c r="D21" s="199">
        <f>'Hist Financials'!E22</f>
        <v>70697</v>
      </c>
      <c r="E21" s="197">
        <f>D21</f>
        <v>70697</v>
      </c>
      <c r="F21" s="36"/>
    </row>
    <row r="22" spans="3:9" ht="17" x14ac:dyDescent="0.2">
      <c r="C22" s="83" t="s">
        <v>13</v>
      </c>
      <c r="D22" s="200">
        <f>'Hist Financials'!E23</f>
        <v>-5248</v>
      </c>
      <c r="E22" s="197">
        <f>D22+I19</f>
        <v>-6112.4229999999998</v>
      </c>
      <c r="F22" s="36"/>
    </row>
    <row r="23" spans="3:9" ht="17" x14ac:dyDescent="0.2">
      <c r="C23" s="87" t="s">
        <v>12</v>
      </c>
      <c r="D23" s="199">
        <f>D21+D22</f>
        <v>65449</v>
      </c>
      <c r="E23" s="197">
        <f>E21+E22</f>
        <v>64584.576999999997</v>
      </c>
      <c r="F23" s="36"/>
    </row>
    <row r="24" spans="3:9" ht="18" thickBot="1" x14ac:dyDescent="0.25">
      <c r="C24" s="88" t="s">
        <v>11</v>
      </c>
      <c r="D24" s="202">
        <f>D20+D23</f>
        <v>85293</v>
      </c>
      <c r="E24" s="197">
        <f>E20+E23</f>
        <v>78685.737600000008</v>
      </c>
      <c r="F24" s="41"/>
      <c r="G24" s="165" t="s">
        <v>108</v>
      </c>
      <c r="H24" s="166"/>
      <c r="I24" s="167"/>
    </row>
    <row r="25" spans="3:9" ht="17" thickTop="1" x14ac:dyDescent="0.2">
      <c r="E25" s="173">
        <f>E13-E24</f>
        <v>0</v>
      </c>
      <c r="F25" s="41"/>
      <c r="G25" s="93"/>
      <c r="H25" s="94"/>
      <c r="I25" s="245" t="str">
        <f>I6</f>
        <v>Projected</v>
      </c>
    </row>
    <row r="26" spans="3:9" x14ac:dyDescent="0.2">
      <c r="F26" s="36"/>
      <c r="G26" s="95"/>
      <c r="H26" s="96"/>
      <c r="I26" s="257">
        <f>I7</f>
        <v>2020</v>
      </c>
    </row>
    <row r="27" spans="3:9" x14ac:dyDescent="0.2">
      <c r="F27" s="36"/>
      <c r="G27" s="74"/>
      <c r="H27" s="90" t="s">
        <v>74</v>
      </c>
      <c r="I27" s="197">
        <f>E7+E9+E10+E12</f>
        <v>78685.737600000008</v>
      </c>
    </row>
    <row r="28" spans="3:9" x14ac:dyDescent="0.2">
      <c r="F28" s="36"/>
      <c r="G28" s="74"/>
      <c r="H28" s="90" t="s">
        <v>73</v>
      </c>
      <c r="I28" s="204">
        <f>E15+E16+E19+E23</f>
        <v>75867.958983999997</v>
      </c>
    </row>
    <row r="29" spans="3:9" x14ac:dyDescent="0.2">
      <c r="F29" s="36"/>
      <c r="G29" s="74"/>
      <c r="H29" s="90" t="s">
        <v>72</v>
      </c>
      <c r="I29" s="197">
        <f>I27-I28</f>
        <v>2817.7786160000105</v>
      </c>
    </row>
    <row r="30" spans="3:9" x14ac:dyDescent="0.2">
      <c r="F30" s="36"/>
      <c r="G30" s="91"/>
      <c r="H30" s="92" t="s">
        <v>71</v>
      </c>
      <c r="I30" s="205">
        <f>E13-E24</f>
        <v>0</v>
      </c>
    </row>
    <row r="31" spans="3:9" x14ac:dyDescent="0.2">
      <c r="F31" s="41"/>
    </row>
    <row r="32" spans="3:9" x14ac:dyDescent="0.2">
      <c r="F32" s="41"/>
    </row>
    <row r="33" spans="3:9" x14ac:dyDescent="0.2">
      <c r="F33" s="36"/>
    </row>
    <row r="40" spans="3:9" x14ac:dyDescent="0.2">
      <c r="C40" s="29"/>
      <c r="D40" s="58"/>
      <c r="E40" s="58"/>
    </row>
    <row r="41" spans="3:9" x14ac:dyDescent="0.2">
      <c r="C41" s="59"/>
      <c r="D41" s="58"/>
    </row>
    <row r="44" spans="3:9" ht="19.25" customHeight="1" x14ac:dyDescent="0.2"/>
    <row r="45" spans="3:9" x14ac:dyDescent="0.2">
      <c r="F45" s="50"/>
    </row>
    <row r="46" spans="3:9" x14ac:dyDescent="0.2">
      <c r="F46" s="54"/>
      <c r="G46" s="50"/>
      <c r="H46" s="50"/>
      <c r="I46" s="50"/>
    </row>
    <row r="47" spans="3:9" x14ac:dyDescent="0.2">
      <c r="F47" s="50"/>
      <c r="G47" s="54"/>
      <c r="H47" s="54"/>
      <c r="I47" s="54"/>
    </row>
    <row r="48" spans="3:9" x14ac:dyDescent="0.2">
      <c r="F48" s="50"/>
      <c r="G48" s="50"/>
      <c r="H48" s="50"/>
      <c r="I48" s="50"/>
    </row>
    <row r="49" spans="3:10" x14ac:dyDescent="0.2">
      <c r="C49" s="57"/>
      <c r="D49" s="57"/>
      <c r="E49" s="57"/>
      <c r="G49" s="50"/>
      <c r="H49" s="50"/>
      <c r="I49" s="50"/>
    </row>
    <row r="50" spans="3:10" x14ac:dyDescent="0.2">
      <c r="C50" s="56"/>
      <c r="D50" s="55"/>
      <c r="E50" s="55"/>
      <c r="F50" s="57"/>
      <c r="J50" s="57"/>
    </row>
    <row r="51" spans="3:10" x14ac:dyDescent="0.2">
      <c r="C51" s="51"/>
      <c r="D51" s="50"/>
      <c r="E51" s="50"/>
      <c r="F51" s="55"/>
      <c r="G51" s="57"/>
      <c r="H51" s="57"/>
      <c r="I51" s="57"/>
      <c r="J51" s="55"/>
    </row>
    <row r="52" spans="3:10" x14ac:dyDescent="0.2">
      <c r="C52" s="51"/>
      <c r="D52" s="50"/>
      <c r="E52" s="50"/>
      <c r="F52" s="50"/>
      <c r="G52" s="55"/>
      <c r="H52" s="55"/>
      <c r="I52" s="55"/>
      <c r="J52" s="50"/>
    </row>
    <row r="53" spans="3:10" x14ac:dyDescent="0.2">
      <c r="C53" s="51"/>
      <c r="D53" s="50"/>
      <c r="E53" s="50"/>
      <c r="F53" s="50"/>
      <c r="G53" s="50"/>
      <c r="H53" s="50"/>
      <c r="I53" s="50"/>
      <c r="J53" s="50"/>
    </row>
    <row r="54" spans="3:10" x14ac:dyDescent="0.2">
      <c r="C54" s="51"/>
      <c r="D54" s="53"/>
      <c r="E54" s="53"/>
      <c r="F54" s="50"/>
      <c r="G54" s="50"/>
      <c r="H54" s="50"/>
      <c r="I54" s="50"/>
      <c r="J54" s="50"/>
    </row>
    <row r="55" spans="3:10" x14ac:dyDescent="0.2">
      <c r="C55" s="51"/>
      <c r="D55" s="54"/>
      <c r="E55" s="54"/>
      <c r="F55" s="53"/>
      <c r="G55" s="50"/>
      <c r="H55" s="50"/>
      <c r="I55" s="50"/>
      <c r="J55" s="53"/>
    </row>
    <row r="56" spans="3:10" x14ac:dyDescent="0.2">
      <c r="C56" s="51"/>
      <c r="D56" s="50"/>
      <c r="E56" s="50"/>
      <c r="F56" s="54"/>
      <c r="G56" s="53"/>
      <c r="H56" s="53"/>
      <c r="I56" s="53"/>
      <c r="J56" s="54"/>
    </row>
    <row r="57" spans="3:10" x14ac:dyDescent="0.2">
      <c r="C57" s="51"/>
      <c r="D57" s="50"/>
      <c r="E57" s="50"/>
      <c r="F57" s="50"/>
      <c r="G57" s="54"/>
      <c r="H57" s="54"/>
      <c r="I57" s="54"/>
      <c r="J57" s="50"/>
    </row>
    <row r="58" spans="3:10" x14ac:dyDescent="0.2">
      <c r="C58" s="51"/>
      <c r="D58" s="53"/>
      <c r="E58" s="52"/>
      <c r="F58" s="50"/>
      <c r="G58" s="50"/>
      <c r="H58" s="50"/>
      <c r="I58" s="50"/>
      <c r="J58" s="50"/>
    </row>
    <row r="59" spans="3:10" x14ac:dyDescent="0.2">
      <c r="C59" s="51"/>
      <c r="D59" s="50"/>
      <c r="E59" s="50"/>
      <c r="F59" s="52"/>
      <c r="G59" s="50"/>
      <c r="H59" s="50"/>
      <c r="I59" s="50"/>
      <c r="J59" s="52"/>
    </row>
    <row r="60" spans="3:10" x14ac:dyDescent="0.2">
      <c r="F60" s="50"/>
      <c r="G60" s="52"/>
      <c r="H60" s="52"/>
      <c r="I60" s="52"/>
      <c r="J60" s="50"/>
    </row>
    <row r="61" spans="3:10" x14ac:dyDescent="0.2">
      <c r="G61" s="50"/>
      <c r="H61" s="50"/>
      <c r="I61" s="50"/>
    </row>
  </sheetData>
  <mergeCells count="4">
    <mergeCell ref="C2:I2"/>
    <mergeCell ref="G5:I5"/>
    <mergeCell ref="C4:E4"/>
    <mergeCell ref="G24:I24"/>
  </mergeCells>
  <pageMargins left="0.75" right="0.75" top="1" bottom="1" header="0.5" footer="0.5"/>
  <pageSetup paperSize="0"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5C748-94DB-4A53-B765-514B0BD6CA79}">
  <sheetPr codeName="Sheet6"/>
  <dimension ref="A1:O35"/>
  <sheetViews>
    <sheetView tabSelected="1" zoomScale="92" zoomScaleNormal="70" workbookViewId="0">
      <selection activeCell="N12" sqref="N12"/>
    </sheetView>
  </sheetViews>
  <sheetFormatPr baseColWidth="10" defaultColWidth="8.6640625" defaultRowHeight="13" x14ac:dyDescent="0.15"/>
  <cols>
    <col min="1" max="2" width="8.6640625" style="137" customWidth="1"/>
    <col min="3" max="3" width="10.83203125" style="137" customWidth="1"/>
    <col min="4" max="4" width="25" style="137" bestFit="1" customWidth="1"/>
    <col min="5" max="5" width="15.6640625" style="137" bestFit="1" customWidth="1"/>
    <col min="6" max="8" width="12.1640625" style="137" bestFit="1" customWidth="1"/>
    <col min="9" max="9" width="12.6640625" style="137" bestFit="1" customWidth="1"/>
    <col min="10" max="10" width="12.1640625" style="137" bestFit="1" customWidth="1"/>
    <col min="11" max="11" width="2.5" style="137" hidden="1" customWidth="1"/>
    <col min="12" max="12" width="8.6640625" style="137" hidden="1" customWidth="1"/>
    <col min="13" max="13" width="28" style="137" bestFit="1" customWidth="1"/>
    <col min="14" max="14" width="19.5" style="137" customWidth="1"/>
    <col min="15" max="15" width="11.1640625" style="137" bestFit="1" customWidth="1"/>
    <col min="16" max="16384" width="8.6640625" style="137"/>
  </cols>
  <sheetData>
    <row r="1" spans="2:15" ht="14" thickBot="1" x14ac:dyDescent="0.2"/>
    <row r="2" spans="2:15" ht="20" x14ac:dyDescent="0.2">
      <c r="C2" s="168" t="s">
        <v>44</v>
      </c>
      <c r="D2" s="169"/>
      <c r="E2" s="169"/>
      <c r="F2" s="169"/>
      <c r="G2" s="169"/>
      <c r="H2" s="169"/>
      <c r="I2" s="169"/>
      <c r="J2" s="170"/>
      <c r="M2" s="109" t="s">
        <v>109</v>
      </c>
      <c r="N2" s="180">
        <f>-PV(D12,I5,,I8)</f>
        <v>114344.77529443582</v>
      </c>
      <c r="O2" s="210"/>
    </row>
    <row r="3" spans="2:15" ht="51" x14ac:dyDescent="0.2">
      <c r="C3" s="138" t="s">
        <v>84</v>
      </c>
      <c r="D3" s="139"/>
      <c r="E3" s="140"/>
      <c r="F3" s="139"/>
      <c r="G3" s="139"/>
      <c r="H3" s="139"/>
      <c r="I3" s="139"/>
      <c r="J3" s="141"/>
      <c r="M3" s="110" t="s">
        <v>118</v>
      </c>
      <c r="N3" s="181">
        <f>NPV(D12,E6:I6)</f>
        <v>32150.045791885572</v>
      </c>
    </row>
    <row r="4" spans="2:15" ht="17" x14ac:dyDescent="0.2">
      <c r="C4" s="138"/>
      <c r="D4" s="142">
        <f>'Hist Financials'!J7</f>
        <v>2019</v>
      </c>
      <c r="E4" s="142">
        <f t="shared" ref="E4:I4" si="0">D4+1</f>
        <v>2020</v>
      </c>
      <c r="F4" s="142">
        <f t="shared" si="0"/>
        <v>2021</v>
      </c>
      <c r="G4" s="142">
        <f t="shared" si="0"/>
        <v>2022</v>
      </c>
      <c r="H4" s="142">
        <f t="shared" si="0"/>
        <v>2023</v>
      </c>
      <c r="I4" s="142">
        <f t="shared" si="0"/>
        <v>2024</v>
      </c>
      <c r="J4" s="143"/>
      <c r="M4" s="110" t="s">
        <v>81</v>
      </c>
      <c r="N4" s="182">
        <f>N2+N3</f>
        <v>146494.8210863214</v>
      </c>
      <c r="O4" s="210"/>
    </row>
    <row r="5" spans="2:15" ht="16" x14ac:dyDescent="0.2">
      <c r="C5" s="138"/>
      <c r="D5" s="144">
        <v>0</v>
      </c>
      <c r="E5" s="144">
        <v>1</v>
      </c>
      <c r="F5" s="144">
        <v>2</v>
      </c>
      <c r="G5" s="144">
        <v>3</v>
      </c>
      <c r="H5" s="144">
        <v>4</v>
      </c>
      <c r="I5" s="144">
        <v>5</v>
      </c>
      <c r="J5" s="143"/>
      <c r="M5" s="148"/>
      <c r="N5" s="143"/>
    </row>
    <row r="6" spans="2:15" ht="17" x14ac:dyDescent="0.2">
      <c r="C6" s="110" t="s">
        <v>83</v>
      </c>
      <c r="D6" s="263">
        <f>FCF!L7</f>
        <v>-923.70251937984494</v>
      </c>
      <c r="E6" s="264">
        <f>FCF!M7</f>
        <v>6291.9279999999853</v>
      </c>
      <c r="F6" s="264">
        <f>E6*(1+F7)</f>
        <v>7235.7171999999828</v>
      </c>
      <c r="G6" s="264">
        <f t="shared" ref="G6:I6" si="1">F6*(1+G7)</f>
        <v>8321.074779999979</v>
      </c>
      <c r="H6" s="264">
        <f t="shared" si="1"/>
        <v>9236.3930057999769</v>
      </c>
      <c r="I6" s="264">
        <f t="shared" si="1"/>
        <v>9882.9405162059757</v>
      </c>
      <c r="J6" s="143"/>
      <c r="M6" s="110" t="s">
        <v>80</v>
      </c>
      <c r="N6" s="209">
        <f>'Hist Financials'!E9</f>
        <v>291</v>
      </c>
    </row>
    <row r="7" spans="2:15" ht="17" x14ac:dyDescent="0.2">
      <c r="C7" s="110" t="s">
        <v>132</v>
      </c>
      <c r="D7" s="145"/>
      <c r="E7" s="179">
        <f>FCF!M8</f>
        <v>-7.8116388858874801</v>
      </c>
      <c r="F7" s="261">
        <v>0.15</v>
      </c>
      <c r="G7" s="261">
        <v>0.15</v>
      </c>
      <c r="H7" s="261">
        <v>0.11</v>
      </c>
      <c r="I7" s="261">
        <v>7.0000000000000007E-2</v>
      </c>
      <c r="J7" s="143"/>
      <c r="M7" s="110" t="s">
        <v>79</v>
      </c>
      <c r="N7" s="208">
        <f>N4+N6</f>
        <v>146785.8210863214</v>
      </c>
    </row>
    <row r="8" spans="2:15" ht="18" thickBot="1" x14ac:dyDescent="0.25">
      <c r="C8" s="111" t="s">
        <v>82</v>
      </c>
      <c r="D8" s="146"/>
      <c r="E8" s="146"/>
      <c r="F8" s="146"/>
      <c r="G8" s="146"/>
      <c r="H8" s="146"/>
      <c r="I8" s="262">
        <f>(I6*(1+D13))/(D12-D13)</f>
        <v>168009.98877550158</v>
      </c>
      <c r="J8" s="147"/>
      <c r="M8" s="110" t="s">
        <v>78</v>
      </c>
      <c r="N8" s="215">
        <f>'Complete Proj.'!D17+'Complete Proj.'!D19</f>
        <v>15618</v>
      </c>
    </row>
    <row r="9" spans="2:15" ht="18" thickBot="1" x14ac:dyDescent="0.25">
      <c r="M9" s="110" t="s">
        <v>77</v>
      </c>
      <c r="N9" s="211">
        <f>N7-N8</f>
        <v>131167.8210863214</v>
      </c>
    </row>
    <row r="10" spans="2:15" ht="14" thickTop="1" x14ac:dyDescent="0.15">
      <c r="M10" s="149"/>
      <c r="N10" s="150"/>
    </row>
    <row r="11" spans="2:15" ht="34" x14ac:dyDescent="0.2">
      <c r="E11" s="214"/>
      <c r="M11" s="110" t="s">
        <v>76</v>
      </c>
      <c r="N11" s="212">
        <f>D15</f>
        <v>5000</v>
      </c>
    </row>
    <row r="12" spans="2:15" ht="35" thickBot="1" x14ac:dyDescent="0.25">
      <c r="B12" s="309" t="s">
        <v>75</v>
      </c>
      <c r="C12" s="309"/>
      <c r="D12" s="310">
        <v>0.08</v>
      </c>
      <c r="M12" s="111" t="s">
        <v>129</v>
      </c>
      <c r="N12" s="213">
        <f>N9/N11</f>
        <v>26.233564217264281</v>
      </c>
    </row>
    <row r="13" spans="2:15" ht="35" customHeight="1" x14ac:dyDescent="0.2">
      <c r="B13" s="309" t="s">
        <v>87</v>
      </c>
      <c r="C13" s="309"/>
      <c r="D13" s="310">
        <v>0.02</v>
      </c>
    </row>
    <row r="14" spans="2:15" ht="37" customHeight="1" x14ac:dyDescent="0.2">
      <c r="B14" s="309" t="s">
        <v>86</v>
      </c>
      <c r="C14" s="309"/>
      <c r="D14" s="311">
        <v>30</v>
      </c>
    </row>
    <row r="15" spans="2:15" ht="30" customHeight="1" x14ac:dyDescent="0.2">
      <c r="B15" s="309" t="s">
        <v>85</v>
      </c>
      <c r="C15" s="309"/>
      <c r="D15" s="312">
        <v>5000</v>
      </c>
    </row>
    <row r="18" spans="1:14" x14ac:dyDescent="0.15">
      <c r="L18" s="283"/>
      <c r="M18" s="283"/>
      <c r="N18" s="283"/>
    </row>
    <row r="19" spans="1:14" x14ac:dyDescent="0.15">
      <c r="L19" s="283"/>
      <c r="M19" s="283"/>
      <c r="N19" s="283"/>
    </row>
    <row r="20" spans="1:14" x14ac:dyDescent="0.15">
      <c r="L20" s="283"/>
      <c r="M20" s="283"/>
      <c r="N20" s="283"/>
    </row>
    <row r="21" spans="1:14" x14ac:dyDescent="0.15">
      <c r="L21" s="283"/>
      <c r="M21" s="283"/>
      <c r="N21" s="283"/>
    </row>
    <row r="22" spans="1:14" ht="14" thickBot="1" x14ac:dyDescent="0.2">
      <c r="L22" s="283"/>
      <c r="M22" s="283"/>
      <c r="N22" s="283"/>
    </row>
    <row r="23" spans="1:14" ht="9" customHeight="1" x14ac:dyDescent="0.15">
      <c r="A23" s="317" t="s">
        <v>135</v>
      </c>
      <c r="B23" s="318"/>
      <c r="C23" s="323"/>
      <c r="L23" s="283"/>
      <c r="M23" s="283"/>
      <c r="N23" s="283"/>
    </row>
    <row r="24" spans="1:14" ht="13" hidden="1" customHeight="1" x14ac:dyDescent="0.15">
      <c r="A24" s="319"/>
      <c r="B24" s="320"/>
      <c r="C24" s="324"/>
      <c r="L24" s="283"/>
      <c r="M24" s="283"/>
      <c r="N24" s="283"/>
    </row>
    <row r="25" spans="1:14" ht="2" hidden="1" customHeight="1" x14ac:dyDescent="0.15">
      <c r="A25" s="319"/>
      <c r="B25" s="320"/>
      <c r="C25" s="324"/>
      <c r="D25" s="286"/>
      <c r="E25" s="286"/>
      <c r="F25" s="286"/>
      <c r="G25" s="286"/>
      <c r="H25" s="286"/>
      <c r="I25" s="286"/>
      <c r="J25" s="286"/>
      <c r="K25" s="286"/>
      <c r="L25" s="283"/>
      <c r="M25" s="313"/>
      <c r="N25" s="283"/>
    </row>
    <row r="26" spans="1:14" ht="34" customHeight="1" thickBot="1" x14ac:dyDescent="0.25">
      <c r="A26" s="321"/>
      <c r="B26" s="322"/>
      <c r="C26" s="325"/>
      <c r="D26" s="329" t="s">
        <v>136</v>
      </c>
      <c r="E26" s="329"/>
      <c r="F26" s="329"/>
      <c r="G26" s="329"/>
      <c r="H26" s="329"/>
      <c r="I26" s="329"/>
      <c r="J26" s="330"/>
      <c r="K26" s="284"/>
      <c r="L26" s="283"/>
      <c r="M26" s="283"/>
      <c r="N26" s="283"/>
    </row>
    <row r="27" spans="1:14" ht="17" customHeight="1" x14ac:dyDescent="0.15">
      <c r="B27" s="304" t="s">
        <v>137</v>
      </c>
      <c r="C27" s="316">
        <f>N12</f>
        <v>26.233564217264281</v>
      </c>
      <c r="D27" s="327">
        <v>0.05</v>
      </c>
      <c r="E27" s="328">
        <v>0.06</v>
      </c>
      <c r="F27" s="328">
        <v>7.0000000000000007E-2</v>
      </c>
      <c r="G27" s="328">
        <v>0.08</v>
      </c>
      <c r="H27" s="328">
        <v>0.09</v>
      </c>
      <c r="I27" s="328">
        <v>0.1</v>
      </c>
      <c r="J27" s="328">
        <v>0.11</v>
      </c>
      <c r="K27" s="285">
        <v>0.12</v>
      </c>
      <c r="L27" s="283"/>
      <c r="M27" s="283"/>
      <c r="N27" s="283"/>
    </row>
    <row r="28" spans="1:14" ht="16" x14ac:dyDescent="0.2">
      <c r="B28" s="305"/>
      <c r="C28" s="315">
        <v>5.0000000000000001E-3</v>
      </c>
      <c r="D28" s="326">
        <f t="dataTable" ref="D28:K35" dt2D="1" dtr="1" r1="D12" r2="D13"/>
        <v>38.539568012123773</v>
      </c>
      <c r="E28" s="326">
        <v>30.736468131478485</v>
      </c>
      <c r="F28" s="326">
        <v>25.341344495117141</v>
      </c>
      <c r="G28" s="326">
        <v>21.390726675382293</v>
      </c>
      <c r="H28" s="326">
        <v>18.37455596162301</v>
      </c>
      <c r="I28" s="326">
        <v>15.997546799531182</v>
      </c>
      <c r="J28" s="326">
        <v>14.076913177393839</v>
      </c>
      <c r="K28" s="283">
        <v>12.49345520476388</v>
      </c>
      <c r="L28" s="283"/>
      <c r="M28" s="283"/>
      <c r="N28" s="283"/>
    </row>
    <row r="29" spans="1:14" ht="16" x14ac:dyDescent="0.2">
      <c r="B29" s="305"/>
      <c r="C29" s="315">
        <v>0.01</v>
      </c>
      <c r="D29" s="326">
        <v>43.056634468181343</v>
      </c>
      <c r="E29" s="326">
        <v>33.583091606767596</v>
      </c>
      <c r="F29" s="326">
        <v>27.274587572236122</v>
      </c>
      <c r="G29" s="326">
        <v>22.774394544491432</v>
      </c>
      <c r="H29" s="326">
        <v>19.404162464731534</v>
      </c>
      <c r="I29" s="326">
        <v>16.787041694401509</v>
      </c>
      <c r="J29" s="326">
        <v>14.696932132980265</v>
      </c>
      <c r="K29" s="283">
        <v>12.989960134870481</v>
      </c>
      <c r="L29" s="283"/>
      <c r="M29" s="283"/>
      <c r="N29" s="283"/>
    </row>
    <row r="30" spans="1:14" ht="16" x14ac:dyDescent="0.2">
      <c r="B30" s="305"/>
      <c r="C30" s="315">
        <v>1.4999999999999999E-2</v>
      </c>
      <c r="D30" s="326">
        <v>48.864291340255356</v>
      </c>
      <c r="E30" s="326">
        <v>37.062298076565391</v>
      </c>
      <c r="F30" s="326">
        <v>29.559329390649463</v>
      </c>
      <c r="G30" s="326">
        <v>24.370934393463511</v>
      </c>
      <c r="H30" s="326">
        <v>20.571049834921205</v>
      </c>
      <c r="I30" s="326">
        <v>17.669418341609521</v>
      </c>
      <c r="J30" s="326">
        <v>15.382216241786312</v>
      </c>
      <c r="K30" s="283">
        <v>13.533751248796756</v>
      </c>
      <c r="L30" s="283"/>
      <c r="M30" s="283"/>
      <c r="N30" s="283"/>
    </row>
    <row r="31" spans="1:14" ht="16" x14ac:dyDescent="0.2">
      <c r="B31" s="305"/>
      <c r="C31" s="315">
        <v>0.02</v>
      </c>
      <c r="D31" s="326">
        <v>56.607833836354047</v>
      </c>
      <c r="E31" s="326">
        <v>41.411306163812647</v>
      </c>
      <c r="F31" s="326">
        <v>32.301019572745481</v>
      </c>
      <c r="G31" s="326">
        <v>26.233564217264281</v>
      </c>
      <c r="H31" s="326">
        <v>21.904635400852257</v>
      </c>
      <c r="I31" s="326">
        <v>18.662092069718536</v>
      </c>
      <c r="J31" s="326">
        <v>16.143643029348588</v>
      </c>
      <c r="K31" s="283">
        <v>14.131921474115659</v>
      </c>
      <c r="L31" s="283"/>
      <c r="M31" s="283"/>
      <c r="N31" s="283"/>
    </row>
    <row r="32" spans="1:14" ht="16" x14ac:dyDescent="0.2">
      <c r="B32" s="305"/>
      <c r="C32" s="315">
        <v>2.5000000000000001E-2</v>
      </c>
      <c r="D32" s="326">
        <v>67.448793330892187</v>
      </c>
      <c r="E32" s="326">
        <v>47.002887990273386</v>
      </c>
      <c r="F32" s="326">
        <v>35.651974239751716</v>
      </c>
      <c r="G32" s="326">
        <v>28.434854009028822</v>
      </c>
      <c r="H32" s="326">
        <v>23.443387976926537</v>
      </c>
      <c r="I32" s="326">
        <v>19.787122294908752</v>
      </c>
      <c r="J32" s="326">
        <v>16.994649438977014</v>
      </c>
      <c r="K32" s="283">
        <v>14.793056986310233</v>
      </c>
      <c r="L32" s="283"/>
      <c r="M32" s="283"/>
      <c r="N32" s="283"/>
    </row>
    <row r="33" spans="2:11" ht="16" x14ac:dyDescent="0.2">
      <c r="B33" s="305"/>
      <c r="C33" s="315">
        <v>0.03</v>
      </c>
      <c r="D33" s="326">
        <v>83.710232572699411</v>
      </c>
      <c r="E33" s="326">
        <v>54.458330425554372</v>
      </c>
      <c r="F33" s="326">
        <v>39.840667573509513</v>
      </c>
      <c r="G33" s="326">
        <v>31.076401759146272</v>
      </c>
      <c r="H33" s="326">
        <v>25.23859931567987</v>
      </c>
      <c r="I33" s="326">
        <v>21.072871123697567</v>
      </c>
      <c r="J33" s="326">
        <v>17.95203164980899</v>
      </c>
      <c r="K33" s="283">
        <v>15.527651999859762</v>
      </c>
    </row>
    <row r="34" spans="2:11" ht="17" thickBot="1" x14ac:dyDescent="0.25">
      <c r="B34" s="306"/>
      <c r="C34" s="315">
        <v>3.5000000000000003E-2</v>
      </c>
      <c r="D34" s="326">
        <v>110.8126313090448</v>
      </c>
      <c r="E34" s="326">
        <v>64.895949834947771</v>
      </c>
      <c r="F34" s="326">
        <v>45.226130431198101</v>
      </c>
      <c r="G34" s="326">
        <v>34.304960120400928</v>
      </c>
      <c r="H34" s="326">
        <v>27.360212716024719</v>
      </c>
      <c r="I34" s="326">
        <v>22.556427464607744</v>
      </c>
      <c r="J34" s="326">
        <v>19.037064822085231</v>
      </c>
      <c r="K34" s="283">
        <v>16.348669956179826</v>
      </c>
    </row>
    <row r="35" spans="2:11" ht="16" x14ac:dyDescent="0.2">
      <c r="B35" s="314"/>
      <c r="C35" s="315">
        <v>0.04</v>
      </c>
      <c r="D35" s="326">
        <v>165.01742878173553</v>
      </c>
      <c r="E35" s="326">
        <v>80.552378949037859</v>
      </c>
      <c r="F35" s="326">
        <v>52.406747574782898</v>
      </c>
      <c r="G35" s="326">
        <v>38.340658071969244</v>
      </c>
      <c r="H35" s="326">
        <v>29.906148796438536</v>
      </c>
      <c r="I35" s="326">
        <v>24.287243195669621</v>
      </c>
      <c r="J35" s="326">
        <v>20.277102733258079</v>
      </c>
      <c r="K35" s="283">
        <v>17.272315157039895</v>
      </c>
    </row>
  </sheetData>
  <mergeCells count="8">
    <mergeCell ref="B27:B34"/>
    <mergeCell ref="A23:C26"/>
    <mergeCell ref="C2:J2"/>
    <mergeCell ref="D25:K25"/>
    <mergeCell ref="B12:C12"/>
    <mergeCell ref="B13:C13"/>
    <mergeCell ref="B14:C14"/>
    <mergeCell ref="B15:C15"/>
  </mergeCells>
  <conditionalFormatting sqref="D28:K3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DBEC-771B-45F8-A45B-75395F549955}">
  <sheetPr codeName="Sheet7"/>
  <dimension ref="A2:C18"/>
  <sheetViews>
    <sheetView zoomScale="90" zoomScaleNormal="90" workbookViewId="0">
      <selection activeCell="G3" sqref="G3"/>
    </sheetView>
  </sheetViews>
  <sheetFormatPr baseColWidth="10" defaultColWidth="8.83203125" defaultRowHeight="13" x14ac:dyDescent="0.15"/>
  <cols>
    <col min="1" max="1" width="18.6640625" customWidth="1"/>
    <col min="2" max="2" width="8.5" style="61" customWidth="1"/>
    <col min="3" max="3" width="77.33203125" style="108" customWidth="1"/>
  </cols>
  <sheetData>
    <row r="2" spans="1:3" ht="69" customHeight="1" x14ac:dyDescent="0.15">
      <c r="A2" s="171" t="s">
        <v>113</v>
      </c>
      <c r="B2" s="62" t="s">
        <v>119</v>
      </c>
      <c r="C2" s="108" t="s">
        <v>133</v>
      </c>
    </row>
    <row r="3" spans="1:3" ht="79" customHeight="1" x14ac:dyDescent="0.15">
      <c r="A3" s="171"/>
      <c r="B3" s="62" t="s">
        <v>120</v>
      </c>
      <c r="C3" s="282" t="s">
        <v>134</v>
      </c>
    </row>
    <row r="4" spans="1:3" ht="65" customHeight="1" x14ac:dyDescent="0.15">
      <c r="A4" s="171" t="s">
        <v>114</v>
      </c>
      <c r="B4" s="62" t="s">
        <v>121</v>
      </c>
      <c r="C4" s="108" t="s">
        <v>138</v>
      </c>
    </row>
    <row r="5" spans="1:3" ht="37" customHeight="1" x14ac:dyDescent="0.15">
      <c r="A5" s="171"/>
      <c r="B5" s="62" t="s">
        <v>122</v>
      </c>
      <c r="C5" s="108" t="s">
        <v>139</v>
      </c>
    </row>
    <row r="6" spans="1:3" ht="51" customHeight="1" x14ac:dyDescent="0.15">
      <c r="A6" s="171"/>
      <c r="B6" s="62" t="s">
        <v>123</v>
      </c>
      <c r="C6" s="108" t="s">
        <v>141</v>
      </c>
    </row>
    <row r="7" spans="1:3" ht="50" customHeight="1" x14ac:dyDescent="0.15">
      <c r="A7" s="171"/>
      <c r="B7" s="62" t="s">
        <v>124</v>
      </c>
      <c r="C7" s="108" t="s">
        <v>140</v>
      </c>
    </row>
    <row r="8" spans="1:3" ht="47" customHeight="1" x14ac:dyDescent="0.15">
      <c r="A8" s="171"/>
      <c r="B8" s="62" t="s">
        <v>125</v>
      </c>
      <c r="C8" s="136" t="s">
        <v>145</v>
      </c>
    </row>
    <row r="9" spans="1:3" ht="8" customHeight="1" x14ac:dyDescent="0.15">
      <c r="A9" s="171"/>
      <c r="B9" s="308" t="s">
        <v>126</v>
      </c>
      <c r="C9" s="307" t="s">
        <v>146</v>
      </c>
    </row>
    <row r="10" spans="1:3" x14ac:dyDescent="0.15">
      <c r="A10" s="171"/>
      <c r="B10" s="308"/>
      <c r="C10" s="307"/>
    </row>
    <row r="11" spans="1:3" x14ac:dyDescent="0.15">
      <c r="B11" s="62"/>
      <c r="C11" s="307"/>
    </row>
    <row r="12" spans="1:3" ht="61" customHeight="1" x14ac:dyDescent="0.15">
      <c r="B12" s="62"/>
      <c r="C12" s="307"/>
    </row>
    <row r="13" spans="1:3" x14ac:dyDescent="0.15">
      <c r="B13" s="62"/>
    </row>
    <row r="14" spans="1:3" x14ac:dyDescent="0.15">
      <c r="B14" s="62"/>
    </row>
    <row r="15" spans="1:3" x14ac:dyDescent="0.15">
      <c r="B15" s="62"/>
    </row>
    <row r="16" spans="1:3" x14ac:dyDescent="0.15">
      <c r="B16" s="62"/>
    </row>
    <row r="17" spans="2:2" x14ac:dyDescent="0.15">
      <c r="B17" s="62"/>
    </row>
    <row r="18" spans="2:2" x14ac:dyDescent="0.15">
      <c r="B18" s="62"/>
    </row>
  </sheetData>
  <mergeCells count="4">
    <mergeCell ref="A4:A10"/>
    <mergeCell ref="A2:A3"/>
    <mergeCell ref="C9:C12"/>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vt:lpstr>
      <vt:lpstr>Hist Financials</vt:lpstr>
      <vt:lpstr>Estimated Inputs</vt:lpstr>
      <vt:lpstr>FCF</vt:lpstr>
      <vt:lpstr>Complete Proj.</vt:lpstr>
      <vt:lpstr>FCF Valuation</vt:lpstr>
      <vt:lpstr>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Ferris</dc:creator>
  <cp:lastModifiedBy>Microsoft Office User</cp:lastModifiedBy>
  <dcterms:created xsi:type="dcterms:W3CDTF">2018-11-18T15:51:03Z</dcterms:created>
  <dcterms:modified xsi:type="dcterms:W3CDTF">2019-11-23T04:08:23Z</dcterms:modified>
</cp:coreProperties>
</file>